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124226"/>
  <xr:revisionPtr revIDLastSave="0" documentId="13_ncr:1_{240F9875-6A5B-4656-83C2-B9FAE41C957D}" xr6:coauthVersionLast="47" xr6:coauthVersionMax="47" xr10:uidLastSave="{00000000-0000-0000-0000-000000000000}"/>
  <bookViews>
    <workbookView xWindow="2964" yWindow="2964" windowWidth="17280" windowHeight="8880" xr2:uid="{00000000-000D-0000-FFFF-FFFF00000000}"/>
  </bookViews>
  <sheets>
    <sheet name="SALES" sheetId="3" r:id="rId1"/>
    <sheet name="CALCULATION DSE" sheetId="4" r:id="rId2"/>
    <sheet name="DSE WISE MGA SALE " sheetId="9" r:id="rId3"/>
    <sheet name="EMP STATUS" sheetId="5" r:id="rId4"/>
    <sheet name="ICM REPORT" sheetId="2" r:id="rId5"/>
    <sheet name="FSDG" sheetId="1" r:id="rId6"/>
    <sheet name="Sheet7" sheetId="7" r:id="rId7"/>
    <sheet name="Sheet8" sheetId="8" r:id="rId8"/>
  </sheets>
  <definedNames>
    <definedName name="_xlnm._FilterDatabase" localSheetId="1" hidden="1">'CALCULATION DSE'!$A$6:$CK$84</definedName>
    <definedName name="_xlnm._FilterDatabase" localSheetId="2" hidden="1">'DSE WISE MGA SALE '!$A$4:$N$117</definedName>
    <definedName name="_xlnm._FilterDatabase" localSheetId="3" hidden="1">'EMP STATUS'!$B$2:$S$77</definedName>
    <definedName name="_xlnm._FilterDatabase" localSheetId="4" hidden="1">'ICM REPORT'!$A$1:$GM$186</definedName>
    <definedName name="_xlnm._FilterDatabase" localSheetId="0" hidden="1">SALES!$A$1:$BT$173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4" l="1"/>
  <c r="F12" i="4"/>
  <c r="F13" i="4"/>
  <c r="F15" i="4"/>
  <c r="F18" i="4"/>
  <c r="F19" i="4"/>
  <c r="F23" i="4"/>
  <c r="F24" i="4"/>
  <c r="F26" i="4"/>
  <c r="F27" i="4"/>
  <c r="F29" i="4"/>
  <c r="F32" i="4"/>
  <c r="F35" i="4"/>
  <c r="F37" i="4"/>
  <c r="F41" i="4"/>
  <c r="F95" i="4" s="1"/>
  <c r="F43" i="4"/>
  <c r="F45" i="4"/>
  <c r="F46" i="4"/>
  <c r="F57" i="4"/>
  <c r="F58" i="4"/>
  <c r="F59" i="4"/>
  <c r="F62" i="4"/>
  <c r="F63" i="4"/>
  <c r="F66" i="4"/>
  <c r="F68" i="4"/>
  <c r="F71" i="4"/>
  <c r="F75" i="4"/>
  <c r="F77" i="4"/>
  <c r="F88" i="4"/>
  <c r="F89" i="4"/>
  <c r="F90" i="4"/>
  <c r="F93" i="4"/>
  <c r="F98" i="4"/>
  <c r="F99" i="4"/>
  <c r="N5" i="9"/>
  <c r="N34" i="9"/>
  <c r="N37" i="9"/>
  <c r="N18" i="9"/>
  <c r="N15" i="9"/>
  <c r="N44" i="9"/>
  <c r="N12" i="9"/>
  <c r="N45" i="9"/>
  <c r="N55" i="9"/>
  <c r="N22" i="9"/>
  <c r="N52" i="9"/>
  <c r="N58" i="9"/>
  <c r="N56" i="9"/>
  <c r="N53" i="9"/>
  <c r="N27" i="9"/>
  <c r="N35" i="9"/>
  <c r="N69" i="9"/>
  <c r="N19" i="9"/>
  <c r="N75" i="9"/>
  <c r="N73" i="9"/>
  <c r="N74" i="9"/>
  <c r="N72" i="9"/>
  <c r="N78" i="9"/>
  <c r="N77" i="9"/>
  <c r="N76" i="9"/>
  <c r="N71" i="9"/>
  <c r="N33" i="9"/>
  <c r="N23" i="9"/>
  <c r="N49" i="9"/>
  <c r="N70" i="9"/>
  <c r="N46" i="9"/>
  <c r="N51" i="9"/>
  <c r="N41" i="9"/>
  <c r="N38" i="9"/>
  <c r="N40" i="9"/>
  <c r="N47" i="9"/>
  <c r="N6" i="9"/>
  <c r="N57" i="9"/>
  <c r="N25" i="9"/>
  <c r="N63" i="9"/>
  <c r="N13" i="9"/>
  <c r="N30" i="9"/>
  <c r="N64" i="9"/>
  <c r="N62" i="9"/>
  <c r="N61" i="9"/>
  <c r="N60" i="9"/>
  <c r="N65" i="9"/>
  <c r="N54" i="9"/>
  <c r="N68" i="9"/>
  <c r="N67" i="9"/>
  <c r="N32" i="9"/>
  <c r="N59" i="9"/>
  <c r="N16" i="9"/>
  <c r="N20" i="9"/>
  <c r="N17" i="9"/>
  <c r="N26" i="9"/>
  <c r="N24" i="9"/>
  <c r="N11" i="9"/>
  <c r="N14" i="9"/>
  <c r="N36" i="9"/>
  <c r="N31" i="9"/>
  <c r="N21" i="9"/>
  <c r="N28" i="9"/>
  <c r="N10" i="9"/>
  <c r="AI53" i="4" l="1"/>
  <c r="AI52" i="4"/>
  <c r="AI51" i="4"/>
  <c r="AI50" i="4"/>
  <c r="AI49" i="4"/>
  <c r="AI44" i="4"/>
  <c r="AI28" i="4"/>
  <c r="BM79" i="4" l="1"/>
  <c r="BM49" i="4"/>
  <c r="BM50" i="4"/>
  <c r="BM51" i="4"/>
  <c r="BM52" i="4"/>
  <c r="BV90" i="4"/>
  <c r="BG76" i="4" l="1"/>
  <c r="BG70" i="4"/>
  <c r="BG52" i="4"/>
  <c r="BG51" i="4"/>
  <c r="BG50" i="4"/>
  <c r="BG38" i="4"/>
  <c r="BG34" i="4"/>
  <c r="BG22" i="4"/>
  <c r="BG21" i="4"/>
  <c r="BG20" i="4"/>
  <c r="BG9" i="4"/>
  <c r="BG83" i="4"/>
  <c r="AZ41" i="3"/>
  <c r="BA41" i="3" s="1"/>
  <c r="AZ95" i="3"/>
  <c r="BA95" i="3" s="1"/>
  <c r="AZ122" i="3"/>
  <c r="BA122" i="3" s="1"/>
  <c r="BG78" i="4" s="1"/>
  <c r="AZ129" i="3"/>
  <c r="BA129" i="3" s="1"/>
  <c r="AZ57" i="3"/>
  <c r="BA57" i="3" s="1"/>
  <c r="AZ166" i="3"/>
  <c r="BA166" i="3" s="1"/>
  <c r="AZ50" i="3"/>
  <c r="BA50" i="3" s="1"/>
  <c r="AZ163" i="3"/>
  <c r="BA163" i="3" s="1"/>
  <c r="AZ88" i="3"/>
  <c r="BA88" i="3" s="1"/>
  <c r="AZ86" i="3"/>
  <c r="BA86" i="3" s="1"/>
  <c r="AZ75" i="3"/>
  <c r="BA75" i="3" s="1"/>
  <c r="AZ38" i="3"/>
  <c r="BA38" i="3" s="1"/>
  <c r="AZ89" i="3"/>
  <c r="BA89" i="3" s="1"/>
  <c r="AZ105" i="3"/>
  <c r="BA105" i="3" s="1"/>
  <c r="AZ90" i="3"/>
  <c r="BA90" i="3" s="1"/>
  <c r="AZ23" i="3"/>
  <c r="BA23" i="3" s="1"/>
  <c r="AZ96" i="3"/>
  <c r="BA96" i="3" s="1"/>
  <c r="AZ65" i="3"/>
  <c r="BA65" i="3" s="1"/>
  <c r="AZ47" i="3"/>
  <c r="BA47" i="3" s="1"/>
  <c r="AZ165" i="3"/>
  <c r="BA165" i="3" s="1"/>
  <c r="BG55" i="4" s="1"/>
  <c r="AZ66" i="3"/>
  <c r="BA66" i="3" s="1"/>
  <c r="AZ110" i="3"/>
  <c r="BA110" i="3" s="1"/>
  <c r="AZ5" i="3"/>
  <c r="BA5" i="3" s="1"/>
  <c r="AZ153" i="3"/>
  <c r="BA153" i="3" s="1"/>
  <c r="AZ164" i="3"/>
  <c r="BA164" i="3" s="1"/>
  <c r="AZ67" i="3"/>
  <c r="BA67" i="3" s="1"/>
  <c r="AZ24" i="3"/>
  <c r="BA24" i="3" s="1"/>
  <c r="AZ39" i="3"/>
  <c r="BA39" i="3" s="1"/>
  <c r="AZ63" i="3"/>
  <c r="BA63" i="3" s="1"/>
  <c r="AZ68" i="3"/>
  <c r="BA68" i="3" s="1"/>
  <c r="AZ111" i="3"/>
  <c r="BA111" i="3" s="1"/>
  <c r="AZ12" i="3"/>
  <c r="BA12" i="3" s="1"/>
  <c r="AZ120" i="3"/>
  <c r="BA120" i="3" s="1"/>
  <c r="AZ84" i="3"/>
  <c r="BA84" i="3" s="1"/>
  <c r="AZ132" i="3"/>
  <c r="BA132" i="3" s="1"/>
  <c r="AZ157" i="3"/>
  <c r="BA157" i="3" s="1"/>
  <c r="AZ82" i="3"/>
  <c r="BA82" i="3" s="1"/>
  <c r="AZ76" i="3"/>
  <c r="BA76" i="3" s="1"/>
  <c r="AZ148" i="3"/>
  <c r="BA148" i="3" s="1"/>
  <c r="AZ7" i="3"/>
  <c r="BA7" i="3" s="1"/>
  <c r="AZ48" i="3"/>
  <c r="BA48" i="3" s="1"/>
  <c r="AZ123" i="3"/>
  <c r="BA123" i="3" s="1"/>
  <c r="AZ28" i="3"/>
  <c r="BA28" i="3" s="1"/>
  <c r="AZ124" i="3"/>
  <c r="BA124" i="3" s="1"/>
  <c r="AZ112" i="3"/>
  <c r="BA112" i="3" s="1"/>
  <c r="AZ29" i="3"/>
  <c r="BA29" i="3" s="1"/>
  <c r="AZ10" i="3"/>
  <c r="BA10" i="3" s="1"/>
  <c r="AZ133" i="3"/>
  <c r="BA133" i="3" s="1"/>
  <c r="AZ143" i="3"/>
  <c r="BA143" i="3" s="1"/>
  <c r="AZ169" i="3"/>
  <c r="BA169" i="3" s="1"/>
  <c r="BG77" i="4" s="1"/>
  <c r="AZ83" i="3"/>
  <c r="BA83" i="3" s="1"/>
  <c r="AZ97" i="3"/>
  <c r="BA97" i="3" s="1"/>
  <c r="AZ51" i="3"/>
  <c r="BA51" i="3" s="1"/>
  <c r="AZ13" i="3"/>
  <c r="BA13" i="3" s="1"/>
  <c r="AZ77" i="3"/>
  <c r="BA77" i="3" s="1"/>
  <c r="AZ52" i="3"/>
  <c r="BA52" i="3" s="1"/>
  <c r="AZ154" i="3"/>
  <c r="BA154" i="3" s="1"/>
  <c r="AZ121" i="3"/>
  <c r="BA121" i="3" s="1"/>
  <c r="AZ14" i="3"/>
  <c r="BA14" i="3" s="1"/>
  <c r="AZ136" i="3"/>
  <c r="BA136" i="3" s="1"/>
  <c r="AZ69" i="3"/>
  <c r="BA69" i="3" s="1"/>
  <c r="AZ130" i="3"/>
  <c r="BA130" i="3" s="1"/>
  <c r="AZ98" i="3"/>
  <c r="BA98" i="3" s="1"/>
  <c r="AZ54" i="3"/>
  <c r="BA54" i="3" s="1"/>
  <c r="BG69" i="4" s="1"/>
  <c r="AZ103" i="3"/>
  <c r="BA103" i="3" s="1"/>
  <c r="AZ137" i="3"/>
  <c r="BA137" i="3" s="1"/>
  <c r="AZ85" i="3"/>
  <c r="BA85" i="3" s="1"/>
  <c r="AZ71" i="3"/>
  <c r="BA71" i="3" s="1"/>
  <c r="AZ113" i="3"/>
  <c r="BA113" i="3" s="1"/>
  <c r="AZ99" i="3"/>
  <c r="BA99" i="3" s="1"/>
  <c r="AZ87" i="3"/>
  <c r="BA87" i="3" s="1"/>
  <c r="AZ58" i="3"/>
  <c r="BA58" i="3" s="1"/>
  <c r="AZ61" i="3"/>
  <c r="BA61" i="3" s="1"/>
  <c r="BG28" i="4" s="1"/>
  <c r="AZ53" i="3"/>
  <c r="BA53" i="3" s="1"/>
  <c r="AZ144" i="3"/>
  <c r="BA144" i="3" s="1"/>
  <c r="AZ9" i="3"/>
  <c r="BA9" i="3" s="1"/>
  <c r="BG17" i="4" s="1"/>
  <c r="AZ55" i="3"/>
  <c r="BA55" i="3" s="1"/>
  <c r="BG39" i="4" s="1"/>
  <c r="AZ3" i="3"/>
  <c r="BA3" i="3" s="1"/>
  <c r="AZ35" i="3"/>
  <c r="BA35" i="3" s="1"/>
  <c r="AZ20" i="3"/>
  <c r="BA20" i="3" s="1"/>
  <c r="AZ2" i="3"/>
  <c r="BA2" i="3" s="1"/>
  <c r="BG49" i="4" s="1"/>
  <c r="AZ160" i="3"/>
  <c r="BA160" i="3" s="1"/>
  <c r="AZ145" i="3"/>
  <c r="BA145" i="3" s="1"/>
  <c r="AZ56" i="3"/>
  <c r="BA56" i="3" s="1"/>
  <c r="BG74" i="4" s="1"/>
  <c r="AZ114" i="3"/>
  <c r="BA114" i="3" s="1"/>
  <c r="AZ104" i="3"/>
  <c r="BA104" i="3" s="1"/>
  <c r="AZ92" i="3"/>
  <c r="BA92" i="3" s="1"/>
  <c r="BG64" i="4" s="1"/>
  <c r="AZ138" i="3"/>
  <c r="BA138" i="3" s="1"/>
  <c r="AZ11" i="3"/>
  <c r="BA11" i="3" s="1"/>
  <c r="AZ149" i="3"/>
  <c r="BA149" i="3" s="1"/>
  <c r="AZ30" i="3"/>
  <c r="BA30" i="3" s="1"/>
  <c r="AZ119" i="3"/>
  <c r="BA119" i="3" s="1"/>
  <c r="BG14" i="4" s="1"/>
  <c r="AZ116" i="3"/>
  <c r="BA116" i="3" s="1"/>
  <c r="AZ25" i="3"/>
  <c r="BA25" i="3" s="1"/>
  <c r="AZ42" i="3"/>
  <c r="BA42" i="3" s="1"/>
  <c r="AZ72" i="3"/>
  <c r="BA72" i="3" s="1"/>
  <c r="AZ115" i="3"/>
  <c r="BA115" i="3" s="1"/>
  <c r="AZ100" i="3"/>
  <c r="BA100" i="3" s="1"/>
  <c r="AZ134" i="3"/>
  <c r="BA134" i="3" s="1"/>
  <c r="AZ158" i="3"/>
  <c r="BA158" i="3" s="1"/>
  <c r="AZ139" i="3"/>
  <c r="BA139" i="3" s="1"/>
  <c r="AZ59" i="3"/>
  <c r="BA59" i="3" s="1"/>
  <c r="BG44" i="4" s="1"/>
  <c r="AZ127" i="3"/>
  <c r="BA127" i="3" s="1"/>
  <c r="AZ155" i="3"/>
  <c r="BA155" i="3" s="1"/>
  <c r="AZ161" i="3"/>
  <c r="BA161" i="3" s="1"/>
  <c r="AZ117" i="3"/>
  <c r="BA117" i="3" s="1"/>
  <c r="AZ78" i="3"/>
  <c r="BA78" i="3" s="1"/>
  <c r="AZ33" i="3"/>
  <c r="BA33" i="3" s="1"/>
  <c r="AZ93" i="3"/>
  <c r="BA93" i="3" s="1"/>
  <c r="AZ159" i="3"/>
  <c r="BA159" i="3" s="1"/>
  <c r="AZ106" i="3"/>
  <c r="BA106" i="3" s="1"/>
  <c r="AZ8" i="3"/>
  <c r="BA8" i="3" s="1"/>
  <c r="AZ31" i="3"/>
  <c r="BA31" i="3" s="1"/>
  <c r="AZ91" i="3"/>
  <c r="BA91" i="3" s="1"/>
  <c r="AZ150" i="3"/>
  <c r="BA150" i="3" s="1"/>
  <c r="AZ32" i="3"/>
  <c r="BA32" i="3" s="1"/>
  <c r="AZ107" i="3"/>
  <c r="BA107" i="3" s="1"/>
  <c r="AZ34" i="3"/>
  <c r="BA34" i="3" s="1"/>
  <c r="AZ140" i="3"/>
  <c r="BA140" i="3" s="1"/>
  <c r="AZ60" i="3"/>
  <c r="BA60" i="3" s="1"/>
  <c r="BG10" i="4" s="1"/>
  <c r="AZ15" i="3"/>
  <c r="BA15" i="3" s="1"/>
  <c r="AZ16" i="3"/>
  <c r="BA16" i="3" s="1"/>
  <c r="AZ43" i="3"/>
  <c r="BA43" i="3" s="1"/>
  <c r="AZ44" i="3"/>
  <c r="BA44" i="3" s="1"/>
  <c r="AZ45" i="3"/>
  <c r="BA45" i="3" s="1"/>
  <c r="AZ108" i="3"/>
  <c r="BA108" i="3" s="1"/>
  <c r="AZ162" i="3"/>
  <c r="BA162" i="3" s="1"/>
  <c r="AZ128" i="3"/>
  <c r="BA128" i="3" s="1"/>
  <c r="AZ81" i="3"/>
  <c r="BA81" i="3" s="1"/>
  <c r="AZ17" i="3"/>
  <c r="BA17" i="3" s="1"/>
  <c r="AZ36" i="3"/>
  <c r="BA36" i="3" s="1"/>
  <c r="AZ21" i="3"/>
  <c r="BA21" i="3" s="1"/>
  <c r="AZ152" i="3"/>
  <c r="BA152" i="3" s="1"/>
  <c r="BG54" i="4" s="1"/>
  <c r="AZ40" i="3"/>
  <c r="BA40" i="3" s="1"/>
  <c r="AZ94" i="3"/>
  <c r="BA94" i="3" s="1"/>
  <c r="AZ26" i="3"/>
  <c r="BA26" i="3" s="1"/>
  <c r="AZ62" i="3"/>
  <c r="BA62" i="3" s="1"/>
  <c r="BG61" i="4" s="1"/>
  <c r="AZ73" i="3"/>
  <c r="BA73" i="3" s="1"/>
  <c r="AZ101" i="3"/>
  <c r="BA101" i="3" s="1"/>
  <c r="AZ64" i="3"/>
  <c r="BA64" i="3" s="1"/>
  <c r="AZ131" i="3"/>
  <c r="BA131" i="3" s="1"/>
  <c r="BG36" i="4" s="1"/>
  <c r="AZ18" i="3"/>
  <c r="BA18" i="3" s="1"/>
  <c r="AZ27" i="3"/>
  <c r="BA27" i="3" s="1"/>
  <c r="AZ147" i="3"/>
  <c r="BA147" i="3" s="1"/>
  <c r="AZ6" i="3"/>
  <c r="BA6" i="3" s="1"/>
  <c r="AZ49" i="3"/>
  <c r="BA49" i="3" s="1"/>
  <c r="BG33" i="4" s="1"/>
  <c r="AZ170" i="3"/>
  <c r="BA170" i="3" s="1"/>
  <c r="BG79" i="4" s="1"/>
  <c r="AZ22" i="3"/>
  <c r="BA22" i="3" s="1"/>
  <c r="AZ46" i="3"/>
  <c r="BA46" i="3" s="1"/>
  <c r="AZ151" i="3"/>
  <c r="BA151" i="3" s="1"/>
  <c r="AZ135" i="3"/>
  <c r="BA135" i="3" s="1"/>
  <c r="BG25" i="4" s="1"/>
  <c r="AZ167" i="3"/>
  <c r="BA167" i="3" s="1"/>
  <c r="AZ168" i="3"/>
  <c r="BA168" i="3" s="1"/>
  <c r="AZ102" i="3"/>
  <c r="BA102" i="3" s="1"/>
  <c r="AZ4" i="3"/>
  <c r="BA4" i="3" s="1"/>
  <c r="AZ70" i="3"/>
  <c r="BA70" i="3" s="1"/>
  <c r="AZ19" i="3"/>
  <c r="BA19" i="3" s="1"/>
  <c r="AZ109" i="3"/>
  <c r="BA109" i="3" s="1"/>
  <c r="AZ74" i="3"/>
  <c r="BA74" i="3" s="1"/>
  <c r="AZ37" i="3"/>
  <c r="BA37" i="3" s="1"/>
  <c r="BG65" i="4" l="1"/>
  <c r="BG46" i="4"/>
  <c r="BG75" i="4"/>
  <c r="BG32" i="4"/>
  <c r="BG11" i="4"/>
  <c r="BG58" i="4"/>
  <c r="BG30" i="4"/>
  <c r="BG53" i="4"/>
  <c r="BG35" i="4"/>
  <c r="BG73" i="4"/>
  <c r="BG42" i="4"/>
  <c r="BG12" i="4"/>
  <c r="BG56" i="4"/>
  <c r="BG41" i="4"/>
  <c r="BG31" i="4"/>
  <c r="BG13" i="4"/>
  <c r="BG43" i="4"/>
  <c r="BG18" i="4"/>
  <c r="BG16" i="4"/>
  <c r="BG48" i="4"/>
  <c r="BG37" i="4"/>
  <c r="BG27" i="4"/>
  <c r="BG23" i="4"/>
  <c r="BG29" i="4"/>
  <c r="BG80" i="4"/>
  <c r="BG71" i="4"/>
  <c r="BG66" i="4"/>
  <c r="BG59" i="4"/>
  <c r="BG72" i="4"/>
  <c r="BG47" i="4"/>
  <c r="BG19" i="4"/>
  <c r="BG15" i="4"/>
  <c r="BG26" i="4"/>
  <c r="BG60" i="4"/>
  <c r="BG67" i="4"/>
  <c r="BG40" i="4"/>
  <c r="BG8" i="4"/>
  <c r="BO10" i="4"/>
  <c r="BO77" i="4"/>
  <c r="BO43" i="4"/>
  <c r="BO14" i="4"/>
  <c r="BO15" i="4"/>
  <c r="BO16" i="4"/>
  <c r="BO17" i="4"/>
  <c r="BO37" i="4"/>
  <c r="BO45" i="4"/>
  <c r="BO20" i="4"/>
  <c r="BO21" i="4"/>
  <c r="BO22" i="4"/>
  <c r="BO19" i="4"/>
  <c r="BO27" i="4"/>
  <c r="BO25" i="4"/>
  <c r="BO63" i="4"/>
  <c r="BO57" i="4"/>
  <c r="BO28" i="4"/>
  <c r="BO13" i="4"/>
  <c r="BO58" i="4"/>
  <c r="BO33" i="4"/>
  <c r="BO34" i="4"/>
  <c r="BO59" i="4"/>
  <c r="BO36" i="4"/>
  <c r="BO32" i="4"/>
  <c r="BO39" i="4"/>
  <c r="BO24" i="4"/>
  <c r="BO42" i="4"/>
  <c r="BO66" i="4"/>
  <c r="BO44" i="4"/>
  <c r="BO47" i="4"/>
  <c r="BO48" i="4"/>
  <c r="BO49" i="4"/>
  <c r="BO50" i="4"/>
  <c r="BO51" i="4"/>
  <c r="BO52" i="4"/>
  <c r="BO53" i="4"/>
  <c r="BO55" i="4"/>
  <c r="BO56" i="4"/>
  <c r="BO18" i="4"/>
  <c r="BO75" i="4"/>
  <c r="BO62" i="4"/>
  <c r="BO60" i="4"/>
  <c r="BO61" i="4"/>
  <c r="BO29" i="4"/>
  <c r="BO11" i="4"/>
  <c r="BO64" i="4"/>
  <c r="BO65" i="4"/>
  <c r="BO68" i="4"/>
  <c r="BO67" i="4"/>
  <c r="BO71" i="4"/>
  <c r="BO69" i="4"/>
  <c r="BO70" i="4"/>
  <c r="BO72" i="4"/>
  <c r="BO73" i="4"/>
  <c r="BO74" i="4"/>
  <c r="BO23" i="4"/>
  <c r="BO76" i="4"/>
  <c r="BO35" i="4"/>
  <c r="BO78" i="4"/>
  <c r="BO79" i="4"/>
  <c r="BO80" i="4"/>
  <c r="O90" i="4"/>
  <c r="O93" i="4"/>
  <c r="O98" i="4"/>
  <c r="J98" i="4"/>
  <c r="G98" i="4"/>
  <c r="AK9" i="4"/>
  <c r="AK21" i="4"/>
  <c r="AK38" i="4"/>
  <c r="AK50" i="4"/>
  <c r="AK51" i="4"/>
  <c r="AK52" i="4"/>
  <c r="AK76" i="4"/>
  <c r="D68" i="9"/>
  <c r="K98" i="4" l="1"/>
  <c r="D116" i="9"/>
  <c r="F116" i="9" s="1"/>
  <c r="G116" i="9" s="1"/>
  <c r="F5" i="9"/>
  <c r="G5" i="9" s="1"/>
  <c r="F114" i="9"/>
  <c r="G114" i="9" s="1"/>
  <c r="H114" i="9" s="1"/>
  <c r="F113" i="9"/>
  <c r="G113" i="9" s="1"/>
  <c r="F34" i="9"/>
  <c r="G34" i="9" s="1"/>
  <c r="AK44" i="4" s="1"/>
  <c r="F37" i="9"/>
  <c r="G37" i="9" s="1"/>
  <c r="AK28" i="4" s="1"/>
  <c r="F18" i="9"/>
  <c r="G18" i="9" s="1"/>
  <c r="F111" i="9"/>
  <c r="G111" i="9" s="1"/>
  <c r="J111" i="9" s="1"/>
  <c r="L111" i="9" s="1"/>
  <c r="F15" i="9"/>
  <c r="G15" i="9" s="1"/>
  <c r="AK16" i="4" s="1"/>
  <c r="F44" i="9"/>
  <c r="G44" i="9" s="1"/>
  <c r="AK24" i="4" s="1"/>
  <c r="F12" i="9"/>
  <c r="G12" i="9" s="1"/>
  <c r="J12" i="9" s="1"/>
  <c r="L12" i="9" s="1"/>
  <c r="F45" i="9"/>
  <c r="G45" i="9" s="1"/>
  <c r="F109" i="9"/>
  <c r="G109" i="9" s="1"/>
  <c r="J109" i="9" s="1"/>
  <c r="F55" i="9"/>
  <c r="G55" i="9" s="1"/>
  <c r="AK43" i="4" s="1"/>
  <c r="F22" i="9"/>
  <c r="G22" i="9" s="1"/>
  <c r="F52" i="9"/>
  <c r="G52" i="9" s="1"/>
  <c r="AK35" i="4" s="1"/>
  <c r="F107" i="9"/>
  <c r="G107" i="9" s="1"/>
  <c r="F58" i="9"/>
  <c r="G58" i="9" s="1"/>
  <c r="AK46" i="4" s="1"/>
  <c r="F56" i="9"/>
  <c r="G56" i="9" s="1"/>
  <c r="F42" i="9"/>
  <c r="G42" i="9" s="1"/>
  <c r="F53" i="9"/>
  <c r="G53" i="9" s="1"/>
  <c r="AK37" i="4" s="1"/>
  <c r="F105" i="9"/>
  <c r="G105" i="9" s="1"/>
  <c r="F27" i="9"/>
  <c r="G27" i="9" s="1"/>
  <c r="AK69" i="4" s="1"/>
  <c r="F35" i="9"/>
  <c r="G35" i="9" s="1"/>
  <c r="F104" i="9"/>
  <c r="G104" i="9" s="1"/>
  <c r="F69" i="9"/>
  <c r="G69" i="9" s="1"/>
  <c r="F102" i="9"/>
  <c r="G102" i="9" s="1"/>
  <c r="F101" i="9"/>
  <c r="G101" i="9" s="1"/>
  <c r="F19" i="9"/>
  <c r="G19" i="9" s="1"/>
  <c r="AK20" i="4" s="1"/>
  <c r="F75" i="9"/>
  <c r="G75" i="9" s="1"/>
  <c r="AK55" i="4" s="1"/>
  <c r="F73" i="9"/>
  <c r="G73" i="9" s="1"/>
  <c r="AK75" i="4" s="1"/>
  <c r="F74" i="9"/>
  <c r="G74" i="9" s="1"/>
  <c r="AK22" i="4" s="1"/>
  <c r="F72" i="9"/>
  <c r="G72" i="9" s="1"/>
  <c r="AK31" i="4" s="1"/>
  <c r="F99" i="9"/>
  <c r="G99" i="9" s="1"/>
  <c r="J99" i="9" s="1"/>
  <c r="F78" i="9"/>
  <c r="G78" i="9" s="1"/>
  <c r="J78" i="9" s="1"/>
  <c r="F77" i="9"/>
  <c r="G77" i="9" s="1"/>
  <c r="AK77" i="4" s="1"/>
  <c r="F76" i="9"/>
  <c r="G76" i="9" s="1"/>
  <c r="AK80" i="4" s="1"/>
  <c r="F71" i="9"/>
  <c r="G71" i="9" s="1"/>
  <c r="AK71" i="4" s="1"/>
  <c r="F33" i="9"/>
  <c r="G33" i="9" s="1"/>
  <c r="AK40" i="4" s="1"/>
  <c r="E98" i="9"/>
  <c r="E100" i="9" s="1"/>
  <c r="F97" i="9"/>
  <c r="G97" i="9" s="1"/>
  <c r="F23" i="9"/>
  <c r="G23" i="9" s="1"/>
  <c r="F49" i="9"/>
  <c r="G49" i="9" s="1"/>
  <c r="J49" i="9" s="1"/>
  <c r="L49" i="9" s="1"/>
  <c r="F70" i="9"/>
  <c r="G70" i="9" s="1"/>
  <c r="F46" i="9"/>
  <c r="G46" i="9" s="1"/>
  <c r="F51" i="9"/>
  <c r="G51" i="9" s="1"/>
  <c r="F41" i="9"/>
  <c r="G41" i="9" s="1"/>
  <c r="F95" i="9"/>
  <c r="G95" i="9" s="1"/>
  <c r="H95" i="9" s="1"/>
  <c r="F38" i="9"/>
  <c r="G38" i="9" s="1"/>
  <c r="F94" i="9"/>
  <c r="G94" i="9" s="1"/>
  <c r="F40" i="9"/>
  <c r="G40" i="9" s="1"/>
  <c r="AK60" i="4" s="1"/>
  <c r="F47" i="9"/>
  <c r="G47" i="9" s="1"/>
  <c r="F93" i="9"/>
  <c r="G93" i="9" s="1"/>
  <c r="H93" i="9" s="1"/>
  <c r="F6" i="9"/>
  <c r="G6" i="9" s="1"/>
  <c r="AK47" i="4" s="1"/>
  <c r="M91" i="9"/>
  <c r="F91" i="9"/>
  <c r="G91" i="9" s="1"/>
  <c r="F57" i="9"/>
  <c r="G57" i="9" s="1"/>
  <c r="AK14" i="4" s="1"/>
  <c r="F25" i="9"/>
  <c r="G25" i="9" s="1"/>
  <c r="AK33" i="4" s="1"/>
  <c r="F63" i="9"/>
  <c r="G63" i="9" s="1"/>
  <c r="AK59" i="4" s="1"/>
  <c r="F50" i="9"/>
  <c r="G50" i="9" s="1"/>
  <c r="F13" i="9"/>
  <c r="G13" i="9" s="1"/>
  <c r="AK8" i="4" s="1"/>
  <c r="F89" i="9"/>
  <c r="G89" i="9" s="1"/>
  <c r="J89" i="9" s="1"/>
  <c r="L89" i="9" s="1"/>
  <c r="F30" i="9"/>
  <c r="G30" i="9" s="1"/>
  <c r="F88" i="9"/>
  <c r="G88" i="9" s="1"/>
  <c r="F64" i="9"/>
  <c r="G64" i="9" s="1"/>
  <c r="F62" i="9"/>
  <c r="G62" i="9" s="1"/>
  <c r="F61" i="9"/>
  <c r="G61" i="9" s="1"/>
  <c r="F60" i="9"/>
  <c r="G60" i="9" s="1"/>
  <c r="F65" i="9"/>
  <c r="G65" i="9" s="1"/>
  <c r="F54" i="9"/>
  <c r="G54" i="9" s="1"/>
  <c r="J54" i="9" s="1"/>
  <c r="L54" i="9" s="1"/>
  <c r="F86" i="9"/>
  <c r="G86" i="9" s="1"/>
  <c r="F68" i="9"/>
  <c r="G68" i="9" s="1"/>
  <c r="F67" i="9"/>
  <c r="G67" i="9" s="1"/>
  <c r="F43" i="9"/>
  <c r="G43" i="9" s="1"/>
  <c r="AK48" i="4" s="1"/>
  <c r="F84" i="9"/>
  <c r="G84" i="9" s="1"/>
  <c r="F32" i="9"/>
  <c r="G32" i="9" s="1"/>
  <c r="F59" i="9"/>
  <c r="G59" i="9" s="1"/>
  <c r="F83" i="9"/>
  <c r="G83" i="9" s="1"/>
  <c r="H83" i="9" s="1"/>
  <c r="F16" i="9"/>
  <c r="G16" i="9" s="1"/>
  <c r="F81" i="9"/>
  <c r="G81" i="9" s="1"/>
  <c r="F20" i="9"/>
  <c r="G20" i="9" s="1"/>
  <c r="AK15" i="4" s="1"/>
  <c r="F17" i="9"/>
  <c r="G17" i="9" s="1"/>
  <c r="F26" i="9"/>
  <c r="G26" i="9" s="1"/>
  <c r="AK18" i="4" s="1"/>
  <c r="F24" i="9"/>
  <c r="G24" i="9" s="1"/>
  <c r="F11" i="9"/>
  <c r="G11" i="9" s="1"/>
  <c r="AK17" i="4" s="1"/>
  <c r="F14" i="9"/>
  <c r="G14" i="9" s="1"/>
  <c r="I80" i="9"/>
  <c r="E80" i="9"/>
  <c r="E82" i="9" s="1"/>
  <c r="D80" i="9"/>
  <c r="D82" i="9" s="1"/>
  <c r="C80" i="9"/>
  <c r="C82" i="9" s="1"/>
  <c r="F79" i="9"/>
  <c r="G79" i="9" s="1"/>
  <c r="J79" i="9" s="1"/>
  <c r="F36" i="9"/>
  <c r="G36" i="9" s="1"/>
  <c r="J36" i="9" s="1"/>
  <c r="F31" i="9"/>
  <c r="G31" i="9" s="1"/>
  <c r="J31" i="9" s="1"/>
  <c r="L31" i="9" s="1"/>
  <c r="F21" i="9"/>
  <c r="G21" i="9" s="1"/>
  <c r="AK73" i="4" s="1"/>
  <c r="F28" i="9"/>
  <c r="G28" i="9" s="1"/>
  <c r="F10" i="9"/>
  <c r="G10" i="9" s="1"/>
  <c r="C85" i="9" l="1"/>
  <c r="E103" i="9"/>
  <c r="E108" i="9" s="1"/>
  <c r="D85" i="9"/>
  <c r="D87" i="9" s="1"/>
  <c r="E110" i="9"/>
  <c r="I82" i="9"/>
  <c r="I85" i="9" s="1"/>
  <c r="E85" i="9"/>
  <c r="E87" i="9" s="1"/>
  <c r="C87" i="9"/>
  <c r="J114" i="9"/>
  <c r="J19" i="9"/>
  <c r="L19" i="9" s="1"/>
  <c r="H109" i="9"/>
  <c r="H77" i="9"/>
  <c r="H72" i="9"/>
  <c r="J95" i="9"/>
  <c r="H58" i="9"/>
  <c r="J43" i="9"/>
  <c r="L43" i="9" s="1"/>
  <c r="J77" i="9"/>
  <c r="J32" i="9"/>
  <c r="F82" i="9"/>
  <c r="G82" i="9" s="1"/>
  <c r="H82" i="9" s="1"/>
  <c r="J58" i="9"/>
  <c r="L58" i="9" s="1"/>
  <c r="M58" i="9" s="1"/>
  <c r="J67" i="9"/>
  <c r="L67" i="9" s="1"/>
  <c r="AK63" i="4"/>
  <c r="J97" i="9"/>
  <c r="L97" i="9" s="1"/>
  <c r="H97" i="9"/>
  <c r="J17" i="9"/>
  <c r="L17" i="9" s="1"/>
  <c r="AK13" i="4"/>
  <c r="H17" i="9"/>
  <c r="AK62" i="4"/>
  <c r="J65" i="9"/>
  <c r="L65" i="9" s="1"/>
  <c r="H65" i="9"/>
  <c r="AK25" i="4"/>
  <c r="J64" i="9"/>
  <c r="H64" i="9"/>
  <c r="H86" i="9"/>
  <c r="J86" i="9"/>
  <c r="L86" i="9" s="1"/>
  <c r="J88" i="9"/>
  <c r="H88" i="9"/>
  <c r="AK64" i="4"/>
  <c r="J51" i="9"/>
  <c r="L51" i="9" s="1"/>
  <c r="H51" i="9"/>
  <c r="J28" i="9"/>
  <c r="L28" i="9" s="1"/>
  <c r="AK39" i="4"/>
  <c r="AK34" i="4"/>
  <c r="J30" i="9"/>
  <c r="L30" i="9" s="1"/>
  <c r="AK72" i="4"/>
  <c r="J23" i="9"/>
  <c r="H23" i="9"/>
  <c r="J14" i="9"/>
  <c r="L14" i="9" s="1"/>
  <c r="AK12" i="4"/>
  <c r="H14" i="9"/>
  <c r="AK54" i="4"/>
  <c r="J69" i="9"/>
  <c r="H69" i="9"/>
  <c r="J104" i="9"/>
  <c r="L104" i="9" s="1"/>
  <c r="H104" i="9"/>
  <c r="J18" i="9"/>
  <c r="L18" i="9" s="1"/>
  <c r="AK53" i="4"/>
  <c r="H24" i="9"/>
  <c r="AK65" i="4"/>
  <c r="F80" i="9"/>
  <c r="G80" i="9" s="1"/>
  <c r="H80" i="9" s="1"/>
  <c r="H26" i="9"/>
  <c r="H59" i="9"/>
  <c r="AK78" i="4"/>
  <c r="J60" i="9"/>
  <c r="L60" i="9" s="1"/>
  <c r="AK57" i="4"/>
  <c r="J50" i="9"/>
  <c r="L50" i="9" s="1"/>
  <c r="AK32" i="4"/>
  <c r="J38" i="9"/>
  <c r="AK61" i="4"/>
  <c r="J72" i="9"/>
  <c r="L72" i="9" s="1"/>
  <c r="J56" i="9"/>
  <c r="L56" i="9" s="1"/>
  <c r="M56" i="9" s="1"/>
  <c r="AK45" i="4"/>
  <c r="J45" i="9"/>
  <c r="L45" i="9" s="1"/>
  <c r="AK26" i="4"/>
  <c r="H5" i="9"/>
  <c r="AK49" i="4"/>
  <c r="H10" i="9"/>
  <c r="AK30" i="4"/>
  <c r="J10" i="9"/>
  <c r="L10" i="9" s="1"/>
  <c r="H31" i="9"/>
  <c r="AK74" i="4"/>
  <c r="J26" i="9"/>
  <c r="L26" i="9" s="1"/>
  <c r="H16" i="9"/>
  <c r="AK56" i="4"/>
  <c r="H43" i="9"/>
  <c r="J68" i="9"/>
  <c r="L68" i="9" s="1"/>
  <c r="AK66" i="4"/>
  <c r="H54" i="9"/>
  <c r="AK41" i="4"/>
  <c r="H61" i="9"/>
  <c r="AK58" i="4"/>
  <c r="H47" i="9"/>
  <c r="AK29" i="4"/>
  <c r="H38" i="9"/>
  <c r="H41" i="9"/>
  <c r="AK23" i="4"/>
  <c r="H70" i="9"/>
  <c r="AK68" i="4"/>
  <c r="H62" i="9"/>
  <c r="AK36" i="4"/>
  <c r="J41" i="9"/>
  <c r="L41" i="9" s="1"/>
  <c r="H49" i="9"/>
  <c r="AK67" i="4"/>
  <c r="J35" i="9"/>
  <c r="AK70" i="4"/>
  <c r="H42" i="9"/>
  <c r="AK19" i="4"/>
  <c r="H12" i="9"/>
  <c r="AK11" i="4"/>
  <c r="H36" i="9"/>
  <c r="AK10" i="4"/>
  <c r="J83" i="9"/>
  <c r="L83" i="9" s="1"/>
  <c r="J62" i="9"/>
  <c r="L62" i="9" s="1"/>
  <c r="J46" i="9"/>
  <c r="L46" i="9" s="1"/>
  <c r="AK27" i="4"/>
  <c r="H78" i="9"/>
  <c r="AK79" i="4"/>
  <c r="J42" i="9"/>
  <c r="L42" i="9" s="1"/>
  <c r="M42" i="9" s="1"/>
  <c r="J22" i="9"/>
  <c r="AK42" i="4"/>
  <c r="J21" i="9"/>
  <c r="L21" i="9" s="1"/>
  <c r="H21" i="9"/>
  <c r="H6" i="9"/>
  <c r="J6" i="9"/>
  <c r="J11" i="9"/>
  <c r="L11" i="9" s="1"/>
  <c r="H11" i="9"/>
  <c r="J20" i="9"/>
  <c r="H20" i="9"/>
  <c r="H13" i="9"/>
  <c r="J13" i="9"/>
  <c r="L13" i="9" s="1"/>
  <c r="J91" i="9"/>
  <c r="L91" i="9" s="1"/>
  <c r="H91" i="9"/>
  <c r="J81" i="9"/>
  <c r="L81" i="9" s="1"/>
  <c r="H81" i="9"/>
  <c r="H40" i="9"/>
  <c r="J40" i="9"/>
  <c r="L40" i="9" s="1"/>
  <c r="J102" i="9"/>
  <c r="H102" i="9"/>
  <c r="J105" i="9"/>
  <c r="H105" i="9"/>
  <c r="J55" i="9"/>
  <c r="H55" i="9"/>
  <c r="H15" i="9"/>
  <c r="J15" i="9"/>
  <c r="L15" i="9" s="1"/>
  <c r="H34" i="9"/>
  <c r="J34" i="9"/>
  <c r="L34" i="9" s="1"/>
  <c r="J24" i="9"/>
  <c r="L24" i="9" s="1"/>
  <c r="H68" i="9"/>
  <c r="J61" i="9"/>
  <c r="L61" i="9" s="1"/>
  <c r="H50" i="9"/>
  <c r="J25" i="9"/>
  <c r="H25" i="9"/>
  <c r="J93" i="9"/>
  <c r="H76" i="9"/>
  <c r="J76" i="9"/>
  <c r="L76" i="9" s="1"/>
  <c r="J74" i="9"/>
  <c r="L74" i="9" s="1"/>
  <c r="H74" i="9"/>
  <c r="H75" i="9"/>
  <c r="J75" i="9"/>
  <c r="L75" i="9" s="1"/>
  <c r="J53" i="9"/>
  <c r="L53" i="9" s="1"/>
  <c r="M53" i="9" s="1"/>
  <c r="H53" i="9"/>
  <c r="J52" i="9"/>
  <c r="L52" i="9" s="1"/>
  <c r="M52" i="9" s="1"/>
  <c r="H52" i="9"/>
  <c r="J113" i="9"/>
  <c r="H113" i="9"/>
  <c r="H79" i="9"/>
  <c r="J16" i="9"/>
  <c r="H67" i="9"/>
  <c r="H60" i="9"/>
  <c r="J94" i="9"/>
  <c r="H94" i="9"/>
  <c r="J70" i="9"/>
  <c r="L70" i="9" s="1"/>
  <c r="H33" i="9"/>
  <c r="J33" i="9"/>
  <c r="J101" i="9"/>
  <c r="H101" i="9"/>
  <c r="H56" i="9"/>
  <c r="J44" i="9"/>
  <c r="L44" i="9" s="1"/>
  <c r="H44" i="9"/>
  <c r="H28" i="9"/>
  <c r="J59" i="9"/>
  <c r="L59" i="9" s="1"/>
  <c r="J84" i="9"/>
  <c r="H84" i="9"/>
  <c r="H89" i="9"/>
  <c r="J63" i="9"/>
  <c r="H63" i="9"/>
  <c r="J57" i="9"/>
  <c r="L57" i="9" s="1"/>
  <c r="H57" i="9"/>
  <c r="J47" i="9"/>
  <c r="H46" i="9"/>
  <c r="H71" i="9"/>
  <c r="J71" i="9"/>
  <c r="J73" i="9"/>
  <c r="L73" i="9" s="1"/>
  <c r="H73" i="9"/>
  <c r="J27" i="9"/>
  <c r="H27" i="9"/>
  <c r="J107" i="9"/>
  <c r="L107" i="9" s="1"/>
  <c r="M107" i="9" s="1"/>
  <c r="H107" i="9"/>
  <c r="J37" i="9"/>
  <c r="L37" i="9" s="1"/>
  <c r="H37" i="9"/>
  <c r="J116" i="9"/>
  <c r="H116" i="9"/>
  <c r="H99" i="9"/>
  <c r="H22" i="9"/>
  <c r="H45" i="9"/>
  <c r="H111" i="9"/>
  <c r="H18" i="9"/>
  <c r="E112" i="9" l="1"/>
  <c r="E115" i="9" s="1"/>
  <c r="E117" i="9" s="1"/>
  <c r="D90" i="9"/>
  <c r="D92" i="9" s="1"/>
  <c r="F85" i="9"/>
  <c r="G85" i="9" s="1"/>
  <c r="H85" i="9" s="1"/>
  <c r="F87" i="9"/>
  <c r="G87" i="9" s="1"/>
  <c r="J87" i="9" s="1"/>
  <c r="I87" i="9"/>
  <c r="F90" i="9"/>
  <c r="G90" i="9" s="1"/>
  <c r="C90" i="9"/>
  <c r="J80" i="9"/>
  <c r="L80" i="9" s="1"/>
  <c r="J82" i="9"/>
  <c r="H87" i="9" l="1"/>
  <c r="F92" i="9"/>
  <c r="G92" i="9" s="1"/>
  <c r="J92" i="9" s="1"/>
  <c r="D96" i="9"/>
  <c r="D98" i="9" s="1"/>
  <c r="F98" i="9" s="1"/>
  <c r="G98" i="9" s="1"/>
  <c r="J85" i="9"/>
  <c r="J90" i="9"/>
  <c r="L90" i="9" s="1"/>
  <c r="H90" i="9"/>
  <c r="C92" i="9"/>
  <c r="H92" i="9" s="1"/>
  <c r="F96" i="9"/>
  <c r="G96" i="9" s="1"/>
  <c r="I90" i="9"/>
  <c r="BE9" i="4"/>
  <c r="BE20" i="4"/>
  <c r="BE21" i="4"/>
  <c r="BE22" i="4"/>
  <c r="BE34" i="4"/>
  <c r="BE38" i="4"/>
  <c r="BE50" i="4"/>
  <c r="BF50" i="4" s="1"/>
  <c r="BE51" i="4"/>
  <c r="BF51" i="4" s="1"/>
  <c r="BE52" i="4"/>
  <c r="BF52" i="4" s="1"/>
  <c r="BE70" i="4"/>
  <c r="BE76" i="4"/>
  <c r="D100" i="9" l="1"/>
  <c r="F100" i="9" s="1"/>
  <c r="G100" i="9" s="1"/>
  <c r="C96" i="9"/>
  <c r="C98" i="9" s="1"/>
  <c r="H98" i="9" s="1"/>
  <c r="J100" i="9"/>
  <c r="C100" i="9"/>
  <c r="H100" i="9" s="1"/>
  <c r="J98" i="9"/>
  <c r="L98" i="9" s="1"/>
  <c r="H96" i="9"/>
  <c r="J96" i="9"/>
  <c r="L96" i="9" s="1"/>
  <c r="I92" i="9"/>
  <c r="G8" i="4"/>
  <c r="AY41" i="3"/>
  <c r="AY95" i="3"/>
  <c r="AY122" i="3"/>
  <c r="AY129" i="3"/>
  <c r="AY57" i="3"/>
  <c r="AY166" i="3"/>
  <c r="AY50" i="3"/>
  <c r="AY163" i="3"/>
  <c r="AY88" i="3"/>
  <c r="AY86" i="3"/>
  <c r="AY75" i="3"/>
  <c r="AY38" i="3"/>
  <c r="AY89" i="3"/>
  <c r="AY105" i="3"/>
  <c r="AY90" i="3"/>
  <c r="AY23" i="3"/>
  <c r="AY96" i="3"/>
  <c r="AY65" i="3"/>
  <c r="AY47" i="3"/>
  <c r="AY165" i="3"/>
  <c r="AY66" i="3"/>
  <c r="AY110" i="3"/>
  <c r="AY5" i="3"/>
  <c r="AY153" i="3"/>
  <c r="AY164" i="3"/>
  <c r="AY67" i="3"/>
  <c r="AY24" i="3"/>
  <c r="AY39" i="3"/>
  <c r="AY63" i="3"/>
  <c r="AY68" i="3"/>
  <c r="AY111" i="3"/>
  <c r="AY12" i="3"/>
  <c r="AY120" i="3"/>
  <c r="AY84" i="3"/>
  <c r="AY132" i="3"/>
  <c r="AY157" i="3"/>
  <c r="CA38" i="3" s="1"/>
  <c r="AY82" i="3"/>
  <c r="AY76" i="3"/>
  <c r="AY148" i="3"/>
  <c r="AY7" i="3"/>
  <c r="AY48" i="3"/>
  <c r="AY123" i="3"/>
  <c r="AY28" i="3"/>
  <c r="AY124" i="3"/>
  <c r="AY112" i="3"/>
  <c r="AY29" i="3"/>
  <c r="AY10" i="3"/>
  <c r="AY133" i="3"/>
  <c r="AY143" i="3"/>
  <c r="AY169" i="3"/>
  <c r="AY83" i="3"/>
  <c r="AY97" i="3"/>
  <c r="AY51" i="3"/>
  <c r="AY13" i="3"/>
  <c r="AY77" i="3"/>
  <c r="AY52" i="3"/>
  <c r="AY154" i="3"/>
  <c r="AY121" i="3"/>
  <c r="AY14" i="3"/>
  <c r="AY136" i="3"/>
  <c r="AY69" i="3"/>
  <c r="AY130" i="3"/>
  <c r="CA65" i="3" s="1"/>
  <c r="AY98" i="3"/>
  <c r="AY54" i="3"/>
  <c r="AY103" i="3"/>
  <c r="AY137" i="3"/>
  <c r="AY85" i="3"/>
  <c r="AY71" i="3"/>
  <c r="AY113" i="3"/>
  <c r="AY99" i="3"/>
  <c r="AY87" i="3"/>
  <c r="CA75" i="3" s="1"/>
  <c r="AY58" i="3"/>
  <c r="AY61" i="3"/>
  <c r="AY53" i="3"/>
  <c r="AY144" i="3"/>
  <c r="AY9" i="3"/>
  <c r="AY55" i="3"/>
  <c r="AY3" i="3"/>
  <c r="AY35" i="3"/>
  <c r="AY20" i="3"/>
  <c r="AY2" i="3"/>
  <c r="AY160" i="3"/>
  <c r="CA86" i="3" s="1"/>
  <c r="AY145" i="3"/>
  <c r="AY56" i="3"/>
  <c r="AY114" i="3"/>
  <c r="CA89" i="3" s="1"/>
  <c r="AY104" i="3"/>
  <c r="AY92" i="3"/>
  <c r="AY138" i="3"/>
  <c r="AY11" i="3"/>
  <c r="AY149" i="3"/>
  <c r="AY30" i="3"/>
  <c r="CA95" i="3" s="1"/>
  <c r="AY119" i="3"/>
  <c r="AY116" i="3"/>
  <c r="AY25" i="3"/>
  <c r="AY42" i="3"/>
  <c r="CA99" i="3" s="1"/>
  <c r="AY72" i="3"/>
  <c r="AY115" i="3"/>
  <c r="AY100" i="3"/>
  <c r="AY134" i="3"/>
  <c r="AY158" i="3"/>
  <c r="AY139" i="3"/>
  <c r="AY59" i="3"/>
  <c r="AY127" i="3"/>
  <c r="AY155" i="3"/>
  <c r="AY161" i="3"/>
  <c r="AY117" i="3"/>
  <c r="AY78" i="3"/>
  <c r="AY33" i="3"/>
  <c r="AY93" i="3"/>
  <c r="CA113" i="3" s="1"/>
  <c r="AY159" i="3"/>
  <c r="AY106" i="3"/>
  <c r="AY8" i="3"/>
  <c r="AY31" i="3"/>
  <c r="AY91" i="3"/>
  <c r="AY150" i="3"/>
  <c r="AY32" i="3"/>
  <c r="AY107" i="3"/>
  <c r="AY34" i="3"/>
  <c r="AY140" i="3"/>
  <c r="CA123" i="3" s="1"/>
  <c r="AY60" i="3"/>
  <c r="AY15" i="3"/>
  <c r="AY16" i="3"/>
  <c r="AY43" i="3"/>
  <c r="AY44" i="3"/>
  <c r="AY45" i="3"/>
  <c r="CA129" i="3" s="1"/>
  <c r="AY108" i="3"/>
  <c r="AY162" i="3"/>
  <c r="CA134" i="3" s="1"/>
  <c r="AY128" i="3"/>
  <c r="AY81" i="3"/>
  <c r="AY17" i="3"/>
  <c r="CA137" i="3" s="1"/>
  <c r="AY36" i="3"/>
  <c r="AY21" i="3"/>
  <c r="AY152" i="3"/>
  <c r="AY40" i="3"/>
  <c r="AY94" i="3"/>
  <c r="CA144" i="3" s="1"/>
  <c r="AY26" i="3"/>
  <c r="AY62" i="3"/>
  <c r="AY73" i="3"/>
  <c r="AY101" i="3"/>
  <c r="AY64" i="3"/>
  <c r="AY131" i="3"/>
  <c r="AY18" i="3"/>
  <c r="AY27" i="3"/>
  <c r="AY147" i="3"/>
  <c r="CA155" i="3" s="1"/>
  <c r="AY6" i="3"/>
  <c r="AY49" i="3"/>
  <c r="AY170" i="3"/>
  <c r="AY22" i="3"/>
  <c r="AY46" i="3"/>
  <c r="CA161" i="3" s="1"/>
  <c r="AY151" i="3"/>
  <c r="AY135" i="3"/>
  <c r="AY167" i="3"/>
  <c r="AY168" i="3"/>
  <c r="AY102" i="3"/>
  <c r="AY4" i="3"/>
  <c r="AY70" i="3"/>
  <c r="AY19" i="3"/>
  <c r="AY109" i="3"/>
  <c r="AY74" i="3"/>
  <c r="AY37" i="3"/>
  <c r="I96" i="9" l="1"/>
  <c r="I98" i="9" s="1"/>
  <c r="I100" i="9" s="1"/>
  <c r="I103" i="9" s="1"/>
  <c r="D103" i="9"/>
  <c r="CA163" i="3"/>
  <c r="CA153" i="3"/>
  <c r="CA120" i="3"/>
  <c r="CA96" i="3"/>
  <c r="CA88" i="3"/>
  <c r="CA154" i="3"/>
  <c r="CA115" i="3"/>
  <c r="CA107" i="3"/>
  <c r="CA66" i="3"/>
  <c r="CA57" i="3"/>
  <c r="CA41" i="3"/>
  <c r="CA143" i="3"/>
  <c r="CA114" i="3"/>
  <c r="CA82" i="3"/>
  <c r="CA48" i="3"/>
  <c r="C103" i="9"/>
  <c r="CA132" i="3"/>
  <c r="CA122" i="3"/>
  <c r="CA47" i="3"/>
  <c r="BE65" i="4" s="1"/>
  <c r="CA24" i="3"/>
  <c r="CA169" i="3"/>
  <c r="BE77" i="4" s="1"/>
  <c r="CA150" i="3"/>
  <c r="CA121" i="3"/>
  <c r="BE46" i="4" s="1"/>
  <c r="CA14" i="3"/>
  <c r="CA91" i="3"/>
  <c r="CA33" i="3"/>
  <c r="CA56" i="3"/>
  <c r="BE74" i="4" s="1"/>
  <c r="CA32" i="3"/>
  <c r="CA8" i="3"/>
  <c r="CA81" i="3"/>
  <c r="CA64" i="3"/>
  <c r="CA31" i="3"/>
  <c r="CA15" i="3"/>
  <c r="CA30" i="3"/>
  <c r="CA2" i="3"/>
  <c r="CA164" i="3"/>
  <c r="CA49" i="3"/>
  <c r="CA25" i="3"/>
  <c r="CA17" i="3"/>
  <c r="CA9" i="3"/>
  <c r="CA16" i="3"/>
  <c r="CA160" i="3"/>
  <c r="CA23" i="3"/>
  <c r="CA7" i="3"/>
  <c r="CA168" i="3"/>
  <c r="CA149" i="3"/>
  <c r="CA128" i="3"/>
  <c r="CA73" i="3"/>
  <c r="CA54" i="3"/>
  <c r="CA6" i="3"/>
  <c r="CA103" i="3"/>
  <c r="CA72" i="3"/>
  <c r="CA62" i="3"/>
  <c r="CA37" i="3"/>
  <c r="CA147" i="3"/>
  <c r="CA52" i="3"/>
  <c r="CA20" i="3"/>
  <c r="CA12" i="3"/>
  <c r="CA162" i="3"/>
  <c r="CA60" i="3"/>
  <c r="CA97" i="3"/>
  <c r="CA61" i="3"/>
  <c r="CA98" i="3"/>
  <c r="CA90" i="3"/>
  <c r="CA40" i="3"/>
  <c r="CA105" i="3"/>
  <c r="CA70" i="3"/>
  <c r="CA167" i="3"/>
  <c r="CA4" i="3"/>
  <c r="CA63" i="3"/>
  <c r="BE60" i="4" s="1"/>
  <c r="CA139" i="3"/>
  <c r="CA111" i="3"/>
  <c r="CA87" i="3"/>
  <c r="BE29" i="4" s="1"/>
  <c r="CA45" i="3"/>
  <c r="CA29" i="3"/>
  <c r="CA21" i="3"/>
  <c r="CA5" i="3"/>
  <c r="CA106" i="3"/>
  <c r="CA159" i="3"/>
  <c r="CA112" i="3"/>
  <c r="CA46" i="3"/>
  <c r="CA22" i="3"/>
  <c r="CA148" i="3"/>
  <c r="CA119" i="3"/>
  <c r="BE14" i="4" s="1"/>
  <c r="CA102" i="3"/>
  <c r="CA94" i="3"/>
  <c r="CA78" i="3"/>
  <c r="CA69" i="3"/>
  <c r="CA104" i="3"/>
  <c r="CA158" i="3"/>
  <c r="CA127" i="3"/>
  <c r="CA165" i="3"/>
  <c r="CA110" i="3"/>
  <c r="CA36" i="3"/>
  <c r="CA55" i="3"/>
  <c r="BE39" i="4" s="1"/>
  <c r="CA166" i="3"/>
  <c r="CA157" i="3"/>
  <c r="CA44" i="3"/>
  <c r="CA28" i="3"/>
  <c r="CA136" i="3"/>
  <c r="CA117" i="3"/>
  <c r="CA101" i="3"/>
  <c r="CA93" i="3"/>
  <c r="CA85" i="3"/>
  <c r="CA77" i="3"/>
  <c r="CA68" i="3"/>
  <c r="CA51" i="3"/>
  <c r="CA43" i="3"/>
  <c r="CA27" i="3"/>
  <c r="CA19" i="3"/>
  <c r="CA11" i="3"/>
  <c r="CA3" i="3"/>
  <c r="CA145" i="3"/>
  <c r="CA135" i="3"/>
  <c r="BE25" i="4" s="1"/>
  <c r="CA124" i="3"/>
  <c r="CA116" i="3"/>
  <c r="CA108" i="3"/>
  <c r="CA100" i="3"/>
  <c r="CA92" i="3"/>
  <c r="BE64" i="4" s="1"/>
  <c r="CA84" i="3"/>
  <c r="CA76" i="3"/>
  <c r="CA67" i="3"/>
  <c r="CA59" i="3"/>
  <c r="CA50" i="3"/>
  <c r="CA42" i="3"/>
  <c r="CA34" i="3"/>
  <c r="BE53" i="4" s="1"/>
  <c r="BF53" i="4" s="1"/>
  <c r="CA26" i="3"/>
  <c r="CA18" i="3"/>
  <c r="CA10" i="3"/>
  <c r="CA39" i="3"/>
  <c r="AY174" i="3"/>
  <c r="CA13" i="3"/>
  <c r="AZ9" i="4"/>
  <c r="AZ10" i="4"/>
  <c r="AZ26" i="4"/>
  <c r="AZ77" i="4"/>
  <c r="AZ43" i="4"/>
  <c r="AZ14" i="4"/>
  <c r="AZ15" i="4"/>
  <c r="AZ16" i="4"/>
  <c r="AZ17" i="4"/>
  <c r="AZ37" i="4"/>
  <c r="AZ45" i="4"/>
  <c r="AZ20" i="4"/>
  <c r="AZ21" i="4"/>
  <c r="AZ22" i="4"/>
  <c r="AZ19" i="4"/>
  <c r="AZ27" i="4"/>
  <c r="AZ25" i="4"/>
  <c r="AZ63" i="4"/>
  <c r="AZ57" i="4"/>
  <c r="AZ28" i="4"/>
  <c r="AZ13" i="4"/>
  <c r="AZ30" i="4"/>
  <c r="AZ31" i="4"/>
  <c r="AZ58" i="4"/>
  <c r="AZ33" i="4"/>
  <c r="AZ34" i="4"/>
  <c r="AZ59" i="4"/>
  <c r="AZ36" i="4"/>
  <c r="AZ32" i="4"/>
  <c r="AZ38" i="4"/>
  <c r="AZ39" i="4"/>
  <c r="AZ40" i="4"/>
  <c r="AZ24" i="4"/>
  <c r="AZ42" i="4"/>
  <c r="AZ66" i="4"/>
  <c r="AZ44" i="4"/>
  <c r="AZ41" i="4"/>
  <c r="AZ46" i="4"/>
  <c r="AZ47" i="4"/>
  <c r="AZ48" i="4"/>
  <c r="AZ49" i="4"/>
  <c r="AZ50" i="4"/>
  <c r="AZ51" i="4"/>
  <c r="AZ52" i="4"/>
  <c r="AZ53" i="4"/>
  <c r="AZ54" i="4"/>
  <c r="AZ55" i="4"/>
  <c r="AZ56" i="4"/>
  <c r="AZ18" i="4"/>
  <c r="AZ75" i="4"/>
  <c r="AZ62" i="4"/>
  <c r="AZ60" i="4"/>
  <c r="AZ61" i="4"/>
  <c r="AZ29" i="4"/>
  <c r="AZ11" i="4"/>
  <c r="AZ64" i="4"/>
  <c r="AZ65" i="4"/>
  <c r="AZ68" i="4"/>
  <c r="AZ67" i="4"/>
  <c r="AZ71" i="4"/>
  <c r="AZ69" i="4"/>
  <c r="AZ70" i="4"/>
  <c r="AZ12" i="4"/>
  <c r="AZ72" i="4"/>
  <c r="AZ73" i="4"/>
  <c r="AZ74" i="4"/>
  <c r="AZ23" i="4"/>
  <c r="AZ76" i="4"/>
  <c r="AZ35" i="4"/>
  <c r="AZ78" i="4"/>
  <c r="AZ79" i="4"/>
  <c r="AZ80" i="4"/>
  <c r="AZ8" i="4"/>
  <c r="AU9" i="4"/>
  <c r="AU10" i="4"/>
  <c r="AU26" i="4"/>
  <c r="AU77" i="4"/>
  <c r="AU43" i="4"/>
  <c r="AU14" i="4"/>
  <c r="AU15" i="4"/>
  <c r="AU16" i="4"/>
  <c r="AU17" i="4"/>
  <c r="AU37" i="4"/>
  <c r="AU45" i="4"/>
  <c r="AU20" i="4"/>
  <c r="AU21" i="4"/>
  <c r="AU22" i="4"/>
  <c r="AU19" i="4"/>
  <c r="AU27" i="4"/>
  <c r="AU25" i="4"/>
  <c r="AU63" i="4"/>
  <c r="AU57" i="4"/>
  <c r="AU28" i="4"/>
  <c r="AU13" i="4"/>
  <c r="AU30" i="4"/>
  <c r="AU31" i="4"/>
  <c r="AU58" i="4"/>
  <c r="AU33" i="4"/>
  <c r="AU34" i="4"/>
  <c r="AU59" i="4"/>
  <c r="AU36" i="4"/>
  <c r="AU32" i="4"/>
  <c r="AU38" i="4"/>
  <c r="AU39" i="4"/>
  <c r="AU40" i="4"/>
  <c r="AU24" i="4"/>
  <c r="AU42" i="4"/>
  <c r="AU66" i="4"/>
  <c r="AU44" i="4"/>
  <c r="AU41" i="4"/>
  <c r="AU46" i="4"/>
  <c r="AU47" i="4"/>
  <c r="AU48" i="4"/>
  <c r="AU49" i="4"/>
  <c r="AU50" i="4"/>
  <c r="AU51" i="4"/>
  <c r="AU52" i="4"/>
  <c r="AU53" i="4"/>
  <c r="AU54" i="4"/>
  <c r="AU55" i="4"/>
  <c r="AU56" i="4"/>
  <c r="AU18" i="4"/>
  <c r="AU75" i="4"/>
  <c r="AU62" i="4"/>
  <c r="AU60" i="4"/>
  <c r="AU61" i="4"/>
  <c r="AU29" i="4"/>
  <c r="AU11" i="4"/>
  <c r="AU64" i="4"/>
  <c r="AU65" i="4"/>
  <c r="AU68" i="4"/>
  <c r="AU67" i="4"/>
  <c r="AU71" i="4"/>
  <c r="AU69" i="4"/>
  <c r="AU70" i="4"/>
  <c r="AU12" i="4"/>
  <c r="AU72" i="4"/>
  <c r="AU73" i="4"/>
  <c r="AU74" i="4"/>
  <c r="AU23" i="4"/>
  <c r="AU76" i="4"/>
  <c r="AU35" i="4"/>
  <c r="AU78" i="4"/>
  <c r="AU79" i="4"/>
  <c r="AU80" i="4"/>
  <c r="AU8" i="4"/>
  <c r="AP9" i="4"/>
  <c r="AP10" i="4"/>
  <c r="AP26" i="4"/>
  <c r="AP77" i="4"/>
  <c r="AP43" i="4"/>
  <c r="AP14" i="4"/>
  <c r="AP15" i="4"/>
  <c r="AP16" i="4"/>
  <c r="AP17" i="4"/>
  <c r="AP37" i="4"/>
  <c r="AP45" i="4"/>
  <c r="AP20" i="4"/>
  <c r="AP21" i="4"/>
  <c r="AP22" i="4"/>
  <c r="AP19" i="4"/>
  <c r="AP27" i="4"/>
  <c r="AP25" i="4"/>
  <c r="AP63" i="4"/>
  <c r="AP57" i="4"/>
  <c r="AP28" i="4"/>
  <c r="AP13" i="4"/>
  <c r="AP30" i="4"/>
  <c r="AP31" i="4"/>
  <c r="AP58" i="4"/>
  <c r="AP33" i="4"/>
  <c r="AP34" i="4"/>
  <c r="AP59" i="4"/>
  <c r="AP36" i="4"/>
  <c r="AP32" i="4"/>
  <c r="AP38" i="4"/>
  <c r="AP39" i="4"/>
  <c r="AP40" i="4"/>
  <c r="AP24" i="4"/>
  <c r="AP42" i="4"/>
  <c r="AP66" i="4"/>
  <c r="AP44" i="4"/>
  <c r="AP41" i="4"/>
  <c r="AP46" i="4"/>
  <c r="AP47" i="4"/>
  <c r="AP48" i="4"/>
  <c r="AP49" i="4"/>
  <c r="AP50" i="4"/>
  <c r="AP51" i="4"/>
  <c r="AP52" i="4"/>
  <c r="AP53" i="4"/>
  <c r="AP54" i="4"/>
  <c r="AP55" i="4"/>
  <c r="AP56" i="4"/>
  <c r="AP18" i="4"/>
  <c r="AP75" i="4"/>
  <c r="AP62" i="4"/>
  <c r="AP60" i="4"/>
  <c r="AP61" i="4"/>
  <c r="AP29" i="4"/>
  <c r="AP11" i="4"/>
  <c r="AP64" i="4"/>
  <c r="AP65" i="4"/>
  <c r="AP68" i="4"/>
  <c r="AP67" i="4"/>
  <c r="AP71" i="4"/>
  <c r="AP69" i="4"/>
  <c r="AP70" i="4"/>
  <c r="AP12" i="4"/>
  <c r="AP72" i="4"/>
  <c r="AP73" i="4"/>
  <c r="AP74" i="4"/>
  <c r="AP23" i="4"/>
  <c r="AP76" i="4"/>
  <c r="AP35" i="4"/>
  <c r="AP78" i="4"/>
  <c r="AP79" i="4"/>
  <c r="AP80" i="4"/>
  <c r="AP8" i="4"/>
  <c r="BE78" i="4" l="1"/>
  <c r="BE75" i="4"/>
  <c r="F103" i="9"/>
  <c r="G103" i="9" s="1"/>
  <c r="J103" i="9" s="1"/>
  <c r="D106" i="9"/>
  <c r="BE67" i="4"/>
  <c r="BE11" i="4"/>
  <c r="BE33" i="4"/>
  <c r="I106" i="9"/>
  <c r="C106" i="9"/>
  <c r="C108" i="9" s="1"/>
  <c r="H103" i="9"/>
  <c r="BE42" i="4"/>
  <c r="BE31" i="4"/>
  <c r="BE49" i="4"/>
  <c r="BF49" i="4" s="1"/>
  <c r="BE69" i="4"/>
  <c r="BE8" i="4"/>
  <c r="BE43" i="4"/>
  <c r="BE37" i="4"/>
  <c r="BE10" i="4"/>
  <c r="BE13" i="4"/>
  <c r="BE35" i="4"/>
  <c r="BE32" i="4"/>
  <c r="BE71" i="4"/>
  <c r="BE28" i="4"/>
  <c r="BF28" i="4" s="1"/>
  <c r="BE27" i="4"/>
  <c r="BE72" i="4"/>
  <c r="BE16" i="4"/>
  <c r="BE80" i="4"/>
  <c r="BE56" i="4"/>
  <c r="BE23" i="4"/>
  <c r="BE12" i="4"/>
  <c r="BE73" i="4"/>
  <c r="BE47" i="4"/>
  <c r="BE44" i="4"/>
  <c r="BF44" i="4" s="1"/>
  <c r="BE55" i="4"/>
  <c r="BE30" i="4"/>
  <c r="AN9" i="4"/>
  <c r="AO9" i="4" s="1"/>
  <c r="AN10" i="4"/>
  <c r="AO10" i="4" s="1"/>
  <c r="AN26" i="4"/>
  <c r="AO26" i="4" s="1"/>
  <c r="AN77" i="4"/>
  <c r="AO77" i="4" s="1"/>
  <c r="AN43" i="4"/>
  <c r="AO43" i="4" s="1"/>
  <c r="AN14" i="4"/>
  <c r="AO14" i="4" s="1"/>
  <c r="AN15" i="4"/>
  <c r="AO15" i="4" s="1"/>
  <c r="AN16" i="4"/>
  <c r="AO16" i="4" s="1"/>
  <c r="AN17" i="4"/>
  <c r="AO17" i="4" s="1"/>
  <c r="AN37" i="4"/>
  <c r="AO37" i="4" s="1"/>
  <c r="AN45" i="4"/>
  <c r="AO45" i="4" s="1"/>
  <c r="AN20" i="4"/>
  <c r="AO20" i="4" s="1"/>
  <c r="AN21" i="4"/>
  <c r="AO21" i="4" s="1"/>
  <c r="AN22" i="4"/>
  <c r="AO22" i="4" s="1"/>
  <c r="AN19" i="4"/>
  <c r="AO19" i="4" s="1"/>
  <c r="AN27" i="4"/>
  <c r="AO27" i="4" s="1"/>
  <c r="AN25" i="4"/>
  <c r="AO25" i="4" s="1"/>
  <c r="AN63" i="4"/>
  <c r="AO63" i="4" s="1"/>
  <c r="AN57" i="4"/>
  <c r="AO57" i="4" s="1"/>
  <c r="AN28" i="4"/>
  <c r="AO28" i="4" s="1"/>
  <c r="AN13" i="4"/>
  <c r="AO13" i="4" s="1"/>
  <c r="AN30" i="4"/>
  <c r="AO30" i="4" s="1"/>
  <c r="AN31" i="4"/>
  <c r="AO31" i="4" s="1"/>
  <c r="AN58" i="4"/>
  <c r="AO58" i="4" s="1"/>
  <c r="AN33" i="4"/>
  <c r="AO33" i="4" s="1"/>
  <c r="AN34" i="4"/>
  <c r="AO34" i="4" s="1"/>
  <c r="AN59" i="4"/>
  <c r="AO59" i="4" s="1"/>
  <c r="AN36" i="4"/>
  <c r="AO36" i="4" s="1"/>
  <c r="AN32" i="4"/>
  <c r="AO32" i="4" s="1"/>
  <c r="AN38" i="4"/>
  <c r="AO38" i="4" s="1"/>
  <c r="AN39" i="4"/>
  <c r="AO39" i="4" s="1"/>
  <c r="AN40" i="4"/>
  <c r="AO40" i="4" s="1"/>
  <c r="AN24" i="4"/>
  <c r="AO24" i="4" s="1"/>
  <c r="AN42" i="4"/>
  <c r="AO42" i="4" s="1"/>
  <c r="AN66" i="4"/>
  <c r="AO66" i="4" s="1"/>
  <c r="AN44" i="4"/>
  <c r="AO44" i="4" s="1"/>
  <c r="AN41" i="4"/>
  <c r="AO41" i="4" s="1"/>
  <c r="AN46" i="4"/>
  <c r="AO46" i="4" s="1"/>
  <c r="AN47" i="4"/>
  <c r="AO47" i="4" s="1"/>
  <c r="AN48" i="4"/>
  <c r="AO48" i="4" s="1"/>
  <c r="AN49" i="4"/>
  <c r="AO49" i="4" s="1"/>
  <c r="AN50" i="4"/>
  <c r="AO50" i="4" s="1"/>
  <c r="AN51" i="4"/>
  <c r="AO51" i="4" s="1"/>
  <c r="AN52" i="4"/>
  <c r="AO52" i="4" s="1"/>
  <c r="AN53" i="4"/>
  <c r="AO53" i="4" s="1"/>
  <c r="AN54" i="4"/>
  <c r="AO54" i="4" s="1"/>
  <c r="AN55" i="4"/>
  <c r="AO55" i="4" s="1"/>
  <c r="AN56" i="4"/>
  <c r="AO56" i="4" s="1"/>
  <c r="AN18" i="4"/>
  <c r="AO18" i="4" s="1"/>
  <c r="AN75" i="4"/>
  <c r="AO75" i="4" s="1"/>
  <c r="AN62" i="4"/>
  <c r="AO62" i="4" s="1"/>
  <c r="AN60" i="4"/>
  <c r="AO60" i="4" s="1"/>
  <c r="AN61" i="4"/>
  <c r="AO61" i="4" s="1"/>
  <c r="AN29" i="4"/>
  <c r="AO29" i="4" s="1"/>
  <c r="AN11" i="4"/>
  <c r="AO11" i="4" s="1"/>
  <c r="AN64" i="4"/>
  <c r="AO64" i="4" s="1"/>
  <c r="AN65" i="4"/>
  <c r="AO65" i="4" s="1"/>
  <c r="AN68" i="4"/>
  <c r="AO68" i="4" s="1"/>
  <c r="AN67" i="4"/>
  <c r="AO67" i="4" s="1"/>
  <c r="AN71" i="4"/>
  <c r="AO71" i="4" s="1"/>
  <c r="AN69" i="4"/>
  <c r="AO69" i="4" s="1"/>
  <c r="AN70" i="4"/>
  <c r="AO70" i="4" s="1"/>
  <c r="AN12" i="4"/>
  <c r="AO12" i="4" s="1"/>
  <c r="AN72" i="4"/>
  <c r="AO72" i="4" s="1"/>
  <c r="AN73" i="4"/>
  <c r="AO73" i="4" s="1"/>
  <c r="AN74" i="4"/>
  <c r="AO74" i="4" s="1"/>
  <c r="AN23" i="4"/>
  <c r="AO23" i="4" s="1"/>
  <c r="AN76" i="4"/>
  <c r="AO76" i="4" s="1"/>
  <c r="AN35" i="4"/>
  <c r="AO35" i="4" s="1"/>
  <c r="AN78" i="4"/>
  <c r="AO78" i="4" s="1"/>
  <c r="AN79" i="4"/>
  <c r="AO79" i="4" s="1"/>
  <c r="AN80" i="4"/>
  <c r="AO80" i="4" s="1"/>
  <c r="AN8" i="4"/>
  <c r="AO8" i="4" s="1"/>
  <c r="F106" i="9" l="1"/>
  <c r="G106" i="9" s="1"/>
  <c r="D108" i="9"/>
  <c r="D110" i="9" s="1"/>
  <c r="F110" i="9" s="1"/>
  <c r="G110" i="9" s="1"/>
  <c r="J110" i="9" s="1"/>
  <c r="I108" i="9"/>
  <c r="I110" i="9" s="1"/>
  <c r="C110" i="9"/>
  <c r="AJ9" i="4"/>
  <c r="AJ10" i="4"/>
  <c r="AJ26" i="4"/>
  <c r="AJ77" i="4"/>
  <c r="AJ43" i="4"/>
  <c r="AJ14" i="4"/>
  <c r="AJ15" i="4"/>
  <c r="AJ16" i="4"/>
  <c r="AJ17" i="4"/>
  <c r="AJ37" i="4"/>
  <c r="AJ45" i="4"/>
  <c r="AJ20" i="4"/>
  <c r="AJ21" i="4"/>
  <c r="AJ22" i="4"/>
  <c r="AJ19" i="4"/>
  <c r="AJ27" i="4"/>
  <c r="AJ25" i="4"/>
  <c r="AJ63" i="4"/>
  <c r="AJ57" i="4"/>
  <c r="AJ28" i="4"/>
  <c r="AJ13" i="4"/>
  <c r="AJ30" i="4"/>
  <c r="AJ31" i="4"/>
  <c r="AJ58" i="4"/>
  <c r="AJ33" i="4"/>
  <c r="AJ34" i="4"/>
  <c r="AJ59" i="4"/>
  <c r="AJ36" i="4"/>
  <c r="AJ32" i="4"/>
  <c r="AJ38" i="4"/>
  <c r="AJ39" i="4"/>
  <c r="AJ40" i="4"/>
  <c r="AJ24" i="4"/>
  <c r="AJ42" i="4"/>
  <c r="AJ66" i="4"/>
  <c r="AJ44" i="4"/>
  <c r="AJ41" i="4"/>
  <c r="AJ46" i="4"/>
  <c r="AJ47" i="4"/>
  <c r="AJ48" i="4"/>
  <c r="AJ49" i="4"/>
  <c r="AJ50" i="4"/>
  <c r="AJ51" i="4"/>
  <c r="AJ52" i="4"/>
  <c r="AJ53" i="4"/>
  <c r="AJ54" i="4"/>
  <c r="AJ55" i="4"/>
  <c r="AJ56" i="4"/>
  <c r="AJ18" i="4"/>
  <c r="AJ75" i="4"/>
  <c r="AJ62" i="4"/>
  <c r="AJ60" i="4"/>
  <c r="AJ61" i="4"/>
  <c r="AJ29" i="4"/>
  <c r="AJ11" i="4"/>
  <c r="AJ64" i="4"/>
  <c r="AJ65" i="4"/>
  <c r="AJ68" i="4"/>
  <c r="AJ67" i="4"/>
  <c r="AJ71" i="4"/>
  <c r="AJ69" i="4"/>
  <c r="AJ70" i="4"/>
  <c r="AJ12" i="4"/>
  <c r="AJ72" i="4"/>
  <c r="AJ73" i="4"/>
  <c r="AJ74" i="4"/>
  <c r="AJ23" i="4"/>
  <c r="AJ76" i="4"/>
  <c r="AJ35" i="4"/>
  <c r="AJ78" i="4"/>
  <c r="AJ79" i="4"/>
  <c r="AJ80" i="4"/>
  <c r="F9" i="4"/>
  <c r="F96" i="4" s="1"/>
  <c r="F38" i="4"/>
  <c r="F100" i="4" s="1"/>
  <c r="F47" i="4"/>
  <c r="F49" i="4"/>
  <c r="F50" i="4"/>
  <c r="F51" i="4"/>
  <c r="F52" i="4"/>
  <c r="F76" i="4"/>
  <c r="F79" i="4"/>
  <c r="F7" i="4"/>
  <c r="AA79" i="4"/>
  <c r="I77" i="5"/>
  <c r="I76" i="5"/>
  <c r="I75" i="5"/>
  <c r="I74" i="5"/>
  <c r="I73" i="5"/>
  <c r="J73" i="5" s="1"/>
  <c r="I72" i="5"/>
  <c r="J72" i="5" s="1"/>
  <c r="AA38" i="4" s="1"/>
  <c r="I71" i="5"/>
  <c r="J71" i="5" s="1"/>
  <c r="AA9" i="4" s="1"/>
  <c r="C77" i="5"/>
  <c r="C76" i="5"/>
  <c r="C75" i="5"/>
  <c r="C74" i="5"/>
  <c r="C73" i="5"/>
  <c r="C72" i="5"/>
  <c r="C71" i="5"/>
  <c r="U7" i="4"/>
  <c r="T7" i="4"/>
  <c r="S7" i="4"/>
  <c r="R7" i="4"/>
  <c r="X7" i="4" s="1"/>
  <c r="Q7" i="4"/>
  <c r="P7" i="4"/>
  <c r="O7" i="4"/>
  <c r="N7" i="4"/>
  <c r="M7" i="4"/>
  <c r="L7" i="4"/>
  <c r="K7" i="4"/>
  <c r="J7" i="4"/>
  <c r="I7" i="4"/>
  <c r="H7" i="4"/>
  <c r="G7" i="4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4" i="7"/>
  <c r="G79" i="4"/>
  <c r="H79" i="4"/>
  <c r="I79" i="4"/>
  <c r="J79" i="4"/>
  <c r="K79" i="4"/>
  <c r="L79" i="4"/>
  <c r="M79" i="4"/>
  <c r="N79" i="4"/>
  <c r="O79" i="4"/>
  <c r="P79" i="4"/>
  <c r="Q79" i="4"/>
  <c r="R79" i="4"/>
  <c r="X79" i="4" s="1"/>
  <c r="S79" i="4"/>
  <c r="T79" i="4"/>
  <c r="U79" i="4"/>
  <c r="BP79" i="4" s="1"/>
  <c r="BQ79" i="4" s="1"/>
  <c r="U52" i="4"/>
  <c r="BP52" i="4" s="1"/>
  <c r="BQ52" i="4" s="1"/>
  <c r="T52" i="4"/>
  <c r="S52" i="4"/>
  <c r="R52" i="4"/>
  <c r="X52" i="4" s="1"/>
  <c r="Q52" i="4"/>
  <c r="P52" i="4"/>
  <c r="O52" i="4"/>
  <c r="N52" i="4"/>
  <c r="M52" i="4"/>
  <c r="L52" i="4"/>
  <c r="K52" i="4"/>
  <c r="J52" i="4"/>
  <c r="I52" i="4"/>
  <c r="H52" i="4"/>
  <c r="G52" i="4"/>
  <c r="U51" i="4"/>
  <c r="BP51" i="4" s="1"/>
  <c r="BQ51" i="4" s="1"/>
  <c r="T51" i="4"/>
  <c r="S51" i="4"/>
  <c r="R51" i="4"/>
  <c r="X51" i="4" s="1"/>
  <c r="Q51" i="4"/>
  <c r="P51" i="4"/>
  <c r="O51" i="4"/>
  <c r="N51" i="4"/>
  <c r="M51" i="4"/>
  <c r="L51" i="4"/>
  <c r="K51" i="4"/>
  <c r="J51" i="4"/>
  <c r="I51" i="4"/>
  <c r="H51" i="4"/>
  <c r="G51" i="4"/>
  <c r="U50" i="4"/>
  <c r="BP50" i="4" s="1"/>
  <c r="BQ50" i="4" s="1"/>
  <c r="T50" i="4"/>
  <c r="S50" i="4"/>
  <c r="R50" i="4"/>
  <c r="X50" i="4" s="1"/>
  <c r="Q50" i="4"/>
  <c r="P50" i="4"/>
  <c r="O50" i="4"/>
  <c r="N50" i="4"/>
  <c r="M50" i="4"/>
  <c r="L50" i="4"/>
  <c r="K50" i="4"/>
  <c r="J50" i="4"/>
  <c r="I50" i="4"/>
  <c r="H50" i="4"/>
  <c r="G50" i="4"/>
  <c r="U49" i="4"/>
  <c r="BP49" i="4" s="1"/>
  <c r="BQ49" i="4" s="1"/>
  <c r="T49" i="4"/>
  <c r="S49" i="4"/>
  <c r="R49" i="4"/>
  <c r="X49" i="4" s="1"/>
  <c r="Q49" i="4"/>
  <c r="P49" i="4"/>
  <c r="O49" i="4"/>
  <c r="N49" i="4"/>
  <c r="M49" i="4"/>
  <c r="L49" i="4"/>
  <c r="K49" i="4"/>
  <c r="J49" i="4"/>
  <c r="I49" i="4"/>
  <c r="H49" i="4"/>
  <c r="G49" i="4"/>
  <c r="H110" i="9" l="1"/>
  <c r="D112" i="9"/>
  <c r="F108" i="9"/>
  <c r="G108" i="9" s="1"/>
  <c r="C112" i="9"/>
  <c r="H106" i="9"/>
  <c r="J106" i="9"/>
  <c r="L106" i="9" s="1"/>
  <c r="I112" i="9"/>
  <c r="I115" i="9" s="1"/>
  <c r="I117" i="9" s="1"/>
  <c r="D67" i="7"/>
  <c r="AI79" i="4"/>
  <c r="BR49" i="4"/>
  <c r="BS49" i="4" s="1"/>
  <c r="BT50" i="4"/>
  <c r="BU50" i="4" s="1"/>
  <c r="BR79" i="4"/>
  <c r="BS79" i="4" s="1"/>
  <c r="AB50" i="4"/>
  <c r="AB49" i="4"/>
  <c r="AC52" i="4"/>
  <c r="AB79" i="4"/>
  <c r="AB51" i="4"/>
  <c r="BR52" i="4"/>
  <c r="BS52" i="4" s="1"/>
  <c r="BR51" i="4"/>
  <c r="BS51" i="4" s="1"/>
  <c r="BR50" i="4"/>
  <c r="BS50" i="4" s="1"/>
  <c r="BT79" i="4"/>
  <c r="BU79" i="4" s="1"/>
  <c r="BT49" i="4"/>
  <c r="BU49" i="4" s="1"/>
  <c r="BT52" i="4"/>
  <c r="BU52" i="4" s="1"/>
  <c r="BT51" i="4"/>
  <c r="BU51" i="4" s="1"/>
  <c r="AC79" i="4"/>
  <c r="AC51" i="4"/>
  <c r="Y7" i="4"/>
  <c r="AC50" i="4"/>
  <c r="AC49" i="4"/>
  <c r="AB52" i="4"/>
  <c r="Y51" i="4"/>
  <c r="Y50" i="4"/>
  <c r="Y52" i="4"/>
  <c r="W7" i="4"/>
  <c r="Y49" i="4"/>
  <c r="Y79" i="4"/>
  <c r="W51" i="4"/>
  <c r="W79" i="4"/>
  <c r="Z7" i="4"/>
  <c r="Z51" i="4"/>
  <c r="Z79" i="4"/>
  <c r="W50" i="4"/>
  <c r="Z50" i="4"/>
  <c r="W52" i="4"/>
  <c r="Z49" i="4"/>
  <c r="Z52" i="4"/>
  <c r="W49" i="4"/>
  <c r="V7" i="4"/>
  <c r="V50" i="4"/>
  <c r="V79" i="4"/>
  <c r="AL79" i="4" s="1"/>
  <c r="AM79" i="4" s="1"/>
  <c r="V49" i="4"/>
  <c r="V52" i="4"/>
  <c r="V51" i="4"/>
  <c r="J108" i="9" l="1"/>
  <c r="L108" i="9" s="1"/>
  <c r="M108" i="9" s="1"/>
  <c r="H108" i="9"/>
  <c r="F112" i="9"/>
  <c r="G112" i="9" s="1"/>
  <c r="J112" i="9" s="1"/>
  <c r="D115" i="9"/>
  <c r="C115" i="9"/>
  <c r="C117" i="9" s="1"/>
  <c r="BC7" i="4"/>
  <c r="AM7" i="4"/>
  <c r="AX7" i="4"/>
  <c r="BF7" i="4"/>
  <c r="AI7" i="4"/>
  <c r="AL52" i="4"/>
  <c r="AM52" i="4" s="1"/>
  <c r="AL49" i="4"/>
  <c r="AM49" i="4" s="1"/>
  <c r="AL51" i="4"/>
  <c r="AM51" i="4" s="1"/>
  <c r="AL50" i="4"/>
  <c r="AM50" i="4" s="1"/>
  <c r="BH79" i="4"/>
  <c r="BI79" i="4" s="1"/>
  <c r="BH50" i="4"/>
  <c r="BI50" i="4" s="1"/>
  <c r="BH51" i="4"/>
  <c r="BI51" i="4" s="1"/>
  <c r="BH52" i="4"/>
  <c r="BI52" i="4" s="1"/>
  <c r="BH49" i="4"/>
  <c r="BI49" i="4" s="1"/>
  <c r="BA49" i="4"/>
  <c r="BB49" i="4"/>
  <c r="BC49" i="4" s="1"/>
  <c r="BA52" i="4"/>
  <c r="BB52" i="4"/>
  <c r="BC52" i="4" s="1"/>
  <c r="BA79" i="4"/>
  <c r="BB79" i="4"/>
  <c r="BC79" i="4" s="1"/>
  <c r="BA51" i="4"/>
  <c r="BB51" i="4"/>
  <c r="BC51" i="4" s="1"/>
  <c r="BA50" i="4"/>
  <c r="BB50" i="4"/>
  <c r="BC50" i="4" s="1"/>
  <c r="AW49" i="4"/>
  <c r="AX49" i="4" s="1"/>
  <c r="AV49" i="4"/>
  <c r="AW79" i="4"/>
  <c r="AX79" i="4" s="1"/>
  <c r="AV79" i="4"/>
  <c r="AW52" i="4"/>
  <c r="AX52" i="4" s="1"/>
  <c r="AV52" i="4"/>
  <c r="AW51" i="4"/>
  <c r="AX51" i="4" s="1"/>
  <c r="AV51" i="4"/>
  <c r="AW50" i="4"/>
  <c r="AX50" i="4" s="1"/>
  <c r="AV50" i="4"/>
  <c r="AR52" i="4"/>
  <c r="AS52" i="4" s="1"/>
  <c r="AQ52" i="4"/>
  <c r="AR79" i="4"/>
  <c r="AS79" i="4" s="1"/>
  <c r="AQ79" i="4"/>
  <c r="AR49" i="4"/>
  <c r="AS49" i="4" s="1"/>
  <c r="AQ49" i="4"/>
  <c r="AR51" i="4"/>
  <c r="AS51" i="4" s="1"/>
  <c r="AQ51" i="4"/>
  <c r="AR50" i="4"/>
  <c r="AS50" i="4" s="1"/>
  <c r="AQ50" i="4"/>
  <c r="AD52" i="4"/>
  <c r="AF52" i="4"/>
  <c r="AE52" i="4"/>
  <c r="AD49" i="4"/>
  <c r="AF49" i="4"/>
  <c r="AE49" i="4"/>
  <c r="AD79" i="4"/>
  <c r="AE79" i="4"/>
  <c r="AF79" i="4"/>
  <c r="AD51" i="4"/>
  <c r="AE51" i="4"/>
  <c r="AF51" i="4"/>
  <c r="AD50" i="4"/>
  <c r="AF50" i="4"/>
  <c r="AE50" i="4"/>
  <c r="F115" i="9" l="1"/>
  <c r="G115" i="9" s="1"/>
  <c r="D117" i="9"/>
  <c r="F117" i="9" s="1"/>
  <c r="G117" i="9" s="1"/>
  <c r="H112" i="9"/>
  <c r="AG49" i="4"/>
  <c r="AG51" i="4"/>
  <c r="AG79" i="4"/>
  <c r="AG50" i="4"/>
  <c r="AG52" i="4"/>
  <c r="J117" i="9" l="1"/>
  <c r="H117" i="9"/>
  <c r="J115" i="9"/>
  <c r="H115" i="9"/>
  <c r="BD50" i="4"/>
  <c r="AY50" i="4"/>
  <c r="BD79" i="4"/>
  <c r="AY79" i="4"/>
  <c r="BD51" i="4"/>
  <c r="AY51" i="4"/>
  <c r="BD52" i="4"/>
  <c r="AY52" i="4"/>
  <c r="BD49" i="4"/>
  <c r="AY49" i="4"/>
  <c r="BJ50" i="4"/>
  <c r="AT50" i="4"/>
  <c r="BJ79" i="4"/>
  <c r="AT79" i="4"/>
  <c r="BJ51" i="4"/>
  <c r="AT51" i="4"/>
  <c r="BJ52" i="4"/>
  <c r="AT52" i="4"/>
  <c r="BJ49" i="4"/>
  <c r="AT49" i="4"/>
  <c r="H8" i="4"/>
  <c r="I8" i="4"/>
  <c r="J8" i="4"/>
  <c r="K8" i="4"/>
  <c r="L8" i="4"/>
  <c r="M8" i="4"/>
  <c r="N8" i="4"/>
  <c r="O8" i="4"/>
  <c r="P8" i="4"/>
  <c r="Q8" i="4"/>
  <c r="R8" i="4"/>
  <c r="X8" i="4" s="1"/>
  <c r="S8" i="4"/>
  <c r="T8" i="4"/>
  <c r="U8" i="4"/>
  <c r="G9" i="4"/>
  <c r="H9" i="4"/>
  <c r="I9" i="4"/>
  <c r="J9" i="4"/>
  <c r="K9" i="4"/>
  <c r="L9" i="4"/>
  <c r="M9" i="4"/>
  <c r="N9" i="4"/>
  <c r="O9" i="4"/>
  <c r="P9" i="4"/>
  <c r="Q9" i="4"/>
  <c r="R9" i="4"/>
  <c r="X9" i="4" s="1"/>
  <c r="S9" i="4"/>
  <c r="T9" i="4"/>
  <c r="U9" i="4"/>
  <c r="BP9" i="4" s="1"/>
  <c r="BQ9" i="4" s="1"/>
  <c r="G10" i="4"/>
  <c r="H10" i="4"/>
  <c r="I10" i="4"/>
  <c r="J10" i="4"/>
  <c r="K10" i="4"/>
  <c r="L10" i="4"/>
  <c r="M10" i="4"/>
  <c r="N10" i="4"/>
  <c r="O10" i="4"/>
  <c r="P10" i="4"/>
  <c r="Q10" i="4"/>
  <c r="R10" i="4"/>
  <c r="X10" i="4" s="1"/>
  <c r="S10" i="4"/>
  <c r="T10" i="4"/>
  <c r="U10" i="4"/>
  <c r="BP10" i="4" s="1"/>
  <c r="BQ10" i="4" s="1"/>
  <c r="G26" i="4"/>
  <c r="H26" i="4"/>
  <c r="I26" i="4"/>
  <c r="J26" i="4"/>
  <c r="K26" i="4"/>
  <c r="L26" i="4"/>
  <c r="M26" i="4"/>
  <c r="N26" i="4"/>
  <c r="O26" i="4"/>
  <c r="P26" i="4"/>
  <c r="Q26" i="4"/>
  <c r="R26" i="4"/>
  <c r="X26" i="4" s="1"/>
  <c r="S26" i="4"/>
  <c r="T26" i="4"/>
  <c r="U26" i="4"/>
  <c r="BP26" i="4" s="1"/>
  <c r="BQ26" i="4" s="1"/>
  <c r="G77" i="4"/>
  <c r="H77" i="4"/>
  <c r="I77" i="4"/>
  <c r="J77" i="4"/>
  <c r="K77" i="4"/>
  <c r="L77" i="4"/>
  <c r="M77" i="4"/>
  <c r="N77" i="4"/>
  <c r="O77" i="4"/>
  <c r="P77" i="4"/>
  <c r="Q77" i="4"/>
  <c r="R77" i="4"/>
  <c r="X77" i="4" s="1"/>
  <c r="S77" i="4"/>
  <c r="T77" i="4"/>
  <c r="U77" i="4"/>
  <c r="BP77" i="4" s="1"/>
  <c r="BQ77" i="4" s="1"/>
  <c r="G43" i="4"/>
  <c r="H43" i="4"/>
  <c r="I43" i="4"/>
  <c r="J43" i="4"/>
  <c r="K43" i="4"/>
  <c r="L43" i="4"/>
  <c r="M43" i="4"/>
  <c r="N43" i="4"/>
  <c r="O43" i="4"/>
  <c r="P43" i="4"/>
  <c r="Q43" i="4"/>
  <c r="R43" i="4"/>
  <c r="X43" i="4" s="1"/>
  <c r="S43" i="4"/>
  <c r="T43" i="4"/>
  <c r="U43" i="4"/>
  <c r="BP43" i="4" s="1"/>
  <c r="BQ43" i="4" s="1"/>
  <c r="G14" i="4"/>
  <c r="H14" i="4"/>
  <c r="I14" i="4"/>
  <c r="J14" i="4"/>
  <c r="K14" i="4"/>
  <c r="L14" i="4"/>
  <c r="M14" i="4"/>
  <c r="N14" i="4"/>
  <c r="O14" i="4"/>
  <c r="P14" i="4"/>
  <c r="Q14" i="4"/>
  <c r="R14" i="4"/>
  <c r="X14" i="4" s="1"/>
  <c r="S14" i="4"/>
  <c r="T14" i="4"/>
  <c r="U14" i="4"/>
  <c r="BP14" i="4" s="1"/>
  <c r="BQ14" i="4" s="1"/>
  <c r="G15" i="4"/>
  <c r="H15" i="4"/>
  <c r="I15" i="4"/>
  <c r="J15" i="4"/>
  <c r="K15" i="4"/>
  <c r="L15" i="4"/>
  <c r="M15" i="4"/>
  <c r="N15" i="4"/>
  <c r="O15" i="4"/>
  <c r="P15" i="4"/>
  <c r="Q15" i="4"/>
  <c r="R15" i="4"/>
  <c r="X15" i="4" s="1"/>
  <c r="S15" i="4"/>
  <c r="T15" i="4"/>
  <c r="U15" i="4"/>
  <c r="BP15" i="4" s="1"/>
  <c r="BQ15" i="4" s="1"/>
  <c r="G16" i="4"/>
  <c r="H16" i="4"/>
  <c r="I16" i="4"/>
  <c r="J16" i="4"/>
  <c r="K16" i="4"/>
  <c r="L16" i="4"/>
  <c r="M16" i="4"/>
  <c r="N16" i="4"/>
  <c r="O16" i="4"/>
  <c r="P16" i="4"/>
  <c r="Q16" i="4"/>
  <c r="R16" i="4"/>
  <c r="X16" i="4" s="1"/>
  <c r="S16" i="4"/>
  <c r="T16" i="4"/>
  <c r="U16" i="4"/>
  <c r="BP16" i="4" s="1"/>
  <c r="BQ16" i="4" s="1"/>
  <c r="G17" i="4"/>
  <c r="H17" i="4"/>
  <c r="I17" i="4"/>
  <c r="J17" i="4"/>
  <c r="K17" i="4"/>
  <c r="L17" i="4"/>
  <c r="M17" i="4"/>
  <c r="N17" i="4"/>
  <c r="O17" i="4"/>
  <c r="P17" i="4"/>
  <c r="Q17" i="4"/>
  <c r="R17" i="4"/>
  <c r="X17" i="4" s="1"/>
  <c r="S17" i="4"/>
  <c r="T17" i="4"/>
  <c r="U17" i="4"/>
  <c r="BP17" i="4" s="1"/>
  <c r="BQ17" i="4" s="1"/>
  <c r="G37" i="4"/>
  <c r="H37" i="4"/>
  <c r="I37" i="4"/>
  <c r="J37" i="4"/>
  <c r="K37" i="4"/>
  <c r="L37" i="4"/>
  <c r="M37" i="4"/>
  <c r="N37" i="4"/>
  <c r="O37" i="4"/>
  <c r="P37" i="4"/>
  <c r="Q37" i="4"/>
  <c r="R37" i="4"/>
  <c r="X37" i="4" s="1"/>
  <c r="S37" i="4"/>
  <c r="T37" i="4"/>
  <c r="U37" i="4"/>
  <c r="BP37" i="4" s="1"/>
  <c r="BQ37" i="4" s="1"/>
  <c r="G45" i="4"/>
  <c r="H45" i="4"/>
  <c r="I45" i="4"/>
  <c r="J45" i="4"/>
  <c r="K45" i="4"/>
  <c r="L45" i="4"/>
  <c r="M45" i="4"/>
  <c r="N45" i="4"/>
  <c r="O45" i="4"/>
  <c r="P45" i="4"/>
  <c r="Q45" i="4"/>
  <c r="R45" i="4"/>
  <c r="X45" i="4" s="1"/>
  <c r="S45" i="4"/>
  <c r="T45" i="4"/>
  <c r="U45" i="4"/>
  <c r="BP45" i="4" s="1"/>
  <c r="BQ45" i="4" s="1"/>
  <c r="G20" i="4"/>
  <c r="H20" i="4"/>
  <c r="I20" i="4"/>
  <c r="J20" i="4"/>
  <c r="K20" i="4"/>
  <c r="L20" i="4"/>
  <c r="M20" i="4"/>
  <c r="N20" i="4"/>
  <c r="O20" i="4"/>
  <c r="P20" i="4"/>
  <c r="Q20" i="4"/>
  <c r="R20" i="4"/>
  <c r="X20" i="4" s="1"/>
  <c r="S20" i="4"/>
  <c r="T20" i="4"/>
  <c r="U20" i="4"/>
  <c r="BP20" i="4" s="1"/>
  <c r="BQ20" i="4" s="1"/>
  <c r="G21" i="4"/>
  <c r="H21" i="4"/>
  <c r="I21" i="4"/>
  <c r="J21" i="4"/>
  <c r="K21" i="4"/>
  <c r="L21" i="4"/>
  <c r="M21" i="4"/>
  <c r="N21" i="4"/>
  <c r="O21" i="4"/>
  <c r="P21" i="4"/>
  <c r="Q21" i="4"/>
  <c r="R21" i="4"/>
  <c r="X21" i="4" s="1"/>
  <c r="S21" i="4"/>
  <c r="T21" i="4"/>
  <c r="U21" i="4"/>
  <c r="BP21" i="4" s="1"/>
  <c r="BQ21" i="4" s="1"/>
  <c r="G22" i="4"/>
  <c r="H22" i="4"/>
  <c r="I22" i="4"/>
  <c r="J22" i="4"/>
  <c r="K22" i="4"/>
  <c r="L22" i="4"/>
  <c r="M22" i="4"/>
  <c r="N22" i="4"/>
  <c r="O22" i="4"/>
  <c r="P22" i="4"/>
  <c r="Q22" i="4"/>
  <c r="R22" i="4"/>
  <c r="X22" i="4" s="1"/>
  <c r="S22" i="4"/>
  <c r="T22" i="4"/>
  <c r="U22" i="4"/>
  <c r="BP22" i="4" s="1"/>
  <c r="BQ22" i="4" s="1"/>
  <c r="G19" i="4"/>
  <c r="H19" i="4"/>
  <c r="I19" i="4"/>
  <c r="J19" i="4"/>
  <c r="K19" i="4"/>
  <c r="L19" i="4"/>
  <c r="M19" i="4"/>
  <c r="N19" i="4"/>
  <c r="O19" i="4"/>
  <c r="P19" i="4"/>
  <c r="Q19" i="4"/>
  <c r="R19" i="4"/>
  <c r="X19" i="4" s="1"/>
  <c r="S19" i="4"/>
  <c r="T19" i="4"/>
  <c r="U19" i="4"/>
  <c r="BP19" i="4" s="1"/>
  <c r="BQ19" i="4" s="1"/>
  <c r="G27" i="4"/>
  <c r="H27" i="4"/>
  <c r="I27" i="4"/>
  <c r="J27" i="4"/>
  <c r="K27" i="4"/>
  <c r="L27" i="4"/>
  <c r="M27" i="4"/>
  <c r="N27" i="4"/>
  <c r="O27" i="4"/>
  <c r="P27" i="4"/>
  <c r="Q27" i="4"/>
  <c r="R27" i="4"/>
  <c r="X27" i="4" s="1"/>
  <c r="S27" i="4"/>
  <c r="T27" i="4"/>
  <c r="U27" i="4"/>
  <c r="BP27" i="4" s="1"/>
  <c r="BQ27" i="4" s="1"/>
  <c r="G25" i="4"/>
  <c r="H25" i="4"/>
  <c r="I25" i="4"/>
  <c r="J25" i="4"/>
  <c r="K25" i="4"/>
  <c r="L25" i="4"/>
  <c r="M25" i="4"/>
  <c r="N25" i="4"/>
  <c r="O25" i="4"/>
  <c r="P25" i="4"/>
  <c r="Q25" i="4"/>
  <c r="R25" i="4"/>
  <c r="X25" i="4" s="1"/>
  <c r="S25" i="4"/>
  <c r="T25" i="4"/>
  <c r="U25" i="4"/>
  <c r="BP25" i="4" s="1"/>
  <c r="BQ25" i="4" s="1"/>
  <c r="G63" i="4"/>
  <c r="H63" i="4"/>
  <c r="I63" i="4"/>
  <c r="J63" i="4"/>
  <c r="K63" i="4"/>
  <c r="L63" i="4"/>
  <c r="M63" i="4"/>
  <c r="N63" i="4"/>
  <c r="O63" i="4"/>
  <c r="P63" i="4"/>
  <c r="Q63" i="4"/>
  <c r="R63" i="4"/>
  <c r="X63" i="4" s="1"/>
  <c r="S63" i="4"/>
  <c r="T63" i="4"/>
  <c r="U63" i="4"/>
  <c r="BP63" i="4" s="1"/>
  <c r="BQ63" i="4" s="1"/>
  <c r="G57" i="4"/>
  <c r="H57" i="4"/>
  <c r="I57" i="4"/>
  <c r="J57" i="4"/>
  <c r="K57" i="4"/>
  <c r="L57" i="4"/>
  <c r="M57" i="4"/>
  <c r="N57" i="4"/>
  <c r="O57" i="4"/>
  <c r="P57" i="4"/>
  <c r="Q57" i="4"/>
  <c r="R57" i="4"/>
  <c r="X57" i="4" s="1"/>
  <c r="S57" i="4"/>
  <c r="T57" i="4"/>
  <c r="U57" i="4"/>
  <c r="BP57" i="4" s="1"/>
  <c r="BQ57" i="4" s="1"/>
  <c r="G28" i="4"/>
  <c r="H28" i="4"/>
  <c r="I28" i="4"/>
  <c r="J28" i="4"/>
  <c r="K28" i="4"/>
  <c r="L28" i="4"/>
  <c r="M28" i="4"/>
  <c r="N28" i="4"/>
  <c r="O28" i="4"/>
  <c r="P28" i="4"/>
  <c r="Q28" i="4"/>
  <c r="R28" i="4"/>
  <c r="X28" i="4" s="1"/>
  <c r="S28" i="4"/>
  <c r="T28" i="4"/>
  <c r="U28" i="4"/>
  <c r="BP28" i="4" s="1"/>
  <c r="BQ28" i="4" s="1"/>
  <c r="G13" i="4"/>
  <c r="H13" i="4"/>
  <c r="I13" i="4"/>
  <c r="J13" i="4"/>
  <c r="K13" i="4"/>
  <c r="L13" i="4"/>
  <c r="M13" i="4"/>
  <c r="N13" i="4"/>
  <c r="O13" i="4"/>
  <c r="P13" i="4"/>
  <c r="Q13" i="4"/>
  <c r="R13" i="4"/>
  <c r="X13" i="4" s="1"/>
  <c r="S13" i="4"/>
  <c r="T13" i="4"/>
  <c r="U13" i="4"/>
  <c r="BP13" i="4" s="1"/>
  <c r="BQ13" i="4" s="1"/>
  <c r="G30" i="4"/>
  <c r="H30" i="4"/>
  <c r="I30" i="4"/>
  <c r="J30" i="4"/>
  <c r="K30" i="4"/>
  <c r="L30" i="4"/>
  <c r="M30" i="4"/>
  <c r="N30" i="4"/>
  <c r="O30" i="4"/>
  <c r="P30" i="4"/>
  <c r="Q30" i="4"/>
  <c r="R30" i="4"/>
  <c r="X30" i="4" s="1"/>
  <c r="S30" i="4"/>
  <c r="T30" i="4"/>
  <c r="U30" i="4"/>
  <c r="BP30" i="4" s="1"/>
  <c r="BQ30" i="4" s="1"/>
  <c r="G31" i="4"/>
  <c r="H31" i="4"/>
  <c r="I31" i="4"/>
  <c r="J31" i="4"/>
  <c r="K31" i="4"/>
  <c r="L31" i="4"/>
  <c r="M31" i="4"/>
  <c r="N31" i="4"/>
  <c r="O31" i="4"/>
  <c r="P31" i="4"/>
  <c r="Q31" i="4"/>
  <c r="R31" i="4"/>
  <c r="X31" i="4" s="1"/>
  <c r="S31" i="4"/>
  <c r="T31" i="4"/>
  <c r="U31" i="4"/>
  <c r="BP31" i="4" s="1"/>
  <c r="BQ31" i="4" s="1"/>
  <c r="G58" i="4"/>
  <c r="H58" i="4"/>
  <c r="I58" i="4"/>
  <c r="J58" i="4"/>
  <c r="K58" i="4"/>
  <c r="L58" i="4"/>
  <c r="M58" i="4"/>
  <c r="N58" i="4"/>
  <c r="O58" i="4"/>
  <c r="P58" i="4"/>
  <c r="Q58" i="4"/>
  <c r="R58" i="4"/>
  <c r="X58" i="4" s="1"/>
  <c r="S58" i="4"/>
  <c r="T58" i="4"/>
  <c r="U58" i="4"/>
  <c r="BP58" i="4" s="1"/>
  <c r="BQ58" i="4" s="1"/>
  <c r="G33" i="4"/>
  <c r="H33" i="4"/>
  <c r="I33" i="4"/>
  <c r="J33" i="4"/>
  <c r="K33" i="4"/>
  <c r="L33" i="4"/>
  <c r="M33" i="4"/>
  <c r="N33" i="4"/>
  <c r="O33" i="4"/>
  <c r="P33" i="4"/>
  <c r="Q33" i="4"/>
  <c r="R33" i="4"/>
  <c r="X33" i="4" s="1"/>
  <c r="S33" i="4"/>
  <c r="T33" i="4"/>
  <c r="U33" i="4"/>
  <c r="BP33" i="4" s="1"/>
  <c r="BQ33" i="4" s="1"/>
  <c r="G34" i="4"/>
  <c r="H34" i="4"/>
  <c r="I34" i="4"/>
  <c r="J34" i="4"/>
  <c r="K34" i="4"/>
  <c r="L34" i="4"/>
  <c r="M34" i="4"/>
  <c r="N34" i="4"/>
  <c r="O34" i="4"/>
  <c r="P34" i="4"/>
  <c r="Q34" i="4"/>
  <c r="R34" i="4"/>
  <c r="X34" i="4" s="1"/>
  <c r="S34" i="4"/>
  <c r="T34" i="4"/>
  <c r="U34" i="4"/>
  <c r="BP34" i="4" s="1"/>
  <c r="BQ34" i="4" s="1"/>
  <c r="G59" i="4"/>
  <c r="H59" i="4"/>
  <c r="I59" i="4"/>
  <c r="J59" i="4"/>
  <c r="K59" i="4"/>
  <c r="L59" i="4"/>
  <c r="M59" i="4"/>
  <c r="N59" i="4"/>
  <c r="O59" i="4"/>
  <c r="P59" i="4"/>
  <c r="Q59" i="4"/>
  <c r="R59" i="4"/>
  <c r="X59" i="4" s="1"/>
  <c r="S59" i="4"/>
  <c r="T59" i="4"/>
  <c r="U59" i="4"/>
  <c r="BP59" i="4" s="1"/>
  <c r="BQ59" i="4" s="1"/>
  <c r="G36" i="4"/>
  <c r="H36" i="4"/>
  <c r="I36" i="4"/>
  <c r="J36" i="4"/>
  <c r="K36" i="4"/>
  <c r="L36" i="4"/>
  <c r="M36" i="4"/>
  <c r="N36" i="4"/>
  <c r="O36" i="4"/>
  <c r="P36" i="4"/>
  <c r="Q36" i="4"/>
  <c r="R36" i="4"/>
  <c r="X36" i="4" s="1"/>
  <c r="S36" i="4"/>
  <c r="T36" i="4"/>
  <c r="U36" i="4"/>
  <c r="BP36" i="4" s="1"/>
  <c r="BQ36" i="4" s="1"/>
  <c r="G32" i="4"/>
  <c r="H32" i="4"/>
  <c r="I32" i="4"/>
  <c r="J32" i="4"/>
  <c r="K32" i="4"/>
  <c r="L32" i="4"/>
  <c r="M32" i="4"/>
  <c r="N32" i="4"/>
  <c r="O32" i="4"/>
  <c r="P32" i="4"/>
  <c r="Q32" i="4"/>
  <c r="R32" i="4"/>
  <c r="X32" i="4" s="1"/>
  <c r="S32" i="4"/>
  <c r="T32" i="4"/>
  <c r="U32" i="4"/>
  <c r="BP32" i="4" s="1"/>
  <c r="BQ32" i="4" s="1"/>
  <c r="G38" i="4"/>
  <c r="H38" i="4"/>
  <c r="I38" i="4"/>
  <c r="J38" i="4"/>
  <c r="K38" i="4"/>
  <c r="L38" i="4"/>
  <c r="M38" i="4"/>
  <c r="N38" i="4"/>
  <c r="O38" i="4"/>
  <c r="P38" i="4"/>
  <c r="Q38" i="4"/>
  <c r="R38" i="4"/>
  <c r="X38" i="4" s="1"/>
  <c r="S38" i="4"/>
  <c r="T38" i="4"/>
  <c r="U38" i="4"/>
  <c r="BP38" i="4" s="1"/>
  <c r="BQ38" i="4" s="1"/>
  <c r="G39" i="4"/>
  <c r="H39" i="4"/>
  <c r="I39" i="4"/>
  <c r="J39" i="4"/>
  <c r="K39" i="4"/>
  <c r="L39" i="4"/>
  <c r="M39" i="4"/>
  <c r="N39" i="4"/>
  <c r="O39" i="4"/>
  <c r="P39" i="4"/>
  <c r="Q39" i="4"/>
  <c r="R39" i="4"/>
  <c r="X39" i="4" s="1"/>
  <c r="S39" i="4"/>
  <c r="T39" i="4"/>
  <c r="U39" i="4"/>
  <c r="BP39" i="4" s="1"/>
  <c r="BQ39" i="4" s="1"/>
  <c r="G40" i="4"/>
  <c r="H40" i="4"/>
  <c r="I40" i="4"/>
  <c r="J40" i="4"/>
  <c r="K40" i="4"/>
  <c r="L40" i="4"/>
  <c r="M40" i="4"/>
  <c r="N40" i="4"/>
  <c r="O40" i="4"/>
  <c r="P40" i="4"/>
  <c r="Q40" i="4"/>
  <c r="R40" i="4"/>
  <c r="X40" i="4" s="1"/>
  <c r="S40" i="4"/>
  <c r="T40" i="4"/>
  <c r="U40" i="4"/>
  <c r="BP40" i="4" s="1"/>
  <c r="BQ40" i="4" s="1"/>
  <c r="G24" i="4"/>
  <c r="H24" i="4"/>
  <c r="I24" i="4"/>
  <c r="J24" i="4"/>
  <c r="K24" i="4"/>
  <c r="L24" i="4"/>
  <c r="M24" i="4"/>
  <c r="N24" i="4"/>
  <c r="O24" i="4"/>
  <c r="P24" i="4"/>
  <c r="Q24" i="4"/>
  <c r="R24" i="4"/>
  <c r="X24" i="4" s="1"/>
  <c r="S24" i="4"/>
  <c r="T24" i="4"/>
  <c r="U24" i="4"/>
  <c r="BP24" i="4" s="1"/>
  <c r="BQ24" i="4" s="1"/>
  <c r="G42" i="4"/>
  <c r="H42" i="4"/>
  <c r="I42" i="4"/>
  <c r="J42" i="4"/>
  <c r="K42" i="4"/>
  <c r="L42" i="4"/>
  <c r="M42" i="4"/>
  <c r="N42" i="4"/>
  <c r="O42" i="4"/>
  <c r="P42" i="4"/>
  <c r="Q42" i="4"/>
  <c r="R42" i="4"/>
  <c r="X42" i="4" s="1"/>
  <c r="S42" i="4"/>
  <c r="T42" i="4"/>
  <c r="U42" i="4"/>
  <c r="BP42" i="4" s="1"/>
  <c r="BQ42" i="4" s="1"/>
  <c r="G66" i="4"/>
  <c r="H66" i="4"/>
  <c r="I66" i="4"/>
  <c r="J66" i="4"/>
  <c r="K66" i="4"/>
  <c r="L66" i="4"/>
  <c r="M66" i="4"/>
  <c r="N66" i="4"/>
  <c r="O66" i="4"/>
  <c r="P66" i="4"/>
  <c r="Q66" i="4"/>
  <c r="R66" i="4"/>
  <c r="X66" i="4" s="1"/>
  <c r="S66" i="4"/>
  <c r="T66" i="4"/>
  <c r="U66" i="4"/>
  <c r="BP66" i="4" s="1"/>
  <c r="BQ66" i="4" s="1"/>
  <c r="G44" i="4"/>
  <c r="H44" i="4"/>
  <c r="I44" i="4"/>
  <c r="J44" i="4"/>
  <c r="K44" i="4"/>
  <c r="L44" i="4"/>
  <c r="M44" i="4"/>
  <c r="N44" i="4"/>
  <c r="O44" i="4"/>
  <c r="P44" i="4"/>
  <c r="Q44" i="4"/>
  <c r="R44" i="4"/>
  <c r="X44" i="4" s="1"/>
  <c r="S44" i="4"/>
  <c r="T44" i="4"/>
  <c r="U44" i="4"/>
  <c r="BP44" i="4" s="1"/>
  <c r="BQ44" i="4" s="1"/>
  <c r="G41" i="4"/>
  <c r="H41" i="4"/>
  <c r="I41" i="4"/>
  <c r="J41" i="4"/>
  <c r="K41" i="4"/>
  <c r="L41" i="4"/>
  <c r="M41" i="4"/>
  <c r="N41" i="4"/>
  <c r="O41" i="4"/>
  <c r="P41" i="4"/>
  <c r="Q41" i="4"/>
  <c r="R41" i="4"/>
  <c r="X41" i="4" s="1"/>
  <c r="S41" i="4"/>
  <c r="T41" i="4"/>
  <c r="U41" i="4"/>
  <c r="BP41" i="4" s="1"/>
  <c r="BQ41" i="4" s="1"/>
  <c r="G46" i="4"/>
  <c r="H46" i="4"/>
  <c r="I46" i="4"/>
  <c r="J46" i="4"/>
  <c r="K46" i="4"/>
  <c r="L46" i="4"/>
  <c r="M46" i="4"/>
  <c r="N46" i="4"/>
  <c r="O46" i="4"/>
  <c r="P46" i="4"/>
  <c r="Q46" i="4"/>
  <c r="R46" i="4"/>
  <c r="X46" i="4" s="1"/>
  <c r="S46" i="4"/>
  <c r="T46" i="4"/>
  <c r="U46" i="4"/>
  <c r="BP46" i="4" s="1"/>
  <c r="BQ46" i="4" s="1"/>
  <c r="G47" i="4"/>
  <c r="H47" i="4"/>
  <c r="I47" i="4"/>
  <c r="J47" i="4"/>
  <c r="K47" i="4"/>
  <c r="L47" i="4"/>
  <c r="M47" i="4"/>
  <c r="N47" i="4"/>
  <c r="O47" i="4"/>
  <c r="P47" i="4"/>
  <c r="Q47" i="4"/>
  <c r="R47" i="4"/>
  <c r="X47" i="4" s="1"/>
  <c r="S47" i="4"/>
  <c r="T47" i="4"/>
  <c r="U47" i="4"/>
  <c r="BP47" i="4" s="1"/>
  <c r="BQ47" i="4" s="1"/>
  <c r="G48" i="4"/>
  <c r="H48" i="4"/>
  <c r="I48" i="4"/>
  <c r="J48" i="4"/>
  <c r="K48" i="4"/>
  <c r="L48" i="4"/>
  <c r="M48" i="4"/>
  <c r="N48" i="4"/>
  <c r="O48" i="4"/>
  <c r="P48" i="4"/>
  <c r="Q48" i="4"/>
  <c r="R48" i="4"/>
  <c r="X48" i="4" s="1"/>
  <c r="S48" i="4"/>
  <c r="T48" i="4"/>
  <c r="U48" i="4"/>
  <c r="BP48" i="4" s="1"/>
  <c r="BQ48" i="4" s="1"/>
  <c r="G53" i="4"/>
  <c r="H53" i="4"/>
  <c r="I53" i="4"/>
  <c r="J53" i="4"/>
  <c r="K53" i="4"/>
  <c r="L53" i="4"/>
  <c r="M53" i="4"/>
  <c r="N53" i="4"/>
  <c r="O53" i="4"/>
  <c r="P53" i="4"/>
  <c r="Q53" i="4"/>
  <c r="R53" i="4"/>
  <c r="X53" i="4" s="1"/>
  <c r="S53" i="4"/>
  <c r="T53" i="4"/>
  <c r="U53" i="4"/>
  <c r="BP53" i="4" s="1"/>
  <c r="BQ53" i="4" s="1"/>
  <c r="G54" i="4"/>
  <c r="H54" i="4"/>
  <c r="I54" i="4"/>
  <c r="J54" i="4"/>
  <c r="K54" i="4"/>
  <c r="L54" i="4"/>
  <c r="M54" i="4"/>
  <c r="N54" i="4"/>
  <c r="O54" i="4"/>
  <c r="P54" i="4"/>
  <c r="Q54" i="4"/>
  <c r="R54" i="4"/>
  <c r="X54" i="4" s="1"/>
  <c r="S54" i="4"/>
  <c r="T54" i="4"/>
  <c r="U54" i="4"/>
  <c r="BP54" i="4" s="1"/>
  <c r="BQ54" i="4" s="1"/>
  <c r="G55" i="4"/>
  <c r="H55" i="4"/>
  <c r="I55" i="4"/>
  <c r="J55" i="4"/>
  <c r="K55" i="4"/>
  <c r="L55" i="4"/>
  <c r="M55" i="4"/>
  <c r="N55" i="4"/>
  <c r="O55" i="4"/>
  <c r="P55" i="4"/>
  <c r="Q55" i="4"/>
  <c r="R55" i="4"/>
  <c r="X55" i="4" s="1"/>
  <c r="S55" i="4"/>
  <c r="T55" i="4"/>
  <c r="U55" i="4"/>
  <c r="BP55" i="4" s="1"/>
  <c r="BQ55" i="4" s="1"/>
  <c r="G56" i="4"/>
  <c r="H56" i="4"/>
  <c r="I56" i="4"/>
  <c r="J56" i="4"/>
  <c r="K56" i="4"/>
  <c r="L56" i="4"/>
  <c r="M56" i="4"/>
  <c r="N56" i="4"/>
  <c r="O56" i="4"/>
  <c r="P56" i="4"/>
  <c r="Q56" i="4"/>
  <c r="R56" i="4"/>
  <c r="X56" i="4" s="1"/>
  <c r="S56" i="4"/>
  <c r="T56" i="4"/>
  <c r="U56" i="4"/>
  <c r="BP56" i="4" s="1"/>
  <c r="BQ56" i="4" s="1"/>
  <c r="G18" i="4"/>
  <c r="H18" i="4"/>
  <c r="I18" i="4"/>
  <c r="J18" i="4"/>
  <c r="K18" i="4"/>
  <c r="L18" i="4"/>
  <c r="M18" i="4"/>
  <c r="N18" i="4"/>
  <c r="O18" i="4"/>
  <c r="P18" i="4"/>
  <c r="Q18" i="4"/>
  <c r="R18" i="4"/>
  <c r="X18" i="4" s="1"/>
  <c r="S18" i="4"/>
  <c r="T18" i="4"/>
  <c r="U18" i="4"/>
  <c r="BP18" i="4" s="1"/>
  <c r="BQ18" i="4" s="1"/>
  <c r="G75" i="4"/>
  <c r="H75" i="4"/>
  <c r="I75" i="4"/>
  <c r="J75" i="4"/>
  <c r="K75" i="4"/>
  <c r="L75" i="4"/>
  <c r="M75" i="4"/>
  <c r="N75" i="4"/>
  <c r="O75" i="4"/>
  <c r="P75" i="4"/>
  <c r="Q75" i="4"/>
  <c r="R75" i="4"/>
  <c r="X75" i="4" s="1"/>
  <c r="S75" i="4"/>
  <c r="T75" i="4"/>
  <c r="U75" i="4"/>
  <c r="BP75" i="4" s="1"/>
  <c r="BQ75" i="4" s="1"/>
  <c r="G62" i="4"/>
  <c r="H62" i="4"/>
  <c r="I62" i="4"/>
  <c r="J62" i="4"/>
  <c r="K62" i="4"/>
  <c r="L62" i="4"/>
  <c r="M62" i="4"/>
  <c r="N62" i="4"/>
  <c r="O62" i="4"/>
  <c r="P62" i="4"/>
  <c r="Q62" i="4"/>
  <c r="R62" i="4"/>
  <c r="X62" i="4" s="1"/>
  <c r="S62" i="4"/>
  <c r="T62" i="4"/>
  <c r="U62" i="4"/>
  <c r="BP62" i="4" s="1"/>
  <c r="BQ62" i="4" s="1"/>
  <c r="G60" i="4"/>
  <c r="H60" i="4"/>
  <c r="I60" i="4"/>
  <c r="J60" i="4"/>
  <c r="K60" i="4"/>
  <c r="L60" i="4"/>
  <c r="M60" i="4"/>
  <c r="N60" i="4"/>
  <c r="O60" i="4"/>
  <c r="P60" i="4"/>
  <c r="Q60" i="4"/>
  <c r="R60" i="4"/>
  <c r="X60" i="4" s="1"/>
  <c r="S60" i="4"/>
  <c r="T60" i="4"/>
  <c r="U60" i="4"/>
  <c r="BP60" i="4" s="1"/>
  <c r="BQ60" i="4" s="1"/>
  <c r="G61" i="4"/>
  <c r="H61" i="4"/>
  <c r="I61" i="4"/>
  <c r="J61" i="4"/>
  <c r="K61" i="4"/>
  <c r="L61" i="4"/>
  <c r="M61" i="4"/>
  <c r="N61" i="4"/>
  <c r="O61" i="4"/>
  <c r="P61" i="4"/>
  <c r="Q61" i="4"/>
  <c r="R61" i="4"/>
  <c r="X61" i="4" s="1"/>
  <c r="S61" i="4"/>
  <c r="T61" i="4"/>
  <c r="U61" i="4"/>
  <c r="BP61" i="4" s="1"/>
  <c r="BQ61" i="4" s="1"/>
  <c r="G29" i="4"/>
  <c r="H29" i="4"/>
  <c r="I29" i="4"/>
  <c r="J29" i="4"/>
  <c r="K29" i="4"/>
  <c r="L29" i="4"/>
  <c r="M29" i="4"/>
  <c r="N29" i="4"/>
  <c r="O29" i="4"/>
  <c r="P29" i="4"/>
  <c r="Q29" i="4"/>
  <c r="R29" i="4"/>
  <c r="X29" i="4" s="1"/>
  <c r="S29" i="4"/>
  <c r="T29" i="4"/>
  <c r="U29" i="4"/>
  <c r="BP29" i="4" s="1"/>
  <c r="BQ29" i="4" s="1"/>
  <c r="G11" i="4"/>
  <c r="H11" i="4"/>
  <c r="I11" i="4"/>
  <c r="J11" i="4"/>
  <c r="K11" i="4"/>
  <c r="L11" i="4"/>
  <c r="M11" i="4"/>
  <c r="N11" i="4"/>
  <c r="O11" i="4"/>
  <c r="P11" i="4"/>
  <c r="Q11" i="4"/>
  <c r="R11" i="4"/>
  <c r="X11" i="4" s="1"/>
  <c r="S11" i="4"/>
  <c r="T11" i="4"/>
  <c r="U11" i="4"/>
  <c r="BP11" i="4" s="1"/>
  <c r="BQ11" i="4" s="1"/>
  <c r="G64" i="4"/>
  <c r="H64" i="4"/>
  <c r="I64" i="4"/>
  <c r="J64" i="4"/>
  <c r="K64" i="4"/>
  <c r="L64" i="4"/>
  <c r="M64" i="4"/>
  <c r="N64" i="4"/>
  <c r="O64" i="4"/>
  <c r="P64" i="4"/>
  <c r="Q64" i="4"/>
  <c r="R64" i="4"/>
  <c r="X64" i="4" s="1"/>
  <c r="S64" i="4"/>
  <c r="T64" i="4"/>
  <c r="U64" i="4"/>
  <c r="BP64" i="4" s="1"/>
  <c r="BQ64" i="4" s="1"/>
  <c r="G65" i="4"/>
  <c r="H65" i="4"/>
  <c r="I65" i="4"/>
  <c r="J65" i="4"/>
  <c r="K65" i="4"/>
  <c r="L65" i="4"/>
  <c r="M65" i="4"/>
  <c r="N65" i="4"/>
  <c r="O65" i="4"/>
  <c r="P65" i="4"/>
  <c r="Q65" i="4"/>
  <c r="R65" i="4"/>
  <c r="X65" i="4" s="1"/>
  <c r="S65" i="4"/>
  <c r="T65" i="4"/>
  <c r="U65" i="4"/>
  <c r="BP65" i="4" s="1"/>
  <c r="BQ65" i="4" s="1"/>
  <c r="G68" i="4"/>
  <c r="H68" i="4"/>
  <c r="I68" i="4"/>
  <c r="J68" i="4"/>
  <c r="K68" i="4"/>
  <c r="L68" i="4"/>
  <c r="M68" i="4"/>
  <c r="N68" i="4"/>
  <c r="O68" i="4"/>
  <c r="P68" i="4"/>
  <c r="Q68" i="4"/>
  <c r="R68" i="4"/>
  <c r="X68" i="4" s="1"/>
  <c r="S68" i="4"/>
  <c r="T68" i="4"/>
  <c r="U68" i="4"/>
  <c r="BP68" i="4" s="1"/>
  <c r="BQ68" i="4" s="1"/>
  <c r="G67" i="4"/>
  <c r="H67" i="4"/>
  <c r="I67" i="4"/>
  <c r="J67" i="4"/>
  <c r="K67" i="4"/>
  <c r="L67" i="4"/>
  <c r="M67" i="4"/>
  <c r="N67" i="4"/>
  <c r="O67" i="4"/>
  <c r="P67" i="4"/>
  <c r="Q67" i="4"/>
  <c r="R67" i="4"/>
  <c r="X67" i="4" s="1"/>
  <c r="S67" i="4"/>
  <c r="T67" i="4"/>
  <c r="U67" i="4"/>
  <c r="BP67" i="4" s="1"/>
  <c r="BQ67" i="4" s="1"/>
  <c r="G71" i="4"/>
  <c r="H71" i="4"/>
  <c r="I71" i="4"/>
  <c r="J71" i="4"/>
  <c r="K71" i="4"/>
  <c r="L71" i="4"/>
  <c r="M71" i="4"/>
  <c r="N71" i="4"/>
  <c r="O71" i="4"/>
  <c r="P71" i="4"/>
  <c r="Q71" i="4"/>
  <c r="R71" i="4"/>
  <c r="X71" i="4" s="1"/>
  <c r="S71" i="4"/>
  <c r="T71" i="4"/>
  <c r="U71" i="4"/>
  <c r="BP71" i="4" s="1"/>
  <c r="BQ71" i="4" s="1"/>
  <c r="G69" i="4"/>
  <c r="H69" i="4"/>
  <c r="I69" i="4"/>
  <c r="J69" i="4"/>
  <c r="K69" i="4"/>
  <c r="L69" i="4"/>
  <c r="M69" i="4"/>
  <c r="N69" i="4"/>
  <c r="O69" i="4"/>
  <c r="P69" i="4"/>
  <c r="Q69" i="4"/>
  <c r="R69" i="4"/>
  <c r="X69" i="4" s="1"/>
  <c r="S69" i="4"/>
  <c r="T69" i="4"/>
  <c r="U69" i="4"/>
  <c r="BP69" i="4" s="1"/>
  <c r="BQ69" i="4" s="1"/>
  <c r="G70" i="4"/>
  <c r="H70" i="4"/>
  <c r="I70" i="4"/>
  <c r="J70" i="4"/>
  <c r="K70" i="4"/>
  <c r="L70" i="4"/>
  <c r="M70" i="4"/>
  <c r="N70" i="4"/>
  <c r="O70" i="4"/>
  <c r="P70" i="4"/>
  <c r="Q70" i="4"/>
  <c r="R70" i="4"/>
  <c r="X70" i="4" s="1"/>
  <c r="S70" i="4"/>
  <c r="T70" i="4"/>
  <c r="U70" i="4"/>
  <c r="BP70" i="4" s="1"/>
  <c r="BQ70" i="4" s="1"/>
  <c r="G12" i="4"/>
  <c r="H12" i="4"/>
  <c r="I12" i="4"/>
  <c r="J12" i="4"/>
  <c r="K12" i="4"/>
  <c r="L12" i="4"/>
  <c r="M12" i="4"/>
  <c r="N12" i="4"/>
  <c r="O12" i="4"/>
  <c r="P12" i="4"/>
  <c r="Q12" i="4"/>
  <c r="R12" i="4"/>
  <c r="X12" i="4" s="1"/>
  <c r="S12" i="4"/>
  <c r="T12" i="4"/>
  <c r="U12" i="4"/>
  <c r="BP12" i="4" s="1"/>
  <c r="BQ12" i="4" s="1"/>
  <c r="G72" i="4"/>
  <c r="H72" i="4"/>
  <c r="I72" i="4"/>
  <c r="J72" i="4"/>
  <c r="K72" i="4"/>
  <c r="L72" i="4"/>
  <c r="M72" i="4"/>
  <c r="N72" i="4"/>
  <c r="O72" i="4"/>
  <c r="P72" i="4"/>
  <c r="Q72" i="4"/>
  <c r="R72" i="4"/>
  <c r="X72" i="4" s="1"/>
  <c r="S72" i="4"/>
  <c r="T72" i="4"/>
  <c r="U72" i="4"/>
  <c r="BP72" i="4" s="1"/>
  <c r="BQ72" i="4" s="1"/>
  <c r="G73" i="4"/>
  <c r="H73" i="4"/>
  <c r="I73" i="4"/>
  <c r="J73" i="4"/>
  <c r="K73" i="4"/>
  <c r="L73" i="4"/>
  <c r="M73" i="4"/>
  <c r="N73" i="4"/>
  <c r="O73" i="4"/>
  <c r="P73" i="4"/>
  <c r="Q73" i="4"/>
  <c r="R73" i="4"/>
  <c r="X73" i="4" s="1"/>
  <c r="S73" i="4"/>
  <c r="T73" i="4"/>
  <c r="U73" i="4"/>
  <c r="BP73" i="4" s="1"/>
  <c r="BQ73" i="4" s="1"/>
  <c r="G74" i="4"/>
  <c r="H74" i="4"/>
  <c r="I74" i="4"/>
  <c r="J74" i="4"/>
  <c r="K74" i="4"/>
  <c r="L74" i="4"/>
  <c r="M74" i="4"/>
  <c r="N74" i="4"/>
  <c r="O74" i="4"/>
  <c r="P74" i="4"/>
  <c r="Q74" i="4"/>
  <c r="R74" i="4"/>
  <c r="X74" i="4" s="1"/>
  <c r="S74" i="4"/>
  <c r="T74" i="4"/>
  <c r="U74" i="4"/>
  <c r="BP74" i="4" s="1"/>
  <c r="BQ74" i="4" s="1"/>
  <c r="G23" i="4"/>
  <c r="H23" i="4"/>
  <c r="I23" i="4"/>
  <c r="J23" i="4"/>
  <c r="K23" i="4"/>
  <c r="L23" i="4"/>
  <c r="M23" i="4"/>
  <c r="N23" i="4"/>
  <c r="O23" i="4"/>
  <c r="P23" i="4"/>
  <c r="Q23" i="4"/>
  <c r="R23" i="4"/>
  <c r="X23" i="4" s="1"/>
  <c r="S23" i="4"/>
  <c r="T23" i="4"/>
  <c r="U23" i="4"/>
  <c r="BP23" i="4" s="1"/>
  <c r="BQ23" i="4" s="1"/>
  <c r="G76" i="4"/>
  <c r="H76" i="4"/>
  <c r="I76" i="4"/>
  <c r="J76" i="4"/>
  <c r="K76" i="4"/>
  <c r="L76" i="4"/>
  <c r="M76" i="4"/>
  <c r="N76" i="4"/>
  <c r="O76" i="4"/>
  <c r="P76" i="4"/>
  <c r="Q76" i="4"/>
  <c r="R76" i="4"/>
  <c r="X76" i="4" s="1"/>
  <c r="S76" i="4"/>
  <c r="T76" i="4"/>
  <c r="U76" i="4"/>
  <c r="BP76" i="4" s="1"/>
  <c r="BQ76" i="4" s="1"/>
  <c r="G35" i="4"/>
  <c r="H35" i="4"/>
  <c r="I35" i="4"/>
  <c r="J35" i="4"/>
  <c r="K35" i="4"/>
  <c r="L35" i="4"/>
  <c r="M35" i="4"/>
  <c r="N35" i="4"/>
  <c r="O35" i="4"/>
  <c r="P35" i="4"/>
  <c r="Q35" i="4"/>
  <c r="R35" i="4"/>
  <c r="X35" i="4" s="1"/>
  <c r="S35" i="4"/>
  <c r="T35" i="4"/>
  <c r="U35" i="4"/>
  <c r="BP35" i="4" s="1"/>
  <c r="BQ35" i="4" s="1"/>
  <c r="G78" i="4"/>
  <c r="H78" i="4"/>
  <c r="I78" i="4"/>
  <c r="J78" i="4"/>
  <c r="K78" i="4"/>
  <c r="L78" i="4"/>
  <c r="M78" i="4"/>
  <c r="N78" i="4"/>
  <c r="O78" i="4"/>
  <c r="P78" i="4"/>
  <c r="Q78" i="4"/>
  <c r="R78" i="4"/>
  <c r="X78" i="4" s="1"/>
  <c r="S78" i="4"/>
  <c r="T78" i="4"/>
  <c r="U78" i="4"/>
  <c r="BP78" i="4" s="1"/>
  <c r="BQ78" i="4" s="1"/>
  <c r="G80" i="4"/>
  <c r="H80" i="4"/>
  <c r="I80" i="4"/>
  <c r="J80" i="4"/>
  <c r="K80" i="4"/>
  <c r="L80" i="4"/>
  <c r="M80" i="4"/>
  <c r="N80" i="4"/>
  <c r="O80" i="4"/>
  <c r="P80" i="4"/>
  <c r="Q80" i="4"/>
  <c r="R80" i="4"/>
  <c r="X80" i="4" s="1"/>
  <c r="S80" i="4"/>
  <c r="T80" i="4"/>
  <c r="U80" i="4"/>
  <c r="BP80" i="4" s="1"/>
  <c r="BQ80" i="4" s="1"/>
  <c r="F80" i="4"/>
  <c r="I70" i="5"/>
  <c r="J70" i="5" s="1"/>
  <c r="AA80" i="4" s="1"/>
  <c r="C70" i="5"/>
  <c r="I69" i="5"/>
  <c r="J69" i="5" s="1"/>
  <c r="AA71" i="4" s="1"/>
  <c r="C69" i="5"/>
  <c r="F40" i="4"/>
  <c r="F94" i="4" s="1"/>
  <c r="I68" i="5"/>
  <c r="J68" i="5" s="1"/>
  <c r="AA40" i="4" s="1"/>
  <c r="C68" i="5"/>
  <c r="I67" i="5"/>
  <c r="J67" i="5" s="1"/>
  <c r="AA77" i="4" s="1"/>
  <c r="C67" i="5"/>
  <c r="I66" i="5"/>
  <c r="J66" i="5" s="1"/>
  <c r="AA75" i="4" s="1"/>
  <c r="C66" i="5"/>
  <c r="F55" i="4"/>
  <c r="I65" i="5"/>
  <c r="J65" i="5" s="1"/>
  <c r="AA55" i="4" s="1"/>
  <c r="C65" i="5"/>
  <c r="F73" i="4"/>
  <c r="I64" i="5"/>
  <c r="J64" i="5" s="1"/>
  <c r="AA73" i="4" s="1"/>
  <c r="C64" i="5"/>
  <c r="F31" i="4"/>
  <c r="F92" i="4" s="1"/>
  <c r="I63" i="5"/>
  <c r="J63" i="5" s="1"/>
  <c r="AA31" i="4" s="1"/>
  <c r="C63" i="5"/>
  <c r="F22" i="4"/>
  <c r="I62" i="5"/>
  <c r="J62" i="5" s="1"/>
  <c r="AA22" i="4" s="1"/>
  <c r="C62" i="5"/>
  <c r="F70" i="4"/>
  <c r="I61" i="5"/>
  <c r="J61" i="5" s="1"/>
  <c r="AA70" i="4" s="1"/>
  <c r="C61" i="5"/>
  <c r="F69" i="4"/>
  <c r="I60" i="5"/>
  <c r="J60" i="5" s="1"/>
  <c r="AA69" i="4" s="1"/>
  <c r="C60" i="5"/>
  <c r="F54" i="4"/>
  <c r="F97" i="4" s="1"/>
  <c r="I59" i="5"/>
  <c r="J59" i="5" s="1"/>
  <c r="AA54" i="4" s="1"/>
  <c r="C59" i="5"/>
  <c r="F21" i="4"/>
  <c r="I58" i="5"/>
  <c r="J58" i="5" s="1"/>
  <c r="AA21" i="4" s="1"/>
  <c r="C58" i="5"/>
  <c r="F48" i="4"/>
  <c r="I57" i="5"/>
  <c r="J57" i="5" s="1"/>
  <c r="AA48" i="4" s="1"/>
  <c r="C57" i="5"/>
  <c r="I56" i="5"/>
  <c r="J56" i="5" s="1"/>
  <c r="AA66" i="4" s="1"/>
  <c r="C56" i="5"/>
  <c r="I55" i="5"/>
  <c r="J55" i="5" s="1"/>
  <c r="AA63" i="4" s="1"/>
  <c r="C55" i="5"/>
  <c r="I54" i="5"/>
  <c r="J54" i="5" s="1"/>
  <c r="AA12" i="4" s="1"/>
  <c r="C54" i="5"/>
  <c r="F65" i="4"/>
  <c r="I53" i="5"/>
  <c r="J53" i="5" s="1"/>
  <c r="AA65" i="4" s="1"/>
  <c r="I52" i="5"/>
  <c r="J52" i="5" s="1"/>
  <c r="AA13" i="4" s="1"/>
  <c r="C52" i="5"/>
  <c r="F17" i="4"/>
  <c r="I51" i="5"/>
  <c r="J51" i="5" s="1"/>
  <c r="AA17" i="4" s="1"/>
  <c r="C51" i="5"/>
  <c r="F74" i="4"/>
  <c r="I50" i="5"/>
  <c r="J50" i="5" s="1"/>
  <c r="AA74" i="4" s="1"/>
  <c r="C50" i="5"/>
  <c r="F44" i="4"/>
  <c r="I49" i="5"/>
  <c r="J49" i="5" s="1"/>
  <c r="C49" i="5"/>
  <c r="I48" i="5"/>
  <c r="J48" i="5" s="1"/>
  <c r="AA18" i="4" s="1"/>
  <c r="C48" i="5"/>
  <c r="F39" i="4"/>
  <c r="I47" i="5"/>
  <c r="J47" i="5" s="1"/>
  <c r="AA39" i="4" s="1"/>
  <c r="C47" i="5"/>
  <c r="F30" i="4"/>
  <c r="F91" i="4" s="1"/>
  <c r="I46" i="5"/>
  <c r="J46" i="5" s="1"/>
  <c r="AA30" i="4" s="1"/>
  <c r="C46" i="5"/>
  <c r="F53" i="4"/>
  <c r="I45" i="5"/>
  <c r="J45" i="5" s="1"/>
  <c r="C45" i="5"/>
  <c r="F28" i="4"/>
  <c r="I44" i="5"/>
  <c r="J44" i="5" s="1"/>
  <c r="C44" i="5"/>
  <c r="F10" i="4"/>
  <c r="I43" i="5"/>
  <c r="J43" i="5" s="1"/>
  <c r="AA10" i="4" s="1"/>
  <c r="C43" i="5"/>
  <c r="I42" i="5"/>
  <c r="J42" i="5" s="1"/>
  <c r="AA32" i="4" s="1"/>
  <c r="C42" i="5"/>
  <c r="I41" i="5"/>
  <c r="J41" i="5" s="1"/>
  <c r="AA59" i="4" s="1"/>
  <c r="C41" i="5"/>
  <c r="F33" i="4"/>
  <c r="I40" i="5"/>
  <c r="J40" i="5" s="1"/>
  <c r="AA33" i="4" s="1"/>
  <c r="C40" i="5"/>
  <c r="F14" i="4"/>
  <c r="I39" i="5"/>
  <c r="J39" i="5" s="1"/>
  <c r="AA14" i="4" s="1"/>
  <c r="C39" i="5"/>
  <c r="F8" i="4"/>
  <c r="F87" i="4" s="1"/>
  <c r="I38" i="5"/>
  <c r="J38" i="5" s="1"/>
  <c r="AA8" i="4" s="1"/>
  <c r="AB8" i="4" s="1"/>
  <c r="C38" i="5"/>
  <c r="I37" i="5"/>
  <c r="J37" i="5" s="1"/>
  <c r="AA62" i="4" s="1"/>
  <c r="C37" i="5"/>
  <c r="I36" i="5"/>
  <c r="J36" i="5" s="1"/>
  <c r="AA41" i="4" s="1"/>
  <c r="C36" i="5"/>
  <c r="F36" i="4"/>
  <c r="I35" i="5"/>
  <c r="J35" i="5" s="1"/>
  <c r="AA36" i="4" s="1"/>
  <c r="C35" i="5"/>
  <c r="F34" i="4"/>
  <c r="I34" i="5"/>
  <c r="J34" i="5" s="1"/>
  <c r="AA34" i="4" s="1"/>
  <c r="C34" i="5"/>
  <c r="I33" i="5"/>
  <c r="J33" i="5" s="1"/>
  <c r="AA58" i="4" s="1"/>
  <c r="C33" i="5"/>
  <c r="F25" i="4"/>
  <c r="I32" i="5"/>
  <c r="J32" i="5" s="1"/>
  <c r="AA25" i="4" s="1"/>
  <c r="C32" i="5"/>
  <c r="F78" i="4"/>
  <c r="I31" i="5"/>
  <c r="J31" i="5" s="1"/>
  <c r="AA78" i="4" s="1"/>
  <c r="C31" i="5"/>
  <c r="F56" i="4"/>
  <c r="I30" i="5"/>
  <c r="J30" i="5" s="1"/>
  <c r="AA56" i="4" s="1"/>
  <c r="C30" i="5"/>
  <c r="I29" i="5"/>
  <c r="J29" i="5" s="1"/>
  <c r="C29" i="5"/>
  <c r="I28" i="5"/>
  <c r="J28" i="5" s="1"/>
  <c r="C28" i="5"/>
  <c r="I27" i="5"/>
  <c r="J27" i="5" s="1"/>
  <c r="AA29" i="4" s="1"/>
  <c r="C27" i="5"/>
  <c r="F61" i="4"/>
  <c r="J26" i="5"/>
  <c r="AA61" i="4" s="1"/>
  <c r="C26" i="5"/>
  <c r="F60" i="4"/>
  <c r="I25" i="5"/>
  <c r="J25" i="5" s="1"/>
  <c r="AA60" i="4" s="1"/>
  <c r="C25" i="5"/>
  <c r="I24" i="5"/>
  <c r="J24" i="5" s="1"/>
  <c r="AA47" i="4" s="1"/>
  <c r="C24" i="5"/>
  <c r="I23" i="5"/>
  <c r="J23" i="5" s="1"/>
  <c r="AA35" i="4" s="1"/>
  <c r="C23" i="5"/>
  <c r="I22" i="5"/>
  <c r="J22" i="5" s="1"/>
  <c r="AA57" i="4" s="1"/>
  <c r="C22" i="5"/>
  <c r="I21" i="5"/>
  <c r="J21" i="5" s="1"/>
  <c r="AA76" i="4" s="1"/>
  <c r="C21" i="5"/>
  <c r="I20" i="5"/>
  <c r="J20" i="5" s="1"/>
  <c r="AA46" i="4" s="1"/>
  <c r="C20" i="5"/>
  <c r="F42" i="4"/>
  <c r="I19" i="5"/>
  <c r="J19" i="5" s="1"/>
  <c r="AA42" i="4" s="1"/>
  <c r="C19" i="5"/>
  <c r="I18" i="5"/>
  <c r="J18" i="5" s="1"/>
  <c r="AA19" i="4" s="1"/>
  <c r="C18" i="5"/>
  <c r="I17" i="5"/>
  <c r="J17" i="5" s="1"/>
  <c r="AA45" i="4" s="1"/>
  <c r="C17" i="5"/>
  <c r="I16" i="5"/>
  <c r="J16" i="5" s="1"/>
  <c r="AA37" i="4" s="1"/>
  <c r="C16" i="5"/>
  <c r="P15" i="5"/>
  <c r="F20" i="4"/>
  <c r="I15" i="5"/>
  <c r="J15" i="5" s="1"/>
  <c r="AA20" i="4" s="1"/>
  <c r="C15" i="5"/>
  <c r="P14" i="5"/>
  <c r="I14" i="5"/>
  <c r="J14" i="5" s="1"/>
  <c r="AA43" i="4" s="1"/>
  <c r="C14" i="5"/>
  <c r="P13" i="5"/>
  <c r="I13" i="5"/>
  <c r="J13" i="5" s="1"/>
  <c r="AA23" i="4" s="1"/>
  <c r="C13" i="5"/>
  <c r="P12" i="5"/>
  <c r="F72" i="4"/>
  <c r="I12" i="5"/>
  <c r="J12" i="5" s="1"/>
  <c r="AA72" i="4" s="1"/>
  <c r="C12" i="5"/>
  <c r="P11" i="5"/>
  <c r="F67" i="4"/>
  <c r="I11" i="5"/>
  <c r="J11" i="5" s="1"/>
  <c r="AA67" i="4" s="1"/>
  <c r="C11" i="5"/>
  <c r="I10" i="5"/>
  <c r="J10" i="5" s="1"/>
  <c r="AA15" i="4" s="1"/>
  <c r="C10" i="5"/>
  <c r="S9" i="5"/>
  <c r="I9" i="5"/>
  <c r="J9" i="5" s="1"/>
  <c r="AA68" i="4" s="1"/>
  <c r="C9" i="5"/>
  <c r="S8" i="5"/>
  <c r="F64" i="4"/>
  <c r="I8" i="5"/>
  <c r="J8" i="5" s="1"/>
  <c r="AA64" i="4" s="1"/>
  <c r="C8" i="5"/>
  <c r="I7" i="5"/>
  <c r="J7" i="5" s="1"/>
  <c r="AA27" i="4" s="1"/>
  <c r="C7" i="5"/>
  <c r="I6" i="5"/>
  <c r="J6" i="5" s="1"/>
  <c r="AA11" i="4" s="1"/>
  <c r="C6" i="5"/>
  <c r="I5" i="5"/>
  <c r="J5" i="5" s="1"/>
  <c r="AA24" i="4" s="1"/>
  <c r="C5" i="5"/>
  <c r="F16" i="4"/>
  <c r="I4" i="5"/>
  <c r="J4" i="5" s="1"/>
  <c r="AA16" i="4" s="1"/>
  <c r="C4" i="5"/>
  <c r="I3" i="5"/>
  <c r="J3" i="5" s="1"/>
  <c r="AA26" i="4" s="1"/>
  <c r="C3" i="5"/>
  <c r="AJ8" i="4"/>
  <c r="BM8" i="4"/>
  <c r="AB9" i="4"/>
  <c r="BM9" i="4"/>
  <c r="BM10" i="4"/>
  <c r="BM26" i="4"/>
  <c r="BM77" i="4"/>
  <c r="BM43" i="4"/>
  <c r="BM14" i="4"/>
  <c r="BM15" i="4"/>
  <c r="BM16" i="4"/>
  <c r="BM17" i="4"/>
  <c r="BM37" i="4"/>
  <c r="BM45" i="4"/>
  <c r="BM20" i="4"/>
  <c r="AB21" i="4"/>
  <c r="BM21" i="4"/>
  <c r="BM22" i="4"/>
  <c r="BM19" i="4"/>
  <c r="BM27" i="4"/>
  <c r="BM25" i="4"/>
  <c r="BM63" i="4"/>
  <c r="BM57" i="4"/>
  <c r="AB28" i="4"/>
  <c r="BM28" i="4"/>
  <c r="BM13" i="4"/>
  <c r="BM31" i="4"/>
  <c r="BM58" i="4"/>
  <c r="BM33" i="4"/>
  <c r="BM34" i="4"/>
  <c r="BM59" i="4"/>
  <c r="BM36" i="4"/>
  <c r="BM32" i="4"/>
  <c r="AB38" i="4"/>
  <c r="BM38" i="4"/>
  <c r="BM39" i="4"/>
  <c r="BM40" i="4"/>
  <c r="BM24" i="4"/>
  <c r="BM42" i="4"/>
  <c r="BM66" i="4"/>
  <c r="AB44" i="4"/>
  <c r="BM44" i="4"/>
  <c r="BM41" i="4"/>
  <c r="BM46" i="4"/>
  <c r="BM47" i="4"/>
  <c r="BM48" i="4"/>
  <c r="BM53" i="4"/>
  <c r="BM54" i="4"/>
  <c r="BM55" i="4"/>
  <c r="BM56" i="4"/>
  <c r="BM18" i="4"/>
  <c r="BM75" i="4"/>
  <c r="BM62" i="4"/>
  <c r="BM60" i="4"/>
  <c r="BM61" i="4"/>
  <c r="BM29" i="4"/>
  <c r="BM11" i="4"/>
  <c r="BM64" i="4"/>
  <c r="BM65" i="4"/>
  <c r="BM68" i="4"/>
  <c r="BM67" i="4"/>
  <c r="BM71" i="4"/>
  <c r="BM69" i="4"/>
  <c r="BM70" i="4"/>
  <c r="BM12" i="4"/>
  <c r="BM72" i="4"/>
  <c r="BM73" i="4"/>
  <c r="BM74" i="4"/>
  <c r="BM23" i="4"/>
  <c r="BM76" i="4"/>
  <c r="BM35" i="4"/>
  <c r="BM78" i="4"/>
  <c r="AH81" i="4"/>
  <c r="M98" i="4"/>
  <c r="N98" i="4" s="1"/>
  <c r="M99" i="4"/>
  <c r="N99" i="4" s="1"/>
  <c r="M100" i="4"/>
  <c r="N100" i="4" s="1"/>
  <c r="AI61" i="4" l="1"/>
  <c r="AI60" i="4"/>
  <c r="BF60" i="4"/>
  <c r="AI69" i="4"/>
  <c r="BF69" i="4"/>
  <c r="AI76" i="4"/>
  <c r="BF76" i="4"/>
  <c r="BK49" i="4"/>
  <c r="BN49" i="4" s="1"/>
  <c r="BV49" i="4" s="1"/>
  <c r="BK51" i="4"/>
  <c r="BN51" i="4" s="1"/>
  <c r="BV51" i="4" s="1"/>
  <c r="BK50" i="4"/>
  <c r="BN50" i="4" s="1"/>
  <c r="BV50" i="4" s="1"/>
  <c r="BK52" i="4"/>
  <c r="BN52" i="4" s="1"/>
  <c r="BV52" i="4" s="1"/>
  <c r="AB16" i="4"/>
  <c r="AB58" i="4"/>
  <c r="AB62" i="4"/>
  <c r="AB59" i="4"/>
  <c r="AC69" i="4"/>
  <c r="AB25" i="4"/>
  <c r="AB41" i="4"/>
  <c r="AB33" i="4"/>
  <c r="AB13" i="4"/>
  <c r="AB31" i="4"/>
  <c r="AB11" i="4"/>
  <c r="AC76" i="4"/>
  <c r="AB78" i="4"/>
  <c r="AB36" i="4"/>
  <c r="AB14" i="4"/>
  <c r="AB39" i="4"/>
  <c r="AB17" i="4"/>
  <c r="AB12" i="4"/>
  <c r="AB22" i="4"/>
  <c r="AB80" i="4"/>
  <c r="AB68" i="4"/>
  <c r="AB42" i="4"/>
  <c r="AB57" i="4"/>
  <c r="AC60" i="4"/>
  <c r="AB27" i="4"/>
  <c r="AB54" i="4"/>
  <c r="AB77" i="4"/>
  <c r="AB24" i="4"/>
  <c r="AB72" i="4"/>
  <c r="AB23" i="4"/>
  <c r="AB37" i="4"/>
  <c r="AB35" i="4"/>
  <c r="AC61" i="4"/>
  <c r="AB56" i="4"/>
  <c r="AB74" i="4"/>
  <c r="AB65" i="4"/>
  <c r="AB48" i="4"/>
  <c r="AB70" i="4"/>
  <c r="AB55" i="4"/>
  <c r="AB71" i="4"/>
  <c r="BR58" i="4"/>
  <c r="BS58" i="4" s="1"/>
  <c r="BR62" i="4"/>
  <c r="BS62" i="4" s="1"/>
  <c r="AB69" i="4"/>
  <c r="G91" i="4"/>
  <c r="G92" i="4"/>
  <c r="G99" i="4"/>
  <c r="AB10" i="4"/>
  <c r="G88" i="4"/>
  <c r="G100" i="4"/>
  <c r="G97" i="4"/>
  <c r="G89" i="4"/>
  <c r="G95" i="4"/>
  <c r="G96" i="4"/>
  <c r="G94" i="4"/>
  <c r="G87" i="4"/>
  <c r="G90" i="4"/>
  <c r="G93" i="4"/>
  <c r="AB20" i="4"/>
  <c r="AB43" i="4"/>
  <c r="AB26" i="4"/>
  <c r="J99" i="4"/>
  <c r="J93" i="4"/>
  <c r="J100" i="4"/>
  <c r="J94" i="4"/>
  <c r="J95" i="4"/>
  <c r="J97" i="4"/>
  <c r="J89" i="4"/>
  <c r="J96" i="4"/>
  <c r="J88" i="4"/>
  <c r="J92" i="4"/>
  <c r="J90" i="4"/>
  <c r="J87" i="4"/>
  <c r="J91" i="4"/>
  <c r="BR80" i="4"/>
  <c r="BS80" i="4" s="1"/>
  <c r="BT76" i="4"/>
  <c r="BU76" i="4" s="1"/>
  <c r="BR23" i="4"/>
  <c r="BS23" i="4" s="1"/>
  <c r="BT72" i="4"/>
  <c r="BU72" i="4" s="1"/>
  <c r="BR12" i="4"/>
  <c r="BS12" i="4" s="1"/>
  <c r="BT71" i="4"/>
  <c r="BU71" i="4" s="1"/>
  <c r="BR67" i="4"/>
  <c r="BS67" i="4" s="1"/>
  <c r="BT64" i="4"/>
  <c r="BU64" i="4" s="1"/>
  <c r="BR11" i="4"/>
  <c r="BS11" i="4" s="1"/>
  <c r="BT60" i="4"/>
  <c r="BU60" i="4" s="1"/>
  <c r="BT56" i="4"/>
  <c r="BU56" i="4" s="1"/>
  <c r="BR55" i="4"/>
  <c r="BS55" i="4" s="1"/>
  <c r="BT48" i="4"/>
  <c r="BU48" i="4" s="1"/>
  <c r="BR47" i="4"/>
  <c r="BS47" i="4" s="1"/>
  <c r="BT44" i="4"/>
  <c r="BU44" i="4" s="1"/>
  <c r="BR66" i="4"/>
  <c r="BS66" i="4" s="1"/>
  <c r="BT40" i="4"/>
  <c r="BU40" i="4" s="1"/>
  <c r="BR39" i="4"/>
  <c r="BS39" i="4" s="1"/>
  <c r="BT36" i="4"/>
  <c r="BU36" i="4" s="1"/>
  <c r="BR59" i="4"/>
  <c r="BS59" i="4" s="1"/>
  <c r="BT58" i="4"/>
  <c r="BU58" i="4" s="1"/>
  <c r="BR31" i="4"/>
  <c r="BS31" i="4" s="1"/>
  <c r="BT28" i="4"/>
  <c r="BU28" i="4" s="1"/>
  <c r="BR57" i="4"/>
  <c r="BS57" i="4" s="1"/>
  <c r="BT27" i="4"/>
  <c r="BU27" i="4" s="1"/>
  <c r="BR19" i="4"/>
  <c r="BS19" i="4" s="1"/>
  <c r="BT20" i="4"/>
  <c r="BU20" i="4" s="1"/>
  <c r="BR45" i="4"/>
  <c r="BS45" i="4" s="1"/>
  <c r="BT16" i="4"/>
  <c r="BU16" i="4" s="1"/>
  <c r="BR15" i="4"/>
  <c r="BS15" i="4" s="1"/>
  <c r="BT77" i="4"/>
  <c r="BU77" i="4" s="1"/>
  <c r="BR26" i="4"/>
  <c r="BS26" i="4" s="1"/>
  <c r="BR78" i="4"/>
  <c r="BS78" i="4" s="1"/>
  <c r="BR74" i="4"/>
  <c r="BS74" i="4" s="1"/>
  <c r="BR70" i="4"/>
  <c r="BS70" i="4" s="1"/>
  <c r="BR68" i="4"/>
  <c r="BS68" i="4" s="1"/>
  <c r="BT11" i="4"/>
  <c r="BU11" i="4" s="1"/>
  <c r="BR29" i="4"/>
  <c r="BS29" i="4" s="1"/>
  <c r="BR76" i="4"/>
  <c r="BS76" i="4" s="1"/>
  <c r="BR72" i="4"/>
  <c r="BS72" i="4" s="1"/>
  <c r="BR71" i="4"/>
  <c r="BS71" i="4" s="1"/>
  <c r="BR64" i="4"/>
  <c r="BS64" i="4" s="1"/>
  <c r="BR60" i="4"/>
  <c r="BS60" i="4" s="1"/>
  <c r="BR56" i="4"/>
  <c r="BS56" i="4" s="1"/>
  <c r="BR48" i="4"/>
  <c r="BS48" i="4" s="1"/>
  <c r="BR44" i="4"/>
  <c r="BS44" i="4" s="1"/>
  <c r="BR40" i="4"/>
  <c r="BS40" i="4" s="1"/>
  <c r="BR36" i="4"/>
  <c r="BS36" i="4" s="1"/>
  <c r="BR28" i="4"/>
  <c r="BS28" i="4" s="1"/>
  <c r="BR27" i="4"/>
  <c r="BS27" i="4" s="1"/>
  <c r="BR20" i="4"/>
  <c r="BS20" i="4" s="1"/>
  <c r="BR16" i="4"/>
  <c r="BS16" i="4" s="1"/>
  <c r="BR77" i="4"/>
  <c r="BS77" i="4" s="1"/>
  <c r="BR8" i="4"/>
  <c r="BR35" i="4"/>
  <c r="BS35" i="4" s="1"/>
  <c r="BR73" i="4"/>
  <c r="BS73" i="4" s="1"/>
  <c r="BR69" i="4"/>
  <c r="BS69" i="4" s="1"/>
  <c r="BR65" i="4"/>
  <c r="BS65" i="4" s="1"/>
  <c r="BR61" i="4"/>
  <c r="BS61" i="4" s="1"/>
  <c r="BR18" i="4"/>
  <c r="BS18" i="4" s="1"/>
  <c r="BR53" i="4"/>
  <c r="BS53" i="4" s="1"/>
  <c r="BR41" i="4"/>
  <c r="BS41" i="4" s="1"/>
  <c r="BR24" i="4"/>
  <c r="BS24" i="4" s="1"/>
  <c r="BR32" i="4"/>
  <c r="BS32" i="4" s="1"/>
  <c r="BR33" i="4"/>
  <c r="BS33" i="4" s="1"/>
  <c r="BR13" i="4"/>
  <c r="BS13" i="4" s="1"/>
  <c r="BR25" i="4"/>
  <c r="BS25" i="4" s="1"/>
  <c r="BR21" i="4"/>
  <c r="BS21" i="4" s="1"/>
  <c r="BR17" i="4"/>
  <c r="BS17" i="4" s="1"/>
  <c r="BR43" i="4"/>
  <c r="BS43" i="4" s="1"/>
  <c r="BR9" i="4"/>
  <c r="BS9" i="4" s="1"/>
  <c r="BP8" i="4"/>
  <c r="BP81" i="4" s="1"/>
  <c r="BT62" i="4"/>
  <c r="BU62" i="4" s="1"/>
  <c r="BR75" i="4"/>
  <c r="BS75" i="4" s="1"/>
  <c r="BR54" i="4"/>
  <c r="BS54" i="4" s="1"/>
  <c r="BR46" i="4"/>
  <c r="BS46" i="4" s="1"/>
  <c r="BT66" i="4"/>
  <c r="BU66" i="4" s="1"/>
  <c r="BR42" i="4"/>
  <c r="BS42" i="4" s="1"/>
  <c r="BT39" i="4"/>
  <c r="BU39" i="4" s="1"/>
  <c r="BR38" i="4"/>
  <c r="BS38" i="4" s="1"/>
  <c r="BR34" i="4"/>
  <c r="BS34" i="4" s="1"/>
  <c r="BR30" i="4"/>
  <c r="BS30" i="4" s="1"/>
  <c r="BT57" i="4"/>
  <c r="BU57" i="4" s="1"/>
  <c r="BR63" i="4"/>
  <c r="BS63" i="4" s="1"/>
  <c r="BT19" i="4"/>
  <c r="BU19" i="4" s="1"/>
  <c r="BR22" i="4"/>
  <c r="BS22" i="4" s="1"/>
  <c r="BR37" i="4"/>
  <c r="BS37" i="4" s="1"/>
  <c r="BR14" i="4"/>
  <c r="BS14" i="4" s="1"/>
  <c r="BR10" i="4"/>
  <c r="BS10" i="4" s="1"/>
  <c r="BT80" i="4"/>
  <c r="BU80" i="4" s="1"/>
  <c r="BT23" i="4"/>
  <c r="BU23" i="4" s="1"/>
  <c r="BT12" i="4"/>
  <c r="BU12" i="4" s="1"/>
  <c r="BT67" i="4"/>
  <c r="BU67" i="4" s="1"/>
  <c r="BT55" i="4"/>
  <c r="BU55" i="4" s="1"/>
  <c r="BT47" i="4"/>
  <c r="BU47" i="4" s="1"/>
  <c r="BT59" i="4"/>
  <c r="BU59" i="4" s="1"/>
  <c r="BT31" i="4"/>
  <c r="BU31" i="4" s="1"/>
  <c r="BT45" i="4"/>
  <c r="BU45" i="4" s="1"/>
  <c r="BT35" i="4"/>
  <c r="BU35" i="4" s="1"/>
  <c r="BT73" i="4"/>
  <c r="BU73" i="4" s="1"/>
  <c r="BT69" i="4"/>
  <c r="BU69" i="4" s="1"/>
  <c r="BT65" i="4"/>
  <c r="BU65" i="4" s="1"/>
  <c r="BT61" i="4"/>
  <c r="BU61" i="4" s="1"/>
  <c r="BT18" i="4"/>
  <c r="BU18" i="4" s="1"/>
  <c r="BT53" i="4"/>
  <c r="BU53" i="4" s="1"/>
  <c r="BT41" i="4"/>
  <c r="BU41" i="4" s="1"/>
  <c r="BT24" i="4"/>
  <c r="BU24" i="4" s="1"/>
  <c r="BT32" i="4"/>
  <c r="BU32" i="4" s="1"/>
  <c r="BT33" i="4"/>
  <c r="BU33" i="4" s="1"/>
  <c r="BT13" i="4"/>
  <c r="BU13" i="4" s="1"/>
  <c r="BT25" i="4"/>
  <c r="BU25" i="4" s="1"/>
  <c r="BT21" i="4"/>
  <c r="BU21" i="4" s="1"/>
  <c r="BT17" i="4"/>
  <c r="BU17" i="4" s="1"/>
  <c r="BT43" i="4"/>
  <c r="BU43" i="4" s="1"/>
  <c r="BT9" i="4"/>
  <c r="BU9" i="4" s="1"/>
  <c r="BT78" i="4"/>
  <c r="BU78" i="4" s="1"/>
  <c r="BT74" i="4"/>
  <c r="BU74" i="4" s="1"/>
  <c r="BT70" i="4"/>
  <c r="BU70" i="4" s="1"/>
  <c r="BT68" i="4"/>
  <c r="BU68" i="4" s="1"/>
  <c r="BT29" i="4"/>
  <c r="BU29" i="4" s="1"/>
  <c r="BT75" i="4"/>
  <c r="BU75" i="4" s="1"/>
  <c r="BT54" i="4"/>
  <c r="BU54" i="4" s="1"/>
  <c r="BT46" i="4"/>
  <c r="BU46" i="4" s="1"/>
  <c r="BT42" i="4"/>
  <c r="BU42" i="4" s="1"/>
  <c r="BT38" i="4"/>
  <c r="BU38" i="4" s="1"/>
  <c r="BT34" i="4"/>
  <c r="BU34" i="4" s="1"/>
  <c r="BT30" i="4"/>
  <c r="BU30" i="4" s="1"/>
  <c r="BT63" i="4"/>
  <c r="BU63" i="4" s="1"/>
  <c r="BT22" i="4"/>
  <c r="BU22" i="4" s="1"/>
  <c r="BT37" i="4"/>
  <c r="BU37" i="4" s="1"/>
  <c r="BT14" i="4"/>
  <c r="BU14" i="4" s="1"/>
  <c r="BT10" i="4"/>
  <c r="BU10" i="4" s="1"/>
  <c r="BT15" i="4"/>
  <c r="BU15" i="4" s="1"/>
  <c r="BT26" i="4"/>
  <c r="BU26" i="4" s="1"/>
  <c r="BT8" i="4"/>
  <c r="BU8" i="4" s="1"/>
  <c r="Y76" i="4"/>
  <c r="Y72" i="4"/>
  <c r="Y71" i="4"/>
  <c r="Y64" i="4"/>
  <c r="Y60" i="4"/>
  <c r="Y56" i="4"/>
  <c r="Y48" i="4"/>
  <c r="Y44" i="4"/>
  <c r="Y40" i="4"/>
  <c r="Y36" i="4"/>
  <c r="Y58" i="4"/>
  <c r="Y28" i="4"/>
  <c r="Y27" i="4"/>
  <c r="Y20" i="4"/>
  <c r="Y16" i="4"/>
  <c r="Y77" i="4"/>
  <c r="Y80" i="4"/>
  <c r="Y23" i="4"/>
  <c r="Y12" i="4"/>
  <c r="Y67" i="4"/>
  <c r="Y11" i="4"/>
  <c r="Y62" i="4"/>
  <c r="Y55" i="4"/>
  <c r="Y47" i="4"/>
  <c r="Y66" i="4"/>
  <c r="Y39" i="4"/>
  <c r="Y59" i="4"/>
  <c r="Y31" i="4"/>
  <c r="Y57" i="4"/>
  <c r="Y19" i="4"/>
  <c r="Y45" i="4"/>
  <c r="Y8" i="4"/>
  <c r="Y35" i="4"/>
  <c r="Y73" i="4"/>
  <c r="Y69" i="4"/>
  <c r="Y65" i="4"/>
  <c r="Y61" i="4"/>
  <c r="Y18" i="4"/>
  <c r="Y53" i="4"/>
  <c r="Y41" i="4"/>
  <c r="Y24" i="4"/>
  <c r="Y32" i="4"/>
  <c r="Y33" i="4"/>
  <c r="Y13" i="4"/>
  <c r="Y25" i="4"/>
  <c r="Y21" i="4"/>
  <c r="Y17" i="4"/>
  <c r="Y43" i="4"/>
  <c r="Y9" i="4"/>
  <c r="Y78" i="4"/>
  <c r="Y74" i="4"/>
  <c r="Y70" i="4"/>
  <c r="Y68" i="4"/>
  <c r="Y29" i="4"/>
  <c r="Y75" i="4"/>
  <c r="Y54" i="4"/>
  <c r="Y46" i="4"/>
  <c r="Y42" i="4"/>
  <c r="Y38" i="4"/>
  <c r="Y34" i="4"/>
  <c r="Y30" i="4"/>
  <c r="Y63" i="4"/>
  <c r="Y22" i="4"/>
  <c r="Y37" i="4"/>
  <c r="Y14" i="4"/>
  <c r="Y10" i="4"/>
  <c r="Y15" i="4"/>
  <c r="Y26" i="4"/>
  <c r="Z69" i="4"/>
  <c r="W69" i="4"/>
  <c r="Z53" i="4"/>
  <c r="W53" i="4"/>
  <c r="Z33" i="4"/>
  <c r="W33" i="4"/>
  <c r="W13" i="4"/>
  <c r="Z13" i="4"/>
  <c r="Z17" i="4"/>
  <c r="W17" i="4"/>
  <c r="W43" i="4"/>
  <c r="Z43" i="4"/>
  <c r="Z9" i="4"/>
  <c r="W9" i="4"/>
  <c r="X81" i="4"/>
  <c r="W78" i="4"/>
  <c r="Z78" i="4"/>
  <c r="W74" i="4"/>
  <c r="Z74" i="4"/>
  <c r="W70" i="4"/>
  <c r="Z70" i="4"/>
  <c r="W68" i="4"/>
  <c r="Z68" i="4"/>
  <c r="W29" i="4"/>
  <c r="Z29" i="4"/>
  <c r="W75" i="4"/>
  <c r="Z75" i="4"/>
  <c r="W54" i="4"/>
  <c r="Z54" i="4"/>
  <c r="W46" i="4"/>
  <c r="Z46" i="4"/>
  <c r="W42" i="4"/>
  <c r="Z42" i="4"/>
  <c r="W38" i="4"/>
  <c r="Z38" i="4"/>
  <c r="W34" i="4"/>
  <c r="Z34" i="4"/>
  <c r="W30" i="4"/>
  <c r="Z30" i="4"/>
  <c r="W63" i="4"/>
  <c r="Z63" i="4"/>
  <c r="W22" i="4"/>
  <c r="Z22" i="4"/>
  <c r="W37" i="4"/>
  <c r="Z37" i="4"/>
  <c r="W14" i="4"/>
  <c r="Z14" i="4"/>
  <c r="W10" i="4"/>
  <c r="Z10" i="4"/>
  <c r="Z35" i="4"/>
  <c r="W35" i="4"/>
  <c r="Z73" i="4"/>
  <c r="W73" i="4"/>
  <c r="Z65" i="4"/>
  <c r="W65" i="4"/>
  <c r="Z61" i="4"/>
  <c r="W61" i="4"/>
  <c r="Z18" i="4"/>
  <c r="W18" i="4"/>
  <c r="W41" i="4"/>
  <c r="Z41" i="4"/>
  <c r="Z24" i="4"/>
  <c r="W24" i="4"/>
  <c r="W32" i="4"/>
  <c r="Z32" i="4"/>
  <c r="Z25" i="4"/>
  <c r="W25" i="4"/>
  <c r="W21" i="4"/>
  <c r="Z21" i="4"/>
  <c r="Z80" i="4"/>
  <c r="W80" i="4"/>
  <c r="W23" i="4"/>
  <c r="Z23" i="4"/>
  <c r="Z12" i="4"/>
  <c r="W12" i="4"/>
  <c r="Z67" i="4"/>
  <c r="W67" i="4"/>
  <c r="W11" i="4"/>
  <c r="Z11" i="4"/>
  <c r="Z62" i="4"/>
  <c r="W62" i="4"/>
  <c r="Z55" i="4"/>
  <c r="W55" i="4"/>
  <c r="Z47" i="4"/>
  <c r="W47" i="4"/>
  <c r="Z66" i="4"/>
  <c r="W66" i="4"/>
  <c r="Z39" i="4"/>
  <c r="W39" i="4"/>
  <c r="Z59" i="4"/>
  <c r="W59" i="4"/>
  <c r="Z31" i="4"/>
  <c r="W31" i="4"/>
  <c r="Z57" i="4"/>
  <c r="W57" i="4"/>
  <c r="Z19" i="4"/>
  <c r="W19" i="4"/>
  <c r="Z45" i="4"/>
  <c r="W45" i="4"/>
  <c r="W15" i="4"/>
  <c r="Z15" i="4"/>
  <c r="Z26" i="4"/>
  <c r="W26" i="4"/>
  <c r="Z76" i="4"/>
  <c r="W76" i="4"/>
  <c r="Z72" i="4"/>
  <c r="W72" i="4"/>
  <c r="Z71" i="4"/>
  <c r="W71" i="4"/>
  <c r="Z64" i="4"/>
  <c r="W64" i="4"/>
  <c r="Z60" i="4"/>
  <c r="W60" i="4"/>
  <c r="Z56" i="4"/>
  <c r="W56" i="4"/>
  <c r="Z48" i="4"/>
  <c r="W48" i="4"/>
  <c r="Z44" i="4"/>
  <c r="W44" i="4"/>
  <c r="Z40" i="4"/>
  <c r="W40" i="4"/>
  <c r="Z36" i="4"/>
  <c r="W36" i="4"/>
  <c r="Z58" i="4"/>
  <c r="W58" i="4"/>
  <c r="Z28" i="4"/>
  <c r="W28" i="4"/>
  <c r="Z27" i="4"/>
  <c r="W27" i="4"/>
  <c r="Z20" i="4"/>
  <c r="W20" i="4"/>
  <c r="Z16" i="4"/>
  <c r="W16" i="4"/>
  <c r="Z77" i="4"/>
  <c r="W77" i="4"/>
  <c r="Z8" i="4"/>
  <c r="W8" i="4"/>
  <c r="M81" i="4"/>
  <c r="P81" i="4"/>
  <c r="V46" i="4"/>
  <c r="T81" i="4"/>
  <c r="N81" i="4"/>
  <c r="V35" i="4"/>
  <c r="AI35" i="4" s="1"/>
  <c r="K81" i="4"/>
  <c r="O81" i="4"/>
  <c r="L81" i="4"/>
  <c r="V12" i="4"/>
  <c r="AI12" i="4" s="1"/>
  <c r="V80" i="4"/>
  <c r="AI80" i="4" s="1"/>
  <c r="V23" i="4"/>
  <c r="AI23" i="4" s="1"/>
  <c r="V76" i="4"/>
  <c r="AL76" i="4" s="1"/>
  <c r="AM76" i="4" s="1"/>
  <c r="V60" i="4"/>
  <c r="AL60" i="4" s="1"/>
  <c r="AM60" i="4" s="1"/>
  <c r="V64" i="4"/>
  <c r="AI64" i="4" s="1"/>
  <c r="V55" i="4"/>
  <c r="AI55" i="4" s="1"/>
  <c r="V54" i="4"/>
  <c r="BF54" i="4" s="1"/>
  <c r="V38" i="4"/>
  <c r="V59" i="4"/>
  <c r="AI59" i="4" s="1"/>
  <c r="V34" i="4"/>
  <c r="BC34" i="4" s="1"/>
  <c r="V31" i="4"/>
  <c r="V27" i="4"/>
  <c r="AI27" i="4" s="1"/>
  <c r="V20" i="4"/>
  <c r="BC20" i="4" s="1"/>
  <c r="V45" i="4"/>
  <c r="AI45" i="4" s="1"/>
  <c r="V15" i="4"/>
  <c r="U81" i="4"/>
  <c r="Q81" i="4"/>
  <c r="H81" i="4"/>
  <c r="R81" i="4"/>
  <c r="S81" i="4"/>
  <c r="V66" i="4"/>
  <c r="V24" i="4"/>
  <c r="AI24" i="4" s="1"/>
  <c r="V40" i="4"/>
  <c r="AI40" i="4" s="1"/>
  <c r="V19" i="4"/>
  <c r="V37" i="4"/>
  <c r="V26" i="4"/>
  <c r="I81" i="4"/>
  <c r="J81" i="4"/>
  <c r="V72" i="4"/>
  <c r="V69" i="4"/>
  <c r="AL69" i="4" s="1"/>
  <c r="AM69" i="4" s="1"/>
  <c r="G81" i="4"/>
  <c r="V47" i="4"/>
  <c r="AL47" i="4" s="1"/>
  <c r="AM47" i="4" s="1"/>
  <c r="V14" i="4"/>
  <c r="AM14" i="4" s="1"/>
  <c r="V57" i="4"/>
  <c r="M91" i="4"/>
  <c r="N91" i="4" s="1"/>
  <c r="M94" i="4"/>
  <c r="N94" i="4" s="1"/>
  <c r="BM30" i="4"/>
  <c r="AK81" i="4"/>
  <c r="M90" i="4"/>
  <c r="N90" i="4" s="1"/>
  <c r="AU81" i="4"/>
  <c r="M92" i="4"/>
  <c r="N92" i="4" s="1"/>
  <c r="M93" i="4"/>
  <c r="N93" i="4" s="1"/>
  <c r="M89" i="4"/>
  <c r="N89" i="4" s="1"/>
  <c r="AJ81" i="4"/>
  <c r="AO81" i="4"/>
  <c r="AO83" i="4" s="1"/>
  <c r="AZ81" i="4"/>
  <c r="BL81" i="4"/>
  <c r="M97" i="4"/>
  <c r="N97" i="4" s="1"/>
  <c r="M96" i="4"/>
  <c r="N96" i="4" s="1"/>
  <c r="M95" i="4"/>
  <c r="N95" i="4" s="1"/>
  <c r="M88" i="4"/>
  <c r="N88" i="4" s="1"/>
  <c r="M87" i="4"/>
  <c r="N87" i="4" s="1"/>
  <c r="AN81" i="4"/>
  <c r="AB61" i="4"/>
  <c r="AP81" i="4"/>
  <c r="BM80" i="4"/>
  <c r="AB76" i="4"/>
  <c r="V78" i="4"/>
  <c r="BC78" i="4" s="1"/>
  <c r="AB73" i="4"/>
  <c r="V71" i="4"/>
  <c r="BF71" i="4" s="1"/>
  <c r="AB67" i="4"/>
  <c r="V68" i="4"/>
  <c r="AI68" i="4" s="1"/>
  <c r="AB29" i="4"/>
  <c r="V73" i="4"/>
  <c r="BF73" i="4" s="1"/>
  <c r="V75" i="4"/>
  <c r="V56" i="4"/>
  <c r="AI56" i="4" s="1"/>
  <c r="V48" i="4"/>
  <c r="AB32" i="4"/>
  <c r="V74" i="4"/>
  <c r="BC74" i="4" s="1"/>
  <c r="V70" i="4"/>
  <c r="AM70" i="4" s="1"/>
  <c r="AB64" i="4"/>
  <c r="V11" i="4"/>
  <c r="V29" i="4"/>
  <c r="AB60" i="4"/>
  <c r="V62" i="4"/>
  <c r="AB18" i="4"/>
  <c r="AB53" i="4"/>
  <c r="AB47" i="4"/>
  <c r="V44" i="4"/>
  <c r="V67" i="4"/>
  <c r="V65" i="4"/>
  <c r="V61" i="4"/>
  <c r="AL61" i="4" s="1"/>
  <c r="AM61" i="4" s="1"/>
  <c r="AB75" i="4"/>
  <c r="V41" i="4"/>
  <c r="V42" i="4"/>
  <c r="V36" i="4"/>
  <c r="AM36" i="4" s="1"/>
  <c r="V63" i="4"/>
  <c r="V18" i="4"/>
  <c r="AI18" i="4" s="1"/>
  <c r="V53" i="4"/>
  <c r="AB46" i="4"/>
  <c r="AB66" i="4"/>
  <c r="V30" i="4"/>
  <c r="V13" i="4"/>
  <c r="AB45" i="4"/>
  <c r="AB40" i="4"/>
  <c r="V39" i="4"/>
  <c r="AX39" i="4" s="1"/>
  <c r="V33" i="4"/>
  <c r="BF33" i="4" s="1"/>
  <c r="AB30" i="4"/>
  <c r="AB63" i="4"/>
  <c r="V21" i="4"/>
  <c r="BF21" i="4" s="1"/>
  <c r="AB34" i="4"/>
  <c r="V28" i="4"/>
  <c r="V32" i="4"/>
  <c r="V58" i="4"/>
  <c r="V22" i="4"/>
  <c r="AX22" i="4" s="1"/>
  <c r="V25" i="4"/>
  <c r="AI25" i="4" s="1"/>
  <c r="AB19" i="4"/>
  <c r="V43" i="4"/>
  <c r="BF43" i="4" s="1"/>
  <c r="V17" i="4"/>
  <c r="AM17" i="4" s="1"/>
  <c r="V77" i="4"/>
  <c r="BF77" i="4" s="1"/>
  <c r="V9" i="4"/>
  <c r="V10" i="4"/>
  <c r="AX10" i="4" s="1"/>
  <c r="V8" i="4"/>
  <c r="V16" i="4"/>
  <c r="BF16" i="4" s="1"/>
  <c r="AB15" i="4"/>
  <c r="K96" i="4" l="1"/>
  <c r="L96" i="4" s="1"/>
  <c r="K90" i="4"/>
  <c r="AC47" i="4"/>
  <c r="BF47" i="4"/>
  <c r="AI47" i="4"/>
  <c r="AC27" i="4"/>
  <c r="AF27" i="4" s="1"/>
  <c r="AC40" i="4"/>
  <c r="AE40" i="4" s="1"/>
  <c r="BC14" i="4"/>
  <c r="AM22" i="4"/>
  <c r="BC33" i="4"/>
  <c r="AI36" i="4"/>
  <c r="BC70" i="4"/>
  <c r="AI21" i="4"/>
  <c r="AX33" i="4"/>
  <c r="BC36" i="4"/>
  <c r="BF34" i="4"/>
  <c r="AX21" i="4"/>
  <c r="BC25" i="4"/>
  <c r="BF78" i="4"/>
  <c r="AX77" i="4"/>
  <c r="AM64" i="4"/>
  <c r="AM55" i="4"/>
  <c r="AI9" i="4"/>
  <c r="AX9" i="4"/>
  <c r="AM9" i="4"/>
  <c r="BF9" i="4"/>
  <c r="BC9" i="4"/>
  <c r="BF31" i="4"/>
  <c r="AI54" i="4"/>
  <c r="AX54" i="4"/>
  <c r="AI62" i="4"/>
  <c r="AM10" i="4"/>
  <c r="AI65" i="4"/>
  <c r="BF74" i="4"/>
  <c r="AI8" i="4"/>
  <c r="BF46" i="4"/>
  <c r="BF20" i="4"/>
  <c r="AI43" i="4"/>
  <c r="AI72" i="4"/>
  <c r="BF17" i="4"/>
  <c r="AI39" i="4"/>
  <c r="BF80" i="4"/>
  <c r="BF75" i="4"/>
  <c r="BC22" i="4"/>
  <c r="BC21" i="4"/>
  <c r="BF12" i="4"/>
  <c r="AM77" i="4"/>
  <c r="AI31" i="4"/>
  <c r="AM54" i="4"/>
  <c r="AI63" i="4"/>
  <c r="BF13" i="4"/>
  <c r="AI33" i="4"/>
  <c r="AI41" i="4"/>
  <c r="BF25" i="4"/>
  <c r="BF27" i="4"/>
  <c r="BF14" i="4"/>
  <c r="BF42" i="4"/>
  <c r="AI15" i="4"/>
  <c r="BF64" i="4"/>
  <c r="BC64" i="4"/>
  <c r="BC10" i="4"/>
  <c r="BF36" i="4"/>
  <c r="AI78" i="4"/>
  <c r="AX78" i="4"/>
  <c r="BF55" i="4"/>
  <c r="BC55" i="4"/>
  <c r="BF70" i="4"/>
  <c r="AI48" i="4"/>
  <c r="AI74" i="4"/>
  <c r="AX74" i="4"/>
  <c r="BF30" i="4"/>
  <c r="AI32" i="4"/>
  <c r="BF8" i="4"/>
  <c r="AI34" i="4"/>
  <c r="AX34" i="4"/>
  <c r="AI46" i="4"/>
  <c r="BF37" i="4"/>
  <c r="AX20" i="4"/>
  <c r="AI67" i="4"/>
  <c r="BC17" i="4"/>
  <c r="AX17" i="4"/>
  <c r="AM39" i="4"/>
  <c r="AI11" i="4"/>
  <c r="AI75" i="4"/>
  <c r="BF22" i="4"/>
  <c r="AM21" i="4"/>
  <c r="AI77" i="4"/>
  <c r="BC77" i="4"/>
  <c r="BC54" i="4"/>
  <c r="AI13" i="4"/>
  <c r="AM33" i="4"/>
  <c r="AM25" i="4"/>
  <c r="AX25" i="4"/>
  <c r="AI26" i="4"/>
  <c r="AI14" i="4"/>
  <c r="AX14" i="4"/>
  <c r="BF29" i="4"/>
  <c r="AI73" i="4"/>
  <c r="AI66" i="4"/>
  <c r="AI57" i="4"/>
  <c r="AI42" i="4"/>
  <c r="AX64" i="4"/>
  <c r="AI16" i="4"/>
  <c r="BF10" i="4"/>
  <c r="AX36" i="4"/>
  <c r="AM78" i="4"/>
  <c r="AI71" i="4"/>
  <c r="AX55" i="4"/>
  <c r="AI70" i="4"/>
  <c r="AX70" i="4"/>
  <c r="BF65" i="4"/>
  <c r="AM74" i="4"/>
  <c r="AI30" i="4"/>
  <c r="BF32" i="4"/>
  <c r="AM34" i="4"/>
  <c r="BF56" i="4"/>
  <c r="BF35" i="4"/>
  <c r="AI37" i="4"/>
  <c r="AM20" i="4"/>
  <c r="BF23" i="4"/>
  <c r="BF72" i="4"/>
  <c r="AI17" i="4"/>
  <c r="BF39" i="4"/>
  <c r="BC39" i="4"/>
  <c r="BC38" i="4"/>
  <c r="AM38" i="4"/>
  <c r="AX38" i="4"/>
  <c r="AI38" i="4"/>
  <c r="BF38" i="4"/>
  <c r="AI22" i="4"/>
  <c r="AI19" i="4"/>
  <c r="AI29" i="4"/>
  <c r="AI58" i="4"/>
  <c r="AI10" i="4"/>
  <c r="AI20" i="4"/>
  <c r="BF67" i="4"/>
  <c r="BF11" i="4"/>
  <c r="AL8" i="4"/>
  <c r="AM8" i="4" s="1"/>
  <c r="AL44" i="4"/>
  <c r="AM44" i="4" s="1"/>
  <c r="AL28" i="4"/>
  <c r="AM28" i="4" s="1"/>
  <c r="AL53" i="4"/>
  <c r="AM53" i="4" s="1"/>
  <c r="AS38" i="4"/>
  <c r="AS9" i="4"/>
  <c r="AS20" i="4"/>
  <c r="AS39" i="4"/>
  <c r="AS36" i="4"/>
  <c r="AS54" i="4"/>
  <c r="AS25" i="4"/>
  <c r="AS10" i="4"/>
  <c r="AS78" i="4"/>
  <c r="AS55" i="4"/>
  <c r="AS74" i="4"/>
  <c r="AS34" i="4"/>
  <c r="AS22" i="4"/>
  <c r="AS64" i="4"/>
  <c r="AS17" i="4"/>
  <c r="AS33" i="4"/>
  <c r="AS70" i="4"/>
  <c r="AS21" i="4"/>
  <c r="AS14" i="4"/>
  <c r="AS77" i="4"/>
  <c r="K91" i="4"/>
  <c r="L91" i="4" s="1"/>
  <c r="O91" i="4" s="1"/>
  <c r="BO30" i="4" s="1"/>
  <c r="K100" i="4"/>
  <c r="L100" i="4" s="1"/>
  <c r="O100" i="4" s="1"/>
  <c r="BO38" i="4" s="1"/>
  <c r="K97" i="4"/>
  <c r="L97" i="4" s="1"/>
  <c r="O97" i="4" s="1"/>
  <c r="BO54" i="4" s="1"/>
  <c r="K99" i="4"/>
  <c r="K93" i="4"/>
  <c r="L93" i="4" s="1"/>
  <c r="K88" i="4"/>
  <c r="K92" i="4"/>
  <c r="L92" i="4" s="1"/>
  <c r="O92" i="4" s="1"/>
  <c r="BO31" i="4" s="1"/>
  <c r="O96" i="4"/>
  <c r="BO9" i="4" s="1"/>
  <c r="K95" i="4"/>
  <c r="L95" i="4" s="1"/>
  <c r="O95" i="4" s="1"/>
  <c r="BO41" i="4" s="1"/>
  <c r="K87" i="4"/>
  <c r="L87" i="4" s="1"/>
  <c r="O87" i="4" s="1"/>
  <c r="BO8" i="4" s="1"/>
  <c r="K94" i="4"/>
  <c r="L94" i="4" s="1"/>
  <c r="O94" i="4" s="1"/>
  <c r="BO40" i="4" s="1"/>
  <c r="K89" i="4"/>
  <c r="AL42" i="4"/>
  <c r="AM42" i="4" s="1"/>
  <c r="AL75" i="4"/>
  <c r="AM75" i="4" s="1"/>
  <c r="AL19" i="4"/>
  <c r="AM19" i="4" s="1"/>
  <c r="AL66" i="4"/>
  <c r="AM66" i="4" s="1"/>
  <c r="AL59" i="4"/>
  <c r="AM59" i="4" s="1"/>
  <c r="AL23" i="4"/>
  <c r="AM23" i="4" s="1"/>
  <c r="AL43" i="4"/>
  <c r="AM43" i="4" s="1"/>
  <c r="AL58" i="4"/>
  <c r="AM58" i="4" s="1"/>
  <c r="AL30" i="4"/>
  <c r="AM30" i="4" s="1"/>
  <c r="AL18" i="4"/>
  <c r="AM18" i="4" s="1"/>
  <c r="AL41" i="4"/>
  <c r="AM41" i="4" s="1"/>
  <c r="AL67" i="4"/>
  <c r="AM67" i="4" s="1"/>
  <c r="AL11" i="4"/>
  <c r="AM11" i="4" s="1"/>
  <c r="AL73" i="4"/>
  <c r="AM73" i="4" s="1"/>
  <c r="AL71" i="4"/>
  <c r="AM71" i="4" s="1"/>
  <c r="AL27" i="4"/>
  <c r="AM27" i="4" s="1"/>
  <c r="AL80" i="4"/>
  <c r="AM80" i="4" s="1"/>
  <c r="AL46" i="4"/>
  <c r="AM46" i="4" s="1"/>
  <c r="AL13" i="4"/>
  <c r="AM13" i="4" s="1"/>
  <c r="AL29" i="4"/>
  <c r="AM29" i="4" s="1"/>
  <c r="AL63" i="4"/>
  <c r="AM63" i="4" s="1"/>
  <c r="AL62" i="4"/>
  <c r="AM62" i="4" s="1"/>
  <c r="AL57" i="4"/>
  <c r="AM57" i="4" s="1"/>
  <c r="AL26" i="4"/>
  <c r="AM26" i="4" s="1"/>
  <c r="AL40" i="4"/>
  <c r="AM40" i="4" s="1"/>
  <c r="AL15" i="4"/>
  <c r="AM15" i="4" s="1"/>
  <c r="AL31" i="4"/>
  <c r="AM31" i="4" s="1"/>
  <c r="AL12" i="4"/>
  <c r="AM12" i="4" s="1"/>
  <c r="AL35" i="4"/>
  <c r="AM35" i="4" s="1"/>
  <c r="AL65" i="4"/>
  <c r="AM65" i="4" s="1"/>
  <c r="AL32" i="4"/>
  <c r="AM32" i="4" s="1"/>
  <c r="AL48" i="4"/>
  <c r="AM48" i="4" s="1"/>
  <c r="AL16" i="4"/>
  <c r="AM16" i="4" s="1"/>
  <c r="AL56" i="4"/>
  <c r="AM56" i="4" s="1"/>
  <c r="AL68" i="4"/>
  <c r="AM68" i="4" s="1"/>
  <c r="AL72" i="4"/>
  <c r="AM72" i="4" s="1"/>
  <c r="AL37" i="4"/>
  <c r="AM37" i="4" s="1"/>
  <c r="AL24" i="4"/>
  <c r="AM24" i="4" s="1"/>
  <c r="AL45" i="4"/>
  <c r="AM45" i="4" s="1"/>
  <c r="AL20" i="4"/>
  <c r="AL55" i="4"/>
  <c r="AL77" i="4"/>
  <c r="AL25" i="4"/>
  <c r="AL36" i="4"/>
  <c r="AL70" i="4"/>
  <c r="AL78" i="4"/>
  <c r="AL38" i="4"/>
  <c r="AL64" i="4"/>
  <c r="AL17" i="4"/>
  <c r="AL22" i="4"/>
  <c r="AL33" i="4"/>
  <c r="AL74" i="4"/>
  <c r="AL9" i="4"/>
  <c r="AL10" i="4"/>
  <c r="AL21" i="4"/>
  <c r="AL39" i="4"/>
  <c r="AL14" i="4"/>
  <c r="AL34" i="4"/>
  <c r="AL54" i="4"/>
  <c r="BH12" i="4"/>
  <c r="BI12" i="4" s="1"/>
  <c r="BH35" i="4"/>
  <c r="BI35" i="4" s="1"/>
  <c r="BH10" i="4"/>
  <c r="BI10" i="4" s="1"/>
  <c r="BH43" i="4"/>
  <c r="BI43" i="4" s="1"/>
  <c r="BH58" i="4"/>
  <c r="BI58" i="4" s="1"/>
  <c r="BH21" i="4"/>
  <c r="BI21" i="4" s="1"/>
  <c r="BH39" i="4"/>
  <c r="BI39" i="4" s="1"/>
  <c r="BH30" i="4"/>
  <c r="BI30" i="4" s="1"/>
  <c r="BH18" i="4"/>
  <c r="BI18" i="4" s="1"/>
  <c r="BH41" i="4"/>
  <c r="BI41" i="4" s="1"/>
  <c r="BH67" i="4"/>
  <c r="BI67" i="4" s="1"/>
  <c r="BH11" i="4"/>
  <c r="BI11" i="4" s="1"/>
  <c r="BH73" i="4"/>
  <c r="BI73" i="4" s="1"/>
  <c r="BH71" i="4"/>
  <c r="BI71" i="4" s="1"/>
  <c r="BH14" i="4"/>
  <c r="BI14" i="4" s="1"/>
  <c r="BH72" i="4"/>
  <c r="BI72" i="4" s="1"/>
  <c r="BH37" i="4"/>
  <c r="BI37" i="4" s="1"/>
  <c r="BH34" i="4"/>
  <c r="BI34" i="4" s="1"/>
  <c r="BH54" i="4"/>
  <c r="BI54" i="4" s="1"/>
  <c r="BH76" i="4"/>
  <c r="BI76" i="4" s="1"/>
  <c r="BQ8" i="4"/>
  <c r="BQ81" i="4" s="1"/>
  <c r="BH33" i="4"/>
  <c r="BI33" i="4" s="1"/>
  <c r="BH69" i="4"/>
  <c r="BI69" i="4" s="1"/>
  <c r="BH26" i="4"/>
  <c r="BI26" i="4" s="1"/>
  <c r="BH40" i="4"/>
  <c r="BI40" i="4" s="1"/>
  <c r="BH15" i="4"/>
  <c r="BI15" i="4" s="1"/>
  <c r="BH31" i="4"/>
  <c r="BI31" i="4" s="1"/>
  <c r="BH60" i="4"/>
  <c r="BI60" i="4" s="1"/>
  <c r="BH9" i="4"/>
  <c r="BI9" i="4" s="1"/>
  <c r="BH32" i="4"/>
  <c r="BI32" i="4" s="1"/>
  <c r="BH44" i="4"/>
  <c r="BI44" i="4" s="1"/>
  <c r="BH48" i="4"/>
  <c r="BI48" i="4" s="1"/>
  <c r="BH47" i="4"/>
  <c r="BI47" i="4" s="1"/>
  <c r="BH19" i="4"/>
  <c r="BI19" i="4" s="1"/>
  <c r="BH66" i="4"/>
  <c r="BI66" i="4" s="1"/>
  <c r="BH20" i="4"/>
  <c r="BI20" i="4" s="1"/>
  <c r="BH59" i="4"/>
  <c r="BI59" i="4" s="1"/>
  <c r="BH55" i="4"/>
  <c r="BI55" i="4" s="1"/>
  <c r="BH23" i="4"/>
  <c r="BI23" i="4" s="1"/>
  <c r="BH8" i="4"/>
  <c r="BI8" i="4" s="1"/>
  <c r="BH17" i="4"/>
  <c r="BI17" i="4" s="1"/>
  <c r="BH22" i="4"/>
  <c r="BI22" i="4" s="1"/>
  <c r="BH13" i="4"/>
  <c r="BI13" i="4" s="1"/>
  <c r="BH53" i="4"/>
  <c r="BI53" i="4" s="1"/>
  <c r="BH42" i="4"/>
  <c r="BI42" i="4" s="1"/>
  <c r="BH65" i="4"/>
  <c r="BI65" i="4" s="1"/>
  <c r="BH29" i="4"/>
  <c r="BI29" i="4" s="1"/>
  <c r="BH74" i="4"/>
  <c r="BI74" i="4" s="1"/>
  <c r="BH75" i="4"/>
  <c r="BI75" i="4" s="1"/>
  <c r="BH16" i="4"/>
  <c r="BI16" i="4" s="1"/>
  <c r="BH77" i="4"/>
  <c r="BI77" i="4" s="1"/>
  <c r="BH25" i="4"/>
  <c r="BI25" i="4" s="1"/>
  <c r="BH28" i="4"/>
  <c r="BI28" i="4" s="1"/>
  <c r="BH36" i="4"/>
  <c r="BI36" i="4" s="1"/>
  <c r="BH61" i="4"/>
  <c r="BI61" i="4" s="1"/>
  <c r="BH70" i="4"/>
  <c r="BI70" i="4" s="1"/>
  <c r="BH56" i="4"/>
  <c r="BI56" i="4" s="1"/>
  <c r="BH78" i="4"/>
  <c r="BI78" i="4" s="1"/>
  <c r="BH27" i="4"/>
  <c r="BI27" i="4" s="1"/>
  <c r="BH38" i="4"/>
  <c r="BI38" i="4" s="1"/>
  <c r="BH64" i="4"/>
  <c r="BI64" i="4" s="1"/>
  <c r="BH80" i="4"/>
  <c r="BI80" i="4" s="1"/>
  <c r="BH46" i="4"/>
  <c r="BI46" i="4" s="1"/>
  <c r="BR81" i="4"/>
  <c r="BS8" i="4"/>
  <c r="BS81" i="4" s="1"/>
  <c r="AC16" i="4"/>
  <c r="AF16" i="4" s="1"/>
  <c r="AC58" i="4"/>
  <c r="AF58" i="4" s="1"/>
  <c r="AC48" i="4"/>
  <c r="AE48" i="4" s="1"/>
  <c r="AC71" i="4"/>
  <c r="AF71" i="4" s="1"/>
  <c r="AC72" i="4"/>
  <c r="AF72" i="4" s="1"/>
  <c r="BA20" i="4"/>
  <c r="BB20" i="4"/>
  <c r="BA59" i="4"/>
  <c r="BB59" i="4"/>
  <c r="BC59" i="4" s="1"/>
  <c r="BA55" i="4"/>
  <c r="BB55" i="4"/>
  <c r="BA60" i="4"/>
  <c r="BB60" i="4"/>
  <c r="BC60" i="4" s="1"/>
  <c r="BA12" i="4"/>
  <c r="BB12" i="4"/>
  <c r="BC12" i="4" s="1"/>
  <c r="BA35" i="4"/>
  <c r="BB35" i="4"/>
  <c r="BC35" i="4" s="1"/>
  <c r="BA77" i="4"/>
  <c r="BB77" i="4"/>
  <c r="BA43" i="4"/>
  <c r="BB43" i="4"/>
  <c r="BC43" i="4" s="1"/>
  <c r="BA58" i="4"/>
  <c r="BB58" i="4"/>
  <c r="BC58" i="4" s="1"/>
  <c r="BA33" i="4"/>
  <c r="BB33" i="4"/>
  <c r="BA63" i="4"/>
  <c r="BB63" i="4"/>
  <c r="BC63" i="4" s="1"/>
  <c r="BA67" i="4"/>
  <c r="BB67" i="4"/>
  <c r="BC67" i="4" s="1"/>
  <c r="BA29" i="4"/>
  <c r="BB29" i="4"/>
  <c r="BC29" i="4" s="1"/>
  <c r="BA70" i="4"/>
  <c r="BB70" i="4"/>
  <c r="BA48" i="4"/>
  <c r="BB48" i="4"/>
  <c r="BC48" i="4" s="1"/>
  <c r="BA73" i="4"/>
  <c r="BB73" i="4"/>
  <c r="BC73" i="4" s="1"/>
  <c r="BA71" i="4"/>
  <c r="BB71" i="4"/>
  <c r="BC71" i="4" s="1"/>
  <c r="BA40" i="4"/>
  <c r="BB40" i="4"/>
  <c r="BC40" i="4" s="1"/>
  <c r="BA27" i="4"/>
  <c r="BB27" i="4"/>
  <c r="BC27" i="4" s="1"/>
  <c r="BA38" i="4"/>
  <c r="BB38" i="4"/>
  <c r="BA64" i="4"/>
  <c r="BB64" i="4"/>
  <c r="BA76" i="4"/>
  <c r="BB76" i="4"/>
  <c r="BC76" i="4" s="1"/>
  <c r="BA9" i="4"/>
  <c r="BB9" i="4"/>
  <c r="BA72" i="4"/>
  <c r="BB72" i="4"/>
  <c r="BC72" i="4" s="1"/>
  <c r="BA32" i="4"/>
  <c r="BB32" i="4"/>
  <c r="BC32" i="4" s="1"/>
  <c r="BA21" i="4"/>
  <c r="BB21" i="4"/>
  <c r="BA39" i="4"/>
  <c r="BB39" i="4"/>
  <c r="BA13" i="4"/>
  <c r="BB13" i="4"/>
  <c r="BC13" i="4" s="1"/>
  <c r="BA53" i="4"/>
  <c r="BB53" i="4"/>
  <c r="BC53" i="4" s="1"/>
  <c r="BA42" i="4"/>
  <c r="BB42" i="4"/>
  <c r="BC42" i="4" s="1"/>
  <c r="BA61" i="4"/>
  <c r="BB61" i="4"/>
  <c r="BC61" i="4" s="1"/>
  <c r="BA11" i="4"/>
  <c r="BB11" i="4"/>
  <c r="BC11" i="4" s="1"/>
  <c r="BA74" i="4"/>
  <c r="BB74" i="4"/>
  <c r="BA19" i="4"/>
  <c r="BB19" i="4"/>
  <c r="BC19" i="4" s="1"/>
  <c r="AV24" i="4"/>
  <c r="BA24" i="4"/>
  <c r="BB24" i="4"/>
  <c r="BC24" i="4" s="1"/>
  <c r="BA15" i="4"/>
  <c r="BB15" i="4"/>
  <c r="BC15" i="4" s="1"/>
  <c r="BA31" i="4"/>
  <c r="BB31" i="4"/>
  <c r="BC31" i="4" s="1"/>
  <c r="BA23" i="4"/>
  <c r="BB23" i="4"/>
  <c r="BC23" i="4" s="1"/>
  <c r="BA16" i="4"/>
  <c r="BB16" i="4"/>
  <c r="BC16" i="4" s="1"/>
  <c r="BA22" i="4"/>
  <c r="BB22" i="4"/>
  <c r="BA36" i="4"/>
  <c r="BB36" i="4"/>
  <c r="BA75" i="4"/>
  <c r="BB75" i="4"/>
  <c r="BC75" i="4" s="1"/>
  <c r="BA57" i="4"/>
  <c r="BB57" i="4"/>
  <c r="BC57" i="4" s="1"/>
  <c r="BA14" i="4"/>
  <c r="BB14" i="4"/>
  <c r="BA37" i="4"/>
  <c r="BB37" i="4"/>
  <c r="BC37" i="4" s="1"/>
  <c r="AV8" i="4"/>
  <c r="BA8" i="4"/>
  <c r="BA10" i="4"/>
  <c r="BB10" i="4"/>
  <c r="BA17" i="4"/>
  <c r="BB17" i="4"/>
  <c r="BA25" i="4"/>
  <c r="BB25" i="4"/>
  <c r="BA28" i="4"/>
  <c r="BB28" i="4"/>
  <c r="BC28" i="4" s="1"/>
  <c r="BA30" i="4"/>
  <c r="BB30" i="4"/>
  <c r="BC30" i="4" s="1"/>
  <c r="BA18" i="4"/>
  <c r="BB18" i="4"/>
  <c r="BC18" i="4" s="1"/>
  <c r="BA41" i="4"/>
  <c r="BB41" i="4"/>
  <c r="BC41" i="4" s="1"/>
  <c r="BA65" i="4"/>
  <c r="BB65" i="4"/>
  <c r="BC65" i="4" s="1"/>
  <c r="BA44" i="4"/>
  <c r="BB44" i="4"/>
  <c r="BC44" i="4" s="1"/>
  <c r="BA62" i="4"/>
  <c r="BB62" i="4"/>
  <c r="BC62" i="4" s="1"/>
  <c r="BA56" i="4"/>
  <c r="BB56" i="4"/>
  <c r="BC56" i="4" s="1"/>
  <c r="BA68" i="4"/>
  <c r="BB68" i="4"/>
  <c r="BC68" i="4" s="1"/>
  <c r="BA78" i="4"/>
  <c r="BB78" i="4"/>
  <c r="BA47" i="4"/>
  <c r="BB47" i="4"/>
  <c r="BC47" i="4" s="1"/>
  <c r="BA69" i="4"/>
  <c r="BB69" i="4"/>
  <c r="BC69" i="4" s="1"/>
  <c r="BA26" i="4"/>
  <c r="BB26" i="4"/>
  <c r="BC26" i="4" s="1"/>
  <c r="BA66" i="4"/>
  <c r="BB66" i="4"/>
  <c r="BC66" i="4" s="1"/>
  <c r="BA45" i="4"/>
  <c r="BB45" i="4"/>
  <c r="BC45" i="4" s="1"/>
  <c r="BA34" i="4"/>
  <c r="BB34" i="4"/>
  <c r="BA54" i="4"/>
  <c r="BB54" i="4"/>
  <c r="BA80" i="4"/>
  <c r="BB80" i="4"/>
  <c r="BC80" i="4" s="1"/>
  <c r="BA46" i="4"/>
  <c r="BB46" i="4"/>
  <c r="BC46" i="4" s="1"/>
  <c r="AW57" i="4"/>
  <c r="AX57" i="4" s="1"/>
  <c r="AV57" i="4"/>
  <c r="AW14" i="4"/>
  <c r="AV14" i="4"/>
  <c r="AW72" i="4"/>
  <c r="AX72" i="4" s="1"/>
  <c r="AV72" i="4"/>
  <c r="AW37" i="4"/>
  <c r="AX37" i="4" s="1"/>
  <c r="AV37" i="4"/>
  <c r="AW20" i="4"/>
  <c r="AV20" i="4"/>
  <c r="AW59" i="4"/>
  <c r="AX59" i="4" s="1"/>
  <c r="AV59" i="4"/>
  <c r="AW55" i="4"/>
  <c r="AV55" i="4"/>
  <c r="AW60" i="4"/>
  <c r="AX60" i="4" s="1"/>
  <c r="AV60" i="4"/>
  <c r="AW12" i="4"/>
  <c r="AX12" i="4" s="1"/>
  <c r="AV12" i="4"/>
  <c r="AW35" i="4"/>
  <c r="AX35" i="4" s="1"/>
  <c r="AV35" i="4"/>
  <c r="AW77" i="4"/>
  <c r="AV77" i="4"/>
  <c r="AW43" i="4"/>
  <c r="AX43" i="4" s="1"/>
  <c r="AV43" i="4"/>
  <c r="AW58" i="4"/>
  <c r="AX58" i="4" s="1"/>
  <c r="AV58" i="4"/>
  <c r="AW33" i="4"/>
  <c r="AV33" i="4"/>
  <c r="AW63" i="4"/>
  <c r="AX63" i="4" s="1"/>
  <c r="AV63" i="4"/>
  <c r="AW67" i="4"/>
  <c r="AX67" i="4" s="1"/>
  <c r="AV67" i="4"/>
  <c r="AW29" i="4"/>
  <c r="AX29" i="4" s="1"/>
  <c r="AV29" i="4"/>
  <c r="AW70" i="4"/>
  <c r="AV70" i="4"/>
  <c r="AW48" i="4"/>
  <c r="AX48" i="4" s="1"/>
  <c r="AV48" i="4"/>
  <c r="AW73" i="4"/>
  <c r="AX73" i="4" s="1"/>
  <c r="AV73" i="4"/>
  <c r="AW71" i="4"/>
  <c r="AX71" i="4" s="1"/>
  <c r="AV71" i="4"/>
  <c r="AW40" i="4"/>
  <c r="AX40" i="4" s="1"/>
  <c r="AV40" i="4"/>
  <c r="AW27" i="4"/>
  <c r="AX27" i="4" s="1"/>
  <c r="AV27" i="4"/>
  <c r="AW38" i="4"/>
  <c r="AV38" i="4"/>
  <c r="AW64" i="4"/>
  <c r="AV64" i="4"/>
  <c r="AW76" i="4"/>
  <c r="AX76" i="4" s="1"/>
  <c r="AV76" i="4"/>
  <c r="AW9" i="4"/>
  <c r="AV9" i="4"/>
  <c r="AW75" i="4"/>
  <c r="AX75" i="4" s="1"/>
  <c r="AV75" i="4"/>
  <c r="AW32" i="4"/>
  <c r="AX32" i="4" s="1"/>
  <c r="AV32" i="4"/>
  <c r="AW21" i="4"/>
  <c r="AV21" i="4"/>
  <c r="AW39" i="4"/>
  <c r="AV39" i="4"/>
  <c r="AW13" i="4"/>
  <c r="AX13" i="4" s="1"/>
  <c r="AV13" i="4"/>
  <c r="AW53" i="4"/>
  <c r="AX53" i="4" s="1"/>
  <c r="AV53" i="4"/>
  <c r="AW42" i="4"/>
  <c r="AX42" i="4" s="1"/>
  <c r="AV42" i="4"/>
  <c r="AW61" i="4"/>
  <c r="AX61" i="4" s="1"/>
  <c r="AV61" i="4"/>
  <c r="AW11" i="4"/>
  <c r="AX11" i="4" s="1"/>
  <c r="AV11" i="4"/>
  <c r="AW74" i="4"/>
  <c r="AV74" i="4"/>
  <c r="AW19" i="4"/>
  <c r="AX19" i="4" s="1"/>
  <c r="AV19" i="4"/>
  <c r="AW15" i="4"/>
  <c r="AX15" i="4" s="1"/>
  <c r="AV15" i="4"/>
  <c r="AW31" i="4"/>
  <c r="AX31" i="4" s="1"/>
  <c r="AV31" i="4"/>
  <c r="AW23" i="4"/>
  <c r="AX23" i="4" s="1"/>
  <c r="AV23" i="4"/>
  <c r="AW16" i="4"/>
  <c r="AX16" i="4" s="1"/>
  <c r="AV16" i="4"/>
  <c r="AW22" i="4"/>
  <c r="AV22" i="4"/>
  <c r="AW36" i="4"/>
  <c r="AV36" i="4"/>
  <c r="AW10" i="4"/>
  <c r="AV10" i="4"/>
  <c r="AW17" i="4"/>
  <c r="AV17" i="4"/>
  <c r="AW25" i="4"/>
  <c r="AV25" i="4"/>
  <c r="AW28" i="4"/>
  <c r="AX28" i="4" s="1"/>
  <c r="AV28" i="4"/>
  <c r="AW30" i="4"/>
  <c r="AX30" i="4" s="1"/>
  <c r="AV30" i="4"/>
  <c r="AW18" i="4"/>
  <c r="AX18" i="4" s="1"/>
  <c r="AV18" i="4"/>
  <c r="AW41" i="4"/>
  <c r="AX41" i="4" s="1"/>
  <c r="AV41" i="4"/>
  <c r="AW65" i="4"/>
  <c r="AX65" i="4" s="1"/>
  <c r="AV65" i="4"/>
  <c r="AW44" i="4"/>
  <c r="AX44" i="4" s="1"/>
  <c r="AV44" i="4"/>
  <c r="AW62" i="4"/>
  <c r="AX62" i="4" s="1"/>
  <c r="AV62" i="4"/>
  <c r="AW56" i="4"/>
  <c r="AX56" i="4" s="1"/>
  <c r="AV56" i="4"/>
  <c r="AW68" i="4"/>
  <c r="AX68" i="4" s="1"/>
  <c r="AV68" i="4"/>
  <c r="AW78" i="4"/>
  <c r="AV78" i="4"/>
  <c r="AW47" i="4"/>
  <c r="AX47" i="4" s="1"/>
  <c r="AV47" i="4"/>
  <c r="AW69" i="4"/>
  <c r="AX69" i="4" s="1"/>
  <c r="AV69" i="4"/>
  <c r="AW26" i="4"/>
  <c r="AX26" i="4" s="1"/>
  <c r="AV26" i="4"/>
  <c r="AW66" i="4"/>
  <c r="AX66" i="4" s="1"/>
  <c r="AV66" i="4"/>
  <c r="AW45" i="4"/>
  <c r="AX45" i="4" s="1"/>
  <c r="AV45" i="4"/>
  <c r="AW34" i="4"/>
  <c r="AV34" i="4"/>
  <c r="AW54" i="4"/>
  <c r="AV54" i="4"/>
  <c r="AW80" i="4"/>
  <c r="AX80" i="4" s="1"/>
  <c r="AV80" i="4"/>
  <c r="AW46" i="4"/>
  <c r="AX46" i="4" s="1"/>
  <c r="AV46" i="4"/>
  <c r="AW24" i="4"/>
  <c r="AX24" i="4" s="1"/>
  <c r="AC28" i="4"/>
  <c r="AF28" i="4" s="1"/>
  <c r="AC44" i="4"/>
  <c r="AF44" i="4" s="1"/>
  <c r="AC64" i="4"/>
  <c r="AE64" i="4" s="1"/>
  <c r="AR16" i="4"/>
  <c r="AS16" i="4" s="1"/>
  <c r="AQ16" i="4"/>
  <c r="AR57" i="4"/>
  <c r="AS57" i="4" s="1"/>
  <c r="AQ57" i="4"/>
  <c r="AR14" i="4"/>
  <c r="AQ14" i="4"/>
  <c r="AR72" i="4"/>
  <c r="AS72" i="4" s="1"/>
  <c r="AQ72" i="4"/>
  <c r="AR37" i="4"/>
  <c r="AS37" i="4" s="1"/>
  <c r="AQ37" i="4"/>
  <c r="AR20" i="4"/>
  <c r="AQ20" i="4"/>
  <c r="AR59" i="4"/>
  <c r="AS59" i="4" s="1"/>
  <c r="AQ59" i="4"/>
  <c r="AR55" i="4"/>
  <c r="AQ55" i="4"/>
  <c r="AR60" i="4"/>
  <c r="AS60" i="4" s="1"/>
  <c r="AQ60" i="4"/>
  <c r="AR12" i="4"/>
  <c r="AS12" i="4" s="1"/>
  <c r="AQ12" i="4"/>
  <c r="AR35" i="4"/>
  <c r="AS35" i="4" s="1"/>
  <c r="AQ35" i="4"/>
  <c r="AR18" i="4"/>
  <c r="AS18" i="4" s="1"/>
  <c r="AQ18" i="4"/>
  <c r="AR44" i="4"/>
  <c r="AS44" i="4" s="1"/>
  <c r="AQ44" i="4"/>
  <c r="AR62" i="4"/>
  <c r="AS62" i="4" s="1"/>
  <c r="AQ62" i="4"/>
  <c r="AR56" i="4"/>
  <c r="AS56" i="4" s="1"/>
  <c r="AQ56" i="4"/>
  <c r="AR77" i="4"/>
  <c r="AQ77" i="4"/>
  <c r="AR43" i="4"/>
  <c r="AS43" i="4" s="1"/>
  <c r="AQ43" i="4"/>
  <c r="AR58" i="4"/>
  <c r="AS58" i="4" s="1"/>
  <c r="AQ58" i="4"/>
  <c r="AR33" i="4"/>
  <c r="AQ33" i="4"/>
  <c r="AR36" i="4"/>
  <c r="AQ36" i="4"/>
  <c r="AR75" i="4"/>
  <c r="AS75" i="4" s="1"/>
  <c r="AQ75" i="4"/>
  <c r="AR8" i="4"/>
  <c r="AS8" i="4" s="1"/>
  <c r="AQ8" i="4"/>
  <c r="AR32" i="4"/>
  <c r="AS32" i="4" s="1"/>
  <c r="AQ32" i="4"/>
  <c r="AR21" i="4"/>
  <c r="AQ21" i="4"/>
  <c r="AR39" i="4"/>
  <c r="AQ39" i="4"/>
  <c r="AR13" i="4"/>
  <c r="AS13" i="4" s="1"/>
  <c r="AQ13" i="4"/>
  <c r="AR63" i="4"/>
  <c r="AS63" i="4" s="1"/>
  <c r="AQ63" i="4"/>
  <c r="AR67" i="4"/>
  <c r="AS67" i="4" s="1"/>
  <c r="AQ67" i="4"/>
  <c r="AR29" i="4"/>
  <c r="AS29" i="4" s="1"/>
  <c r="AQ29" i="4"/>
  <c r="AR70" i="4"/>
  <c r="AQ70" i="4"/>
  <c r="AR48" i="4"/>
  <c r="AS48" i="4" s="1"/>
  <c r="AQ48" i="4"/>
  <c r="AR73" i="4"/>
  <c r="AS73" i="4" s="1"/>
  <c r="AQ73" i="4"/>
  <c r="AR71" i="4"/>
  <c r="AS71" i="4" s="1"/>
  <c r="AQ71" i="4"/>
  <c r="AR40" i="4"/>
  <c r="AS40" i="4" s="1"/>
  <c r="AQ40" i="4"/>
  <c r="AR27" i="4"/>
  <c r="AS27" i="4" s="1"/>
  <c r="AQ27" i="4"/>
  <c r="AR38" i="4"/>
  <c r="AQ38" i="4"/>
  <c r="AR64" i="4"/>
  <c r="AQ64" i="4"/>
  <c r="AR76" i="4"/>
  <c r="AS76" i="4" s="1"/>
  <c r="AQ76" i="4"/>
  <c r="AR9" i="4"/>
  <c r="AQ9" i="4"/>
  <c r="AR22" i="4"/>
  <c r="AQ22" i="4"/>
  <c r="AR65" i="4"/>
  <c r="AS65" i="4" s="1"/>
  <c r="AQ65" i="4"/>
  <c r="AR68" i="4"/>
  <c r="AS68" i="4" s="1"/>
  <c r="AQ68" i="4"/>
  <c r="AR10" i="4"/>
  <c r="AQ10" i="4"/>
  <c r="AR17" i="4"/>
  <c r="AQ17" i="4"/>
  <c r="AR25" i="4"/>
  <c r="AQ25" i="4"/>
  <c r="AR28" i="4"/>
  <c r="AS28" i="4" s="1"/>
  <c r="AQ28" i="4"/>
  <c r="AR30" i="4"/>
  <c r="AS30" i="4" s="1"/>
  <c r="AQ30" i="4"/>
  <c r="AR53" i="4"/>
  <c r="AS53" i="4" s="1"/>
  <c r="AQ53" i="4"/>
  <c r="AR42" i="4"/>
  <c r="AS42" i="4" s="1"/>
  <c r="AQ42" i="4"/>
  <c r="AR61" i="4"/>
  <c r="AS61" i="4" s="1"/>
  <c r="AQ61" i="4"/>
  <c r="AR11" i="4"/>
  <c r="AS11" i="4" s="1"/>
  <c r="AQ11" i="4"/>
  <c r="AR74" i="4"/>
  <c r="AQ74" i="4"/>
  <c r="AR19" i="4"/>
  <c r="AS19" i="4" s="1"/>
  <c r="AQ19" i="4"/>
  <c r="AR24" i="4"/>
  <c r="AS24" i="4" s="1"/>
  <c r="AQ24" i="4"/>
  <c r="AR15" i="4"/>
  <c r="AS15" i="4" s="1"/>
  <c r="AQ15" i="4"/>
  <c r="AR31" i="4"/>
  <c r="AS31" i="4" s="1"/>
  <c r="AQ31" i="4"/>
  <c r="AR23" i="4"/>
  <c r="AS23" i="4" s="1"/>
  <c r="AQ23" i="4"/>
  <c r="AR41" i="4"/>
  <c r="AS41" i="4" s="1"/>
  <c r="AQ41" i="4"/>
  <c r="AR78" i="4"/>
  <c r="AQ78" i="4"/>
  <c r="AR47" i="4"/>
  <c r="AS47" i="4" s="1"/>
  <c r="AQ47" i="4"/>
  <c r="AR69" i="4"/>
  <c r="AS69" i="4" s="1"/>
  <c r="AQ69" i="4"/>
  <c r="AR26" i="4"/>
  <c r="AS26" i="4" s="1"/>
  <c r="AQ26" i="4"/>
  <c r="AR66" i="4"/>
  <c r="AS66" i="4" s="1"/>
  <c r="AQ66" i="4"/>
  <c r="AR45" i="4"/>
  <c r="AS45" i="4" s="1"/>
  <c r="AQ45" i="4"/>
  <c r="AR34" i="4"/>
  <c r="AQ34" i="4"/>
  <c r="AR54" i="4"/>
  <c r="AQ54" i="4"/>
  <c r="AR80" i="4"/>
  <c r="AS80" i="4" s="1"/>
  <c r="AQ80" i="4"/>
  <c r="AR46" i="4"/>
  <c r="AS46" i="4" s="1"/>
  <c r="AQ46" i="4"/>
  <c r="AC20" i="4"/>
  <c r="AE20" i="4" s="1"/>
  <c r="AC36" i="4"/>
  <c r="AE36" i="4" s="1"/>
  <c r="AC56" i="4"/>
  <c r="AE56" i="4" s="1"/>
  <c r="AC77" i="4"/>
  <c r="AF77" i="4" s="1"/>
  <c r="AD73" i="4"/>
  <c r="AD71" i="4"/>
  <c r="AD53" i="4"/>
  <c r="AF40" i="4"/>
  <c r="AF76" i="4"/>
  <c r="AE76" i="4"/>
  <c r="AD28" i="4"/>
  <c r="AF60" i="4"/>
  <c r="AE60" i="4"/>
  <c r="AD12" i="4"/>
  <c r="AF61" i="4"/>
  <c r="AE61" i="4"/>
  <c r="AD18" i="4"/>
  <c r="AD41" i="4"/>
  <c r="AD78" i="4"/>
  <c r="AD77" i="4"/>
  <c r="AD58" i="4"/>
  <c r="AD75" i="4"/>
  <c r="AE47" i="4"/>
  <c r="AF47" i="4"/>
  <c r="AF69" i="4"/>
  <c r="AE69" i="4"/>
  <c r="AD8" i="4"/>
  <c r="AD32" i="4"/>
  <c r="AD39" i="4"/>
  <c r="AD13" i="4"/>
  <c r="AD63" i="4"/>
  <c r="AD67" i="4"/>
  <c r="AD59" i="4"/>
  <c r="AD17" i="4"/>
  <c r="AD30" i="4"/>
  <c r="AD42" i="4"/>
  <c r="AD61" i="4"/>
  <c r="AD11" i="4"/>
  <c r="AD74" i="4"/>
  <c r="AD40" i="4"/>
  <c r="AD27" i="4"/>
  <c r="AD38" i="4"/>
  <c r="AD64" i="4"/>
  <c r="AD76" i="4"/>
  <c r="AD10" i="4"/>
  <c r="AD25" i="4"/>
  <c r="AD9" i="4"/>
  <c r="AD22" i="4"/>
  <c r="AD62" i="4"/>
  <c r="AD19" i="4"/>
  <c r="AD24" i="4"/>
  <c r="AD15" i="4"/>
  <c r="AD31" i="4"/>
  <c r="AD23" i="4"/>
  <c r="AD21" i="4"/>
  <c r="AD29" i="4"/>
  <c r="AD70" i="4"/>
  <c r="AD48" i="4"/>
  <c r="AD57" i="4"/>
  <c r="AD14" i="4"/>
  <c r="AD72" i="4"/>
  <c r="AD37" i="4"/>
  <c r="AD20" i="4"/>
  <c r="AD55" i="4"/>
  <c r="AD60" i="4"/>
  <c r="AD35" i="4"/>
  <c r="AD16" i="4"/>
  <c r="AD65" i="4"/>
  <c r="AD44" i="4"/>
  <c r="AD56" i="4"/>
  <c r="AD68" i="4"/>
  <c r="AD43" i="4"/>
  <c r="AD33" i="4"/>
  <c r="AD36" i="4"/>
  <c r="AD47" i="4"/>
  <c r="AD69" i="4"/>
  <c r="AD26" i="4"/>
  <c r="AD66" i="4"/>
  <c r="AD45" i="4"/>
  <c r="AD34" i="4"/>
  <c r="AD54" i="4"/>
  <c r="AD80" i="4"/>
  <c r="AD46" i="4"/>
  <c r="AC73" i="4"/>
  <c r="AF73" i="4" s="1"/>
  <c r="AC14" i="4"/>
  <c r="AF14" i="4" s="1"/>
  <c r="AC30" i="4"/>
  <c r="AF30" i="4" s="1"/>
  <c r="AC46" i="4"/>
  <c r="AF46" i="4" s="1"/>
  <c r="AC68" i="4"/>
  <c r="AE68" i="4" s="1"/>
  <c r="AC25" i="4"/>
  <c r="AF25" i="4" s="1"/>
  <c r="AC24" i="4"/>
  <c r="AE24" i="4" s="1"/>
  <c r="AC35" i="4"/>
  <c r="AE35" i="4" s="1"/>
  <c r="AC19" i="4"/>
  <c r="AE19" i="4" s="1"/>
  <c r="AC39" i="4"/>
  <c r="AE39" i="4" s="1"/>
  <c r="AC62" i="4"/>
  <c r="AE62" i="4" s="1"/>
  <c r="AC9" i="4"/>
  <c r="AF9" i="4" s="1"/>
  <c r="AC23" i="4"/>
  <c r="AF23" i="4" s="1"/>
  <c r="AC26" i="4"/>
  <c r="AE26" i="4" s="1"/>
  <c r="AC37" i="4"/>
  <c r="AF37" i="4" s="1"/>
  <c r="AC34" i="4"/>
  <c r="AF34" i="4" s="1"/>
  <c r="AC54" i="4"/>
  <c r="AF54" i="4" s="1"/>
  <c r="AC70" i="4"/>
  <c r="AE70" i="4" s="1"/>
  <c r="AC43" i="4"/>
  <c r="AF43" i="4" s="1"/>
  <c r="AC13" i="4"/>
  <c r="AE13" i="4" s="1"/>
  <c r="AC41" i="4"/>
  <c r="AE41" i="4" s="1"/>
  <c r="AC65" i="4"/>
  <c r="AF65" i="4" s="1"/>
  <c r="AC57" i="4"/>
  <c r="AE57" i="4" s="1"/>
  <c r="AC66" i="4"/>
  <c r="AE66" i="4" s="1"/>
  <c r="AC11" i="4"/>
  <c r="AE11" i="4" s="1"/>
  <c r="AC80" i="4"/>
  <c r="AF80" i="4" s="1"/>
  <c r="AC15" i="4"/>
  <c r="AE15" i="4" s="1"/>
  <c r="AC22" i="4"/>
  <c r="AF22" i="4" s="1"/>
  <c r="AC38" i="4"/>
  <c r="AF38" i="4" s="1"/>
  <c r="AC75" i="4"/>
  <c r="AE75" i="4" s="1"/>
  <c r="AC74" i="4"/>
  <c r="AF74" i="4" s="1"/>
  <c r="AC17" i="4"/>
  <c r="AF17" i="4" s="1"/>
  <c r="AC33" i="4"/>
  <c r="AF33" i="4" s="1"/>
  <c r="AC53" i="4"/>
  <c r="AF53" i="4" s="1"/>
  <c r="AC31" i="4"/>
  <c r="AF31" i="4" s="1"/>
  <c r="AC67" i="4"/>
  <c r="AF67" i="4" s="1"/>
  <c r="AC10" i="4"/>
  <c r="AF10" i="4" s="1"/>
  <c r="AC63" i="4"/>
  <c r="AF63" i="4" s="1"/>
  <c r="AC42" i="4"/>
  <c r="AF42" i="4" s="1"/>
  <c r="AC29" i="4"/>
  <c r="AF29" i="4" s="1"/>
  <c r="AC78" i="4"/>
  <c r="AE78" i="4" s="1"/>
  <c r="AC21" i="4"/>
  <c r="AE21" i="4" s="1"/>
  <c r="AC32" i="4"/>
  <c r="AF32" i="4" s="1"/>
  <c r="AC18" i="4"/>
  <c r="AE18" i="4" s="1"/>
  <c r="AC45" i="4"/>
  <c r="AE45" i="4" s="1"/>
  <c r="AC59" i="4"/>
  <c r="AE59" i="4" s="1"/>
  <c r="AC55" i="4"/>
  <c r="AE55" i="4" s="1"/>
  <c r="AC12" i="4"/>
  <c r="AE12" i="4" s="1"/>
  <c r="AC8" i="4"/>
  <c r="AE8" i="4" s="1"/>
  <c r="Y81" i="4"/>
  <c r="V81" i="4"/>
  <c r="W81" i="4"/>
  <c r="BM81" i="4"/>
  <c r="G101" i="4"/>
  <c r="M101" i="4"/>
  <c r="N101" i="4" s="1"/>
  <c r="J101" i="4"/>
  <c r="Z81" i="4"/>
  <c r="BB8" i="4"/>
  <c r="BC8" i="4" s="1"/>
  <c r="AW8" i="4"/>
  <c r="AX8" i="4" s="1"/>
  <c r="BU81" i="4"/>
  <c r="BT81" i="4"/>
  <c r="AE27" i="4" l="1"/>
  <c r="AI81" i="4"/>
  <c r="AI83" i="4" s="1"/>
  <c r="AF48" i="4"/>
  <c r="AG48" i="4" s="1"/>
  <c r="AF64" i="4"/>
  <c r="AG64" i="4" s="1"/>
  <c r="AE16" i="4"/>
  <c r="AG16" i="4" s="1"/>
  <c r="AE72" i="4"/>
  <c r="AG72" i="4" s="1"/>
  <c r="AE71" i="4"/>
  <c r="AG71" i="4" s="1"/>
  <c r="AE58" i="4"/>
  <c r="AG58" i="4" s="1"/>
  <c r="AF36" i="4"/>
  <c r="AG36" i="4" s="1"/>
  <c r="BA81" i="4"/>
  <c r="AE77" i="4"/>
  <c r="AG77" i="4" s="1"/>
  <c r="AE44" i="4"/>
  <c r="AG44" i="4" s="1"/>
  <c r="AE28" i="4"/>
  <c r="AG28" i="4" s="1"/>
  <c r="AF56" i="4"/>
  <c r="AG56" i="4" s="1"/>
  <c r="AQ81" i="4"/>
  <c r="AF20" i="4"/>
  <c r="AG20" i="4" s="1"/>
  <c r="AG40" i="4"/>
  <c r="AF66" i="4"/>
  <c r="AG66" i="4" s="1"/>
  <c r="AF24" i="4"/>
  <c r="AG24" i="4" s="1"/>
  <c r="AF70" i="4"/>
  <c r="AG70" i="4" s="1"/>
  <c r="AG47" i="4"/>
  <c r="AF75" i="4"/>
  <c r="AG75" i="4" s="1"/>
  <c r="AE25" i="4"/>
  <c r="AG25" i="4" s="1"/>
  <c r="AF35" i="4"/>
  <c r="AG35" i="4" s="1"/>
  <c r="AE67" i="4"/>
  <c r="AG67" i="4" s="1"/>
  <c r="AE80" i="4"/>
  <c r="AG80" i="4" s="1"/>
  <c r="AF12" i="4"/>
  <c r="AG12" i="4" s="1"/>
  <c r="AE74" i="4"/>
  <c r="AG74" i="4" s="1"/>
  <c r="AF57" i="4"/>
  <c r="AG57" i="4" s="1"/>
  <c r="AF13" i="4"/>
  <c r="AG13" i="4" s="1"/>
  <c r="AG76" i="4"/>
  <c r="AE34" i="4"/>
  <c r="AG34" i="4" s="1"/>
  <c r="AE31" i="4"/>
  <c r="AG31" i="4" s="1"/>
  <c r="AF18" i="4"/>
  <c r="AG18" i="4" s="1"/>
  <c r="AE53" i="4"/>
  <c r="AG53" i="4" s="1"/>
  <c r="AF21" i="4"/>
  <c r="AG21" i="4" s="1"/>
  <c r="AG60" i="4"/>
  <c r="AG27" i="4"/>
  <c r="AG61" i="4"/>
  <c r="AE33" i="4"/>
  <c r="AG33" i="4" s="1"/>
  <c r="AF15" i="4"/>
  <c r="AG15" i="4" s="1"/>
  <c r="AF19" i="4"/>
  <c r="AG19" i="4" s="1"/>
  <c r="AF41" i="4"/>
  <c r="AG41" i="4" s="1"/>
  <c r="AF59" i="4"/>
  <c r="AG59" i="4" s="1"/>
  <c r="AE9" i="4"/>
  <c r="AG9" i="4" s="1"/>
  <c r="AE42" i="4"/>
  <c r="AG42" i="4" s="1"/>
  <c r="AF55" i="4"/>
  <c r="AG55" i="4" s="1"/>
  <c r="AE29" i="4"/>
  <c r="AG29" i="4" s="1"/>
  <c r="AE63" i="4"/>
  <c r="AG63" i="4" s="1"/>
  <c r="AF39" i="4"/>
  <c r="AG39" i="4" s="1"/>
  <c r="AE32" i="4"/>
  <c r="AG32" i="4" s="1"/>
  <c r="AF78" i="4"/>
  <c r="AG78" i="4" s="1"/>
  <c r="AE23" i="4"/>
  <c r="AG23" i="4" s="1"/>
  <c r="AE46" i="4"/>
  <c r="AG46" i="4" s="1"/>
  <c r="AE54" i="4"/>
  <c r="AG54" i="4" s="1"/>
  <c r="AF45" i="4"/>
  <c r="AG45" i="4" s="1"/>
  <c r="AF26" i="4"/>
  <c r="AG26" i="4" s="1"/>
  <c r="AE43" i="4"/>
  <c r="AG43" i="4" s="1"/>
  <c r="AF68" i="4"/>
  <c r="AG68" i="4" s="1"/>
  <c r="AF62" i="4"/>
  <c r="AG62" i="4" s="1"/>
  <c r="AE65" i="4"/>
  <c r="AG65" i="4" s="1"/>
  <c r="AE22" i="4"/>
  <c r="AG22" i="4" s="1"/>
  <c r="AF11" i="4"/>
  <c r="AG11" i="4" s="1"/>
  <c r="AE30" i="4"/>
  <c r="AG30" i="4" s="1"/>
  <c r="AE10" i="4"/>
  <c r="AG10" i="4" s="1"/>
  <c r="AE17" i="4"/>
  <c r="AG17" i="4" s="1"/>
  <c r="AE37" i="4"/>
  <c r="AG37" i="4" s="1"/>
  <c r="AE14" i="4"/>
  <c r="AG14" i="4" s="1"/>
  <c r="AE38" i="4"/>
  <c r="AG38" i="4" s="1"/>
  <c r="AE73" i="4"/>
  <c r="AG73" i="4" s="1"/>
  <c r="AG69" i="4"/>
  <c r="AF8" i="4"/>
  <c r="AG8" i="4" s="1"/>
  <c r="K101" i="4"/>
  <c r="AD81" i="4"/>
  <c r="AL81" i="4"/>
  <c r="AM81" i="4"/>
  <c r="AM83" i="4" s="1"/>
  <c r="BD38" i="4" l="1"/>
  <c r="AY38" i="4"/>
  <c r="BD10" i="4"/>
  <c r="AY10" i="4"/>
  <c r="BD65" i="4"/>
  <c r="AY65" i="4"/>
  <c r="BD26" i="4"/>
  <c r="AY26" i="4"/>
  <c r="BD23" i="4"/>
  <c r="AY23" i="4"/>
  <c r="BD63" i="4"/>
  <c r="AY63" i="4"/>
  <c r="BD9" i="4"/>
  <c r="AY9" i="4"/>
  <c r="BD15" i="4"/>
  <c r="AY15" i="4"/>
  <c r="BD60" i="4"/>
  <c r="AY60" i="4"/>
  <c r="BD31" i="4"/>
  <c r="AY31" i="4"/>
  <c r="BD57" i="4"/>
  <c r="AY57" i="4"/>
  <c r="BD67" i="4"/>
  <c r="AY67" i="4"/>
  <c r="BD47" i="4"/>
  <c r="AY47" i="4"/>
  <c r="BD40" i="4"/>
  <c r="AY40" i="4"/>
  <c r="BD28" i="4"/>
  <c r="AY28" i="4"/>
  <c r="BD36" i="4"/>
  <c r="AY36" i="4"/>
  <c r="BD16" i="4"/>
  <c r="AY16" i="4"/>
  <c r="BD8" i="4"/>
  <c r="AY8" i="4"/>
  <c r="BD14" i="4"/>
  <c r="AY14" i="4"/>
  <c r="BD30" i="4"/>
  <c r="AY30" i="4"/>
  <c r="BD62" i="4"/>
  <c r="AY62" i="4"/>
  <c r="BD45" i="4"/>
  <c r="AY45" i="4"/>
  <c r="BD78" i="4"/>
  <c r="AY78" i="4"/>
  <c r="BD29" i="4"/>
  <c r="AY29" i="4"/>
  <c r="BD59" i="4"/>
  <c r="AY59" i="4"/>
  <c r="BD33" i="4"/>
  <c r="AY33" i="4"/>
  <c r="BD21" i="4"/>
  <c r="AY21" i="4"/>
  <c r="BD34" i="4"/>
  <c r="AY34" i="4"/>
  <c r="BD74" i="4"/>
  <c r="AY74" i="4"/>
  <c r="BD35" i="4"/>
  <c r="AY35" i="4"/>
  <c r="BD70" i="4"/>
  <c r="AY70" i="4"/>
  <c r="BD20" i="4"/>
  <c r="AY20" i="4"/>
  <c r="BD44" i="4"/>
  <c r="AY44" i="4"/>
  <c r="BD58" i="4"/>
  <c r="AY58" i="4"/>
  <c r="BD64" i="4"/>
  <c r="AY64" i="4"/>
  <c r="BD69" i="4"/>
  <c r="AY69" i="4"/>
  <c r="BD37" i="4"/>
  <c r="AY37" i="4"/>
  <c r="BD11" i="4"/>
  <c r="AY11" i="4"/>
  <c r="BD68" i="4"/>
  <c r="AY68" i="4"/>
  <c r="BD54" i="4"/>
  <c r="AY54" i="4"/>
  <c r="BD32" i="4"/>
  <c r="AY32" i="4"/>
  <c r="BD55" i="4"/>
  <c r="AY55" i="4"/>
  <c r="BD41" i="4"/>
  <c r="AY41" i="4"/>
  <c r="BD61" i="4"/>
  <c r="AY61" i="4"/>
  <c r="BD53" i="4"/>
  <c r="AY53" i="4"/>
  <c r="BD76" i="4"/>
  <c r="AY76" i="4"/>
  <c r="BD12" i="4"/>
  <c r="AY12" i="4"/>
  <c r="BD25" i="4"/>
  <c r="AY25" i="4"/>
  <c r="BD24" i="4"/>
  <c r="AY24" i="4"/>
  <c r="BD77" i="4"/>
  <c r="AY77" i="4"/>
  <c r="BD71" i="4"/>
  <c r="AY71" i="4"/>
  <c r="BD48" i="4"/>
  <c r="AY48" i="4"/>
  <c r="BD73" i="4"/>
  <c r="AY73" i="4"/>
  <c r="BD17" i="4"/>
  <c r="AY17" i="4"/>
  <c r="BD22" i="4"/>
  <c r="AY22" i="4"/>
  <c r="BD43" i="4"/>
  <c r="AY43" i="4"/>
  <c r="BD46" i="4"/>
  <c r="AY46" i="4"/>
  <c r="BD39" i="4"/>
  <c r="AY39" i="4"/>
  <c r="BD42" i="4"/>
  <c r="AY42" i="4"/>
  <c r="BD19" i="4"/>
  <c r="AY19" i="4"/>
  <c r="BD27" i="4"/>
  <c r="AY27" i="4"/>
  <c r="BD18" i="4"/>
  <c r="AY18" i="4"/>
  <c r="BD13" i="4"/>
  <c r="AY13" i="4"/>
  <c r="BD80" i="4"/>
  <c r="AY80" i="4"/>
  <c r="BD75" i="4"/>
  <c r="AY75" i="4"/>
  <c r="BD66" i="4"/>
  <c r="AY66" i="4"/>
  <c r="BD56" i="4"/>
  <c r="AY56" i="4"/>
  <c r="BD72" i="4"/>
  <c r="AY72" i="4"/>
  <c r="BJ73" i="4"/>
  <c r="AT73" i="4"/>
  <c r="BJ17" i="4"/>
  <c r="AT17" i="4"/>
  <c r="BJ22" i="4"/>
  <c r="AT22" i="4"/>
  <c r="BJ43" i="4"/>
  <c r="AT43" i="4"/>
  <c r="BJ46" i="4"/>
  <c r="AT46" i="4"/>
  <c r="BJ39" i="4"/>
  <c r="AT39" i="4"/>
  <c r="BJ42" i="4"/>
  <c r="AT42" i="4"/>
  <c r="BJ19" i="4"/>
  <c r="AT19" i="4"/>
  <c r="BJ27" i="4"/>
  <c r="AT27" i="4"/>
  <c r="BJ18" i="4"/>
  <c r="AT18" i="4"/>
  <c r="BJ13" i="4"/>
  <c r="AT13" i="4"/>
  <c r="BJ80" i="4"/>
  <c r="AT80" i="4"/>
  <c r="BJ75" i="4"/>
  <c r="AT75" i="4"/>
  <c r="BJ66" i="4"/>
  <c r="AT66" i="4"/>
  <c r="BJ56" i="4"/>
  <c r="AT56" i="4"/>
  <c r="BJ72" i="4"/>
  <c r="AT72" i="4"/>
  <c r="BJ38" i="4"/>
  <c r="AT38" i="4"/>
  <c r="BJ65" i="4"/>
  <c r="AT65" i="4"/>
  <c r="BJ26" i="4"/>
  <c r="AT26" i="4"/>
  <c r="BJ23" i="4"/>
  <c r="AT23" i="4"/>
  <c r="AT63" i="4"/>
  <c r="BJ9" i="4"/>
  <c r="AT9" i="4"/>
  <c r="BJ15" i="4"/>
  <c r="AT15" i="4"/>
  <c r="BJ60" i="4"/>
  <c r="AT60" i="4"/>
  <c r="BJ31" i="4"/>
  <c r="AT31" i="4"/>
  <c r="AT57" i="4"/>
  <c r="BJ67" i="4"/>
  <c r="AT67" i="4"/>
  <c r="BJ47" i="4"/>
  <c r="AT47" i="4"/>
  <c r="BJ40" i="4"/>
  <c r="AT40" i="4"/>
  <c r="BJ28" i="4"/>
  <c r="AT28" i="4"/>
  <c r="BJ36" i="4"/>
  <c r="AT36" i="4"/>
  <c r="BJ16" i="4"/>
  <c r="AT16" i="4"/>
  <c r="BJ10" i="4"/>
  <c r="AT10" i="4"/>
  <c r="BJ8" i="4"/>
  <c r="AT8" i="4"/>
  <c r="BJ14" i="4"/>
  <c r="AT14" i="4"/>
  <c r="BJ30" i="4"/>
  <c r="AT30" i="4"/>
  <c r="AT62" i="4"/>
  <c r="AT45" i="4"/>
  <c r="BJ78" i="4"/>
  <c r="AT78" i="4"/>
  <c r="BJ29" i="4"/>
  <c r="AT29" i="4"/>
  <c r="BJ59" i="4"/>
  <c r="AT59" i="4"/>
  <c r="BJ33" i="4"/>
  <c r="AT33" i="4"/>
  <c r="BJ21" i="4"/>
  <c r="AT21" i="4"/>
  <c r="BJ34" i="4"/>
  <c r="AT34" i="4"/>
  <c r="BJ74" i="4"/>
  <c r="AT74" i="4"/>
  <c r="BJ35" i="4"/>
  <c r="AT35" i="4"/>
  <c r="BJ70" i="4"/>
  <c r="AT70" i="4"/>
  <c r="BJ20" i="4"/>
  <c r="AT20" i="4"/>
  <c r="BJ44" i="4"/>
  <c r="AT44" i="4"/>
  <c r="BJ58" i="4"/>
  <c r="AT58" i="4"/>
  <c r="BJ64" i="4"/>
  <c r="AT64" i="4"/>
  <c r="BJ69" i="4"/>
  <c r="AT69" i="4"/>
  <c r="BJ37" i="4"/>
  <c r="AT37" i="4"/>
  <c r="BJ11" i="4"/>
  <c r="AT11" i="4"/>
  <c r="AT68" i="4"/>
  <c r="BJ54" i="4"/>
  <c r="AT54" i="4"/>
  <c r="BJ32" i="4"/>
  <c r="AT32" i="4"/>
  <c r="BJ55" i="4"/>
  <c r="AT55" i="4"/>
  <c r="BJ41" i="4"/>
  <c r="AT41" i="4"/>
  <c r="BJ61" i="4"/>
  <c r="AT61" i="4"/>
  <c r="BJ53" i="4"/>
  <c r="AT53" i="4"/>
  <c r="BJ76" i="4"/>
  <c r="AT76" i="4"/>
  <c r="BJ12" i="4"/>
  <c r="AT12" i="4"/>
  <c r="BJ25" i="4"/>
  <c r="AT25" i="4"/>
  <c r="AT24" i="4"/>
  <c r="BJ77" i="4"/>
  <c r="AT77" i="4"/>
  <c r="BJ71" i="4"/>
  <c r="AT71" i="4"/>
  <c r="BJ48" i="4"/>
  <c r="AT48" i="4"/>
  <c r="AX81" i="4"/>
  <c r="BC81" i="4"/>
  <c r="AS81" i="4"/>
  <c r="AF81" i="4"/>
  <c r="AE81" i="4"/>
  <c r="BD81" i="4" l="1"/>
  <c r="BC83" i="4" s="1"/>
  <c r="BK71" i="4"/>
  <c r="BN71" i="4" s="1"/>
  <c r="BV71" i="4" s="1"/>
  <c r="BK12" i="4"/>
  <c r="BN12" i="4" s="1"/>
  <c r="BK53" i="4"/>
  <c r="BN53" i="4" s="1"/>
  <c r="BV53" i="4" s="1"/>
  <c r="BK32" i="4"/>
  <c r="BN32" i="4" s="1"/>
  <c r="BV32" i="4" s="1"/>
  <c r="BK37" i="4"/>
  <c r="BN37" i="4" s="1"/>
  <c r="BV37" i="4" s="1"/>
  <c r="BK64" i="4"/>
  <c r="BN64" i="4" s="1"/>
  <c r="BV64" i="4" s="1"/>
  <c r="BK44" i="4"/>
  <c r="BN44" i="4" s="1"/>
  <c r="BV44" i="4" s="1"/>
  <c r="BK70" i="4"/>
  <c r="BN70" i="4" s="1"/>
  <c r="BV70" i="4" s="1"/>
  <c r="BK74" i="4"/>
  <c r="BN74" i="4" s="1"/>
  <c r="BV74" i="4" s="1"/>
  <c r="BK21" i="4"/>
  <c r="BN21" i="4" s="1"/>
  <c r="BK78" i="4"/>
  <c r="BN78" i="4" s="1"/>
  <c r="BV78" i="4" s="1"/>
  <c r="BK14" i="4"/>
  <c r="BN14" i="4" s="1"/>
  <c r="BV14" i="4" s="1"/>
  <c r="BK38" i="4"/>
  <c r="BN38" i="4" s="1"/>
  <c r="BV38" i="4" s="1"/>
  <c r="BK56" i="4"/>
  <c r="BN56" i="4" s="1"/>
  <c r="BV56" i="4" s="1"/>
  <c r="BK75" i="4"/>
  <c r="BN75" i="4" s="1"/>
  <c r="BV75" i="4" s="1"/>
  <c r="BK13" i="4"/>
  <c r="BN13" i="4" s="1"/>
  <c r="BV13" i="4" s="1"/>
  <c r="BK27" i="4"/>
  <c r="BN27" i="4" s="1"/>
  <c r="BV27" i="4" s="1"/>
  <c r="BK42" i="4"/>
  <c r="BN42" i="4" s="1"/>
  <c r="BV42" i="4" s="1"/>
  <c r="BK46" i="4"/>
  <c r="BN46" i="4" s="1"/>
  <c r="BK22" i="4"/>
  <c r="BN22" i="4" s="1"/>
  <c r="BV22" i="4" s="1"/>
  <c r="BK73" i="4"/>
  <c r="BN73" i="4" s="1"/>
  <c r="BV73" i="4" s="1"/>
  <c r="BK77" i="4"/>
  <c r="BN77" i="4" s="1"/>
  <c r="BV77" i="4" s="1"/>
  <c r="BK76" i="4"/>
  <c r="BN76" i="4" s="1"/>
  <c r="BV76" i="4" s="1"/>
  <c r="BK55" i="4"/>
  <c r="BN55" i="4" s="1"/>
  <c r="BV55" i="4" s="1"/>
  <c r="BK11" i="4"/>
  <c r="BN11" i="4" s="1"/>
  <c r="BV11" i="4" s="1"/>
  <c r="BK69" i="4"/>
  <c r="BN69" i="4" s="1"/>
  <c r="BV69" i="4" s="1"/>
  <c r="BK35" i="4"/>
  <c r="BN35" i="4" s="1"/>
  <c r="BV35" i="4" s="1"/>
  <c r="BK34" i="4"/>
  <c r="BN34" i="4" s="1"/>
  <c r="BV34" i="4" s="1"/>
  <c r="BK33" i="4"/>
  <c r="BN33" i="4" s="1"/>
  <c r="BV33" i="4" s="1"/>
  <c r="BK29" i="4"/>
  <c r="BN29" i="4" s="1"/>
  <c r="BK30" i="4"/>
  <c r="BN30" i="4" s="1"/>
  <c r="BV30" i="4" s="1"/>
  <c r="BK8" i="4"/>
  <c r="BK16" i="4"/>
  <c r="BN16" i="4" s="1"/>
  <c r="BV16" i="4" s="1"/>
  <c r="BK28" i="4"/>
  <c r="BN28" i="4" s="1"/>
  <c r="BV28" i="4" s="1"/>
  <c r="BK47" i="4"/>
  <c r="BN47" i="4" s="1"/>
  <c r="BV47" i="4" s="1"/>
  <c r="BK60" i="4"/>
  <c r="BN60" i="4" s="1"/>
  <c r="BV60" i="4" s="1"/>
  <c r="BK9" i="4"/>
  <c r="BN9" i="4" s="1"/>
  <c r="BV9" i="4" s="1"/>
  <c r="BK23" i="4"/>
  <c r="BN23" i="4" s="1"/>
  <c r="BV23" i="4" s="1"/>
  <c r="BK65" i="4"/>
  <c r="BN65" i="4" s="1"/>
  <c r="BV65" i="4" s="1"/>
  <c r="BK72" i="4"/>
  <c r="BN72" i="4" s="1"/>
  <c r="BV72" i="4" s="1"/>
  <c r="BK80" i="4"/>
  <c r="BN80" i="4" s="1"/>
  <c r="BV80" i="4" s="1"/>
  <c r="BK39" i="4"/>
  <c r="BN39" i="4" s="1"/>
  <c r="BV39" i="4" s="1"/>
  <c r="BK43" i="4"/>
  <c r="BN43" i="4" s="1"/>
  <c r="BV43" i="4" s="1"/>
  <c r="BK17" i="4"/>
  <c r="BN17" i="4" s="1"/>
  <c r="BV17" i="4" s="1"/>
  <c r="BK25" i="4"/>
  <c r="BN25" i="4" s="1"/>
  <c r="BV25" i="4" s="1"/>
  <c r="BK54" i="4"/>
  <c r="BN54" i="4" s="1"/>
  <c r="BV54" i="4" s="1"/>
  <c r="BK20" i="4"/>
  <c r="BN20" i="4" s="1"/>
  <c r="BV20" i="4" s="1"/>
  <c r="BK10" i="4"/>
  <c r="BN10" i="4" s="1"/>
  <c r="BV10" i="4" s="1"/>
  <c r="BK36" i="4"/>
  <c r="BN36" i="4" s="1"/>
  <c r="BV36" i="4" s="1"/>
  <c r="BK67" i="4"/>
  <c r="BN67" i="4" s="1"/>
  <c r="BV67" i="4" s="1"/>
  <c r="BK31" i="4"/>
  <c r="BN31" i="4" s="1"/>
  <c r="BV31" i="4" s="1"/>
  <c r="AY81" i="4"/>
  <c r="AX83" i="4" s="1"/>
  <c r="AT81" i="4"/>
  <c r="AS83" i="4" s="1"/>
  <c r="H98" i="4"/>
  <c r="AG81" i="4"/>
  <c r="BV21" i="4" l="1"/>
  <c r="H97" i="4"/>
  <c r="I97" i="4" s="1"/>
  <c r="BV29" i="4"/>
  <c r="H90" i="4"/>
  <c r="I90" i="4" s="1"/>
  <c r="BN8" i="4"/>
  <c r="H92" i="4"/>
  <c r="I92" i="4" s="1"/>
  <c r="H91" i="4"/>
  <c r="I91" i="4" s="1"/>
  <c r="I98" i="4"/>
  <c r="L98" i="4" s="1"/>
  <c r="BV8" i="4" l="1"/>
  <c r="L90" i="4"/>
  <c r="H93" i="4" l="1"/>
  <c r="I93" i="4" s="1"/>
  <c r="AF74" i="3" l="1"/>
  <c r="CA74" i="3" s="1"/>
  <c r="BL109" i="3"/>
  <c r="AF109" i="3"/>
  <c r="CA109" i="3" s="1"/>
  <c r="BL19" i="3"/>
  <c r="BF19" i="3"/>
  <c r="BF70" i="3"/>
  <c r="BM70" i="3" s="1"/>
  <c r="BL4" i="3"/>
  <c r="BF4" i="3"/>
  <c r="BL102" i="3"/>
  <c r="BF102" i="3"/>
  <c r="BF168" i="3"/>
  <c r="BM168" i="3" s="1"/>
  <c r="BL167" i="3"/>
  <c r="BF167" i="3"/>
  <c r="BL135" i="3"/>
  <c r="BF135" i="3"/>
  <c r="BM135" i="3" s="1"/>
  <c r="BL151" i="3"/>
  <c r="BF151" i="3"/>
  <c r="BL46" i="3"/>
  <c r="BF46" i="3"/>
  <c r="BF22" i="3"/>
  <c r="BM22" i="3" s="1"/>
  <c r="BL170" i="3"/>
  <c r="BF170" i="3"/>
  <c r="BL49" i="3"/>
  <c r="BF49" i="3"/>
  <c r="BL6" i="3"/>
  <c r="BF6" i="3"/>
  <c r="BL147" i="3"/>
  <c r="BF147" i="3"/>
  <c r="BF27" i="3"/>
  <c r="BM27" i="3" s="1"/>
  <c r="BL18" i="3"/>
  <c r="BF18" i="3"/>
  <c r="AX146" i="3"/>
  <c r="AR146" i="3"/>
  <c r="AX142" i="3"/>
  <c r="BL131" i="3"/>
  <c r="BF131" i="3"/>
  <c r="BL64" i="3"/>
  <c r="BF64" i="3"/>
  <c r="BL101" i="3"/>
  <c r="BF101" i="3"/>
  <c r="BL73" i="3"/>
  <c r="BF73" i="3"/>
  <c r="BL62" i="3"/>
  <c r="BF62" i="3"/>
  <c r="BF26" i="3"/>
  <c r="BM26" i="3" s="1"/>
  <c r="BF94" i="3"/>
  <c r="BM94" i="3" s="1"/>
  <c r="BL40" i="3"/>
  <c r="BF40" i="3"/>
  <c r="BL152" i="3"/>
  <c r="BF152" i="3"/>
  <c r="BL21" i="3"/>
  <c r="BF21" i="3"/>
  <c r="BL141" i="3"/>
  <c r="AX141" i="3"/>
  <c r="BL36" i="3"/>
  <c r="BF36" i="3"/>
  <c r="AX118" i="3"/>
  <c r="BL17" i="3"/>
  <c r="BF17" i="3"/>
  <c r="BL81" i="3"/>
  <c r="BF81" i="3"/>
  <c r="BL128" i="3"/>
  <c r="BF128" i="3"/>
  <c r="BL162" i="3"/>
  <c r="BF162" i="3"/>
  <c r="BL80" i="3"/>
  <c r="AX80" i="3"/>
  <c r="BL108" i="3"/>
  <c r="BF108" i="3"/>
  <c r="AX156" i="3"/>
  <c r="AR156" i="3"/>
  <c r="BL79" i="3"/>
  <c r="AX79" i="3"/>
  <c r="BL45" i="3"/>
  <c r="BF45" i="3"/>
  <c r="BL44" i="3"/>
  <c r="BF44" i="3"/>
  <c r="BL43" i="3"/>
  <c r="BF43" i="3"/>
  <c r="BL16" i="3"/>
  <c r="BF16" i="3"/>
  <c r="BF15" i="3"/>
  <c r="BM15" i="3" s="1"/>
  <c r="BF60" i="3"/>
  <c r="BM60" i="3" s="1"/>
  <c r="BL140" i="3"/>
  <c r="BF140" i="3"/>
  <c r="BL34" i="3"/>
  <c r="BF34" i="3"/>
  <c r="BL107" i="3"/>
  <c r="BF107" i="3"/>
  <c r="BL32" i="3"/>
  <c r="BF32" i="3"/>
  <c r="BL150" i="3"/>
  <c r="BF150" i="3"/>
  <c r="BL91" i="3"/>
  <c r="BF91" i="3"/>
  <c r="BL31" i="3"/>
  <c r="BF31" i="3"/>
  <c r="BF8" i="3"/>
  <c r="BM8" i="3" s="1"/>
  <c r="BL106" i="3"/>
  <c r="BF106" i="3"/>
  <c r="BL159" i="3"/>
  <c r="BF159" i="3"/>
  <c r="BF93" i="3"/>
  <c r="BM93" i="3" s="1"/>
  <c r="BF33" i="3"/>
  <c r="BM33" i="3" s="1"/>
  <c r="BL78" i="3"/>
  <c r="BF78" i="3"/>
  <c r="BL117" i="3"/>
  <c r="BF117" i="3"/>
  <c r="BL161" i="3"/>
  <c r="BF161" i="3"/>
  <c r="BL155" i="3"/>
  <c r="BF155" i="3"/>
  <c r="BL127" i="3"/>
  <c r="BF127" i="3"/>
  <c r="BF59" i="3"/>
  <c r="BM59" i="3" s="1"/>
  <c r="BL139" i="3"/>
  <c r="BF139" i="3"/>
  <c r="BL158" i="3"/>
  <c r="BF158" i="3"/>
  <c r="BL134" i="3"/>
  <c r="BF134" i="3"/>
  <c r="BL100" i="3"/>
  <c r="BF100" i="3"/>
  <c r="BL115" i="3"/>
  <c r="BF115" i="3"/>
  <c r="BM115" i="3" s="1"/>
  <c r="BL72" i="3"/>
  <c r="BF72" i="3"/>
  <c r="BL42" i="3"/>
  <c r="BF42" i="3"/>
  <c r="BL25" i="3"/>
  <c r="BF25" i="3"/>
  <c r="BL116" i="3"/>
  <c r="BF116" i="3"/>
  <c r="BL119" i="3"/>
  <c r="BF119" i="3"/>
  <c r="BL30" i="3"/>
  <c r="BF30" i="3"/>
  <c r="BL149" i="3"/>
  <c r="BF149" i="3"/>
  <c r="BL11" i="3"/>
  <c r="BF11" i="3"/>
  <c r="BM11" i="3" s="1"/>
  <c r="BL138" i="3"/>
  <c r="BF138" i="3"/>
  <c r="BL92" i="3"/>
  <c r="BF92" i="3"/>
  <c r="BL104" i="3"/>
  <c r="BF104" i="3"/>
  <c r="BL114" i="3"/>
  <c r="BF114" i="3"/>
  <c r="BL56" i="3"/>
  <c r="BF56" i="3"/>
  <c r="BL145" i="3"/>
  <c r="BF145" i="3"/>
  <c r="BL160" i="3"/>
  <c r="BF160" i="3"/>
  <c r="BL2" i="3"/>
  <c r="BF2" i="3"/>
  <c r="BL20" i="3"/>
  <c r="BF20" i="3"/>
  <c r="AF35" i="3"/>
  <c r="CA35" i="3" s="1"/>
  <c r="BL3" i="3"/>
  <c r="BF3" i="3"/>
  <c r="BL55" i="3"/>
  <c r="BF55" i="3"/>
  <c r="BL9" i="3"/>
  <c r="BF9" i="3"/>
  <c r="BL144" i="3"/>
  <c r="BF144" i="3"/>
  <c r="BL53" i="3"/>
  <c r="BF53" i="3"/>
  <c r="BL61" i="3"/>
  <c r="BF61" i="3"/>
  <c r="BL58" i="3"/>
  <c r="BF58" i="3"/>
  <c r="BL87" i="3"/>
  <c r="BF87" i="3"/>
  <c r="BL99" i="3"/>
  <c r="BF99" i="3"/>
  <c r="BL113" i="3"/>
  <c r="BF113" i="3"/>
  <c r="BL71" i="3"/>
  <c r="BF71" i="3"/>
  <c r="BL85" i="3"/>
  <c r="BF85" i="3"/>
  <c r="AX126" i="3"/>
  <c r="AF126" i="3"/>
  <c r="BL137" i="3"/>
  <c r="BF137" i="3"/>
  <c r="BL103" i="3"/>
  <c r="BF103" i="3"/>
  <c r="BL54" i="3"/>
  <c r="BF54" i="3"/>
  <c r="BL98" i="3"/>
  <c r="BF98" i="3"/>
  <c r="BL130" i="3"/>
  <c r="BF130" i="3"/>
  <c r="BF69" i="3"/>
  <c r="BM69" i="3" s="1"/>
  <c r="BL136" i="3"/>
  <c r="BF136" i="3"/>
  <c r="BL14" i="3"/>
  <c r="BF14" i="3"/>
  <c r="BL121" i="3"/>
  <c r="BF121" i="3"/>
  <c r="BL154" i="3"/>
  <c r="BF154" i="3"/>
  <c r="BL52" i="3"/>
  <c r="BF52" i="3"/>
  <c r="AX125" i="3"/>
  <c r="BL77" i="3"/>
  <c r="BF77" i="3"/>
  <c r="BL13" i="3"/>
  <c r="BF13" i="3"/>
  <c r="BL51" i="3"/>
  <c r="BF51" i="3"/>
  <c r="BL97" i="3"/>
  <c r="BF97" i="3"/>
  <c r="BL83" i="3"/>
  <c r="AF83" i="3"/>
  <c r="BL169" i="3"/>
  <c r="BF169" i="3"/>
  <c r="BL143" i="3"/>
  <c r="BF143" i="3"/>
  <c r="BL133" i="3"/>
  <c r="BF133" i="3"/>
  <c r="BL10" i="3"/>
  <c r="BF10" i="3"/>
  <c r="BL29" i="3"/>
  <c r="BF29" i="3"/>
  <c r="BL112" i="3"/>
  <c r="BF112" i="3"/>
  <c r="BL124" i="3"/>
  <c r="BF124" i="3"/>
  <c r="BL28" i="3"/>
  <c r="BF28" i="3"/>
  <c r="BL123" i="3"/>
  <c r="BF123" i="3"/>
  <c r="BL48" i="3"/>
  <c r="BF48" i="3"/>
  <c r="BL7" i="3"/>
  <c r="BF7" i="3"/>
  <c r="BL148" i="3"/>
  <c r="BF148" i="3"/>
  <c r="BL76" i="3"/>
  <c r="BF76" i="3"/>
  <c r="BL82" i="3"/>
  <c r="BF82" i="3"/>
  <c r="BM82" i="3" s="1"/>
  <c r="BL157" i="3"/>
  <c r="BF157" i="3"/>
  <c r="BL132" i="3"/>
  <c r="BF132" i="3"/>
  <c r="BL84" i="3"/>
  <c r="BF84" i="3"/>
  <c r="BL120" i="3"/>
  <c r="BF120" i="3"/>
  <c r="BL12" i="3"/>
  <c r="BF12" i="3"/>
  <c r="BL111" i="3"/>
  <c r="BF111" i="3"/>
  <c r="BL68" i="3"/>
  <c r="BF68" i="3"/>
  <c r="BL63" i="3"/>
  <c r="BF63" i="3"/>
  <c r="BL39" i="3"/>
  <c r="BF39" i="3"/>
  <c r="BL24" i="3"/>
  <c r="BF24" i="3"/>
  <c r="BL67" i="3"/>
  <c r="BF67" i="3"/>
  <c r="BL164" i="3"/>
  <c r="BF164" i="3"/>
  <c r="BL153" i="3"/>
  <c r="BF153" i="3"/>
  <c r="BL5" i="3"/>
  <c r="BF5" i="3"/>
  <c r="BL110" i="3"/>
  <c r="BF110" i="3"/>
  <c r="BL66" i="3"/>
  <c r="BF66" i="3"/>
  <c r="BL165" i="3"/>
  <c r="BF165" i="3"/>
  <c r="BL47" i="3"/>
  <c r="BF47" i="3"/>
  <c r="BL65" i="3"/>
  <c r="BF65" i="3"/>
  <c r="BL96" i="3"/>
  <c r="BF96" i="3"/>
  <c r="BL23" i="3"/>
  <c r="BF23" i="3"/>
  <c r="BL90" i="3"/>
  <c r="BF90" i="3"/>
  <c r="BL105" i="3"/>
  <c r="BF105" i="3"/>
  <c r="BL89" i="3"/>
  <c r="BF89" i="3"/>
  <c r="BM89" i="3" s="1"/>
  <c r="BL38" i="3"/>
  <c r="BF38" i="3"/>
  <c r="BL75" i="3"/>
  <c r="BF75" i="3"/>
  <c r="BM75" i="3" s="1"/>
  <c r="BL86" i="3"/>
  <c r="BF86" i="3"/>
  <c r="BL88" i="3"/>
  <c r="BF88" i="3"/>
  <c r="BL163" i="3"/>
  <c r="BF163" i="3"/>
  <c r="BL50" i="3"/>
  <c r="BF50" i="3"/>
  <c r="BL166" i="3"/>
  <c r="BF166" i="3"/>
  <c r="BF57" i="3"/>
  <c r="BM57" i="3" s="1"/>
  <c r="BL129" i="3"/>
  <c r="BF129" i="3"/>
  <c r="BF122" i="3"/>
  <c r="BM122" i="3" s="1"/>
  <c r="BL95" i="3"/>
  <c r="BF95" i="3"/>
  <c r="BL41" i="3"/>
  <c r="BF41" i="3"/>
  <c r="BL37" i="3"/>
  <c r="BF37" i="3"/>
  <c r="BM154" i="3" l="1"/>
  <c r="BM112" i="3"/>
  <c r="BM161" i="3"/>
  <c r="BM132" i="3"/>
  <c r="BM28" i="3"/>
  <c r="BM77" i="3"/>
  <c r="BF126" i="3"/>
  <c r="BM126" i="3" s="1"/>
  <c r="BM53" i="3"/>
  <c r="BM78" i="3"/>
  <c r="BM6" i="3"/>
  <c r="BM71" i="3"/>
  <c r="BM58" i="3"/>
  <c r="BM9" i="3"/>
  <c r="BM86" i="3"/>
  <c r="BM65" i="3"/>
  <c r="BM110" i="3"/>
  <c r="BM67" i="3"/>
  <c r="BM68" i="3"/>
  <c r="BM84" i="3"/>
  <c r="BM123" i="3"/>
  <c r="BM108" i="3"/>
  <c r="BM42" i="3"/>
  <c r="BM31" i="3"/>
  <c r="BM16" i="3"/>
  <c r="BM153" i="3"/>
  <c r="BM12" i="3"/>
  <c r="BM40" i="3"/>
  <c r="BM101" i="3"/>
  <c r="BF83" i="3"/>
  <c r="BM83" i="3" s="1"/>
  <c r="CA53" i="3"/>
  <c r="AZ142" i="3"/>
  <c r="BA142" i="3" s="1"/>
  <c r="AY142" i="3"/>
  <c r="BF79" i="3"/>
  <c r="BM79" i="3" s="1"/>
  <c r="AZ79" i="3"/>
  <c r="BA79" i="3" s="1"/>
  <c r="AY79" i="3"/>
  <c r="BF118" i="3"/>
  <c r="BM118" i="3" s="1"/>
  <c r="AZ118" i="3"/>
  <c r="BA118" i="3" s="1"/>
  <c r="BG45" i="4" s="1"/>
  <c r="AY118" i="3"/>
  <c r="BF142" i="3"/>
  <c r="BM142" i="3" s="1"/>
  <c r="BF109" i="3"/>
  <c r="BM109" i="3" s="1"/>
  <c r="CA170" i="3"/>
  <c r="BF156" i="3"/>
  <c r="BM156" i="3" s="1"/>
  <c r="AZ156" i="3"/>
  <c r="BA156" i="3" s="1"/>
  <c r="BG68" i="4" s="1"/>
  <c r="BH68" i="4" s="1"/>
  <c r="BI68" i="4" s="1"/>
  <c r="BJ68" i="4" s="1"/>
  <c r="AY156" i="3"/>
  <c r="BF141" i="3"/>
  <c r="BM141" i="3" s="1"/>
  <c r="AZ141" i="3"/>
  <c r="BA141" i="3" s="1"/>
  <c r="AY141" i="3"/>
  <c r="AZ126" i="3"/>
  <c r="BA126" i="3" s="1"/>
  <c r="AY126" i="3"/>
  <c r="BM169" i="3"/>
  <c r="BF125" i="3"/>
  <c r="BM125" i="3" s="1"/>
  <c r="AZ125" i="3"/>
  <c r="BA125" i="3" s="1"/>
  <c r="AY125" i="3"/>
  <c r="CA125" i="3" s="1"/>
  <c r="BF35" i="3"/>
  <c r="BM35" i="3" s="1"/>
  <c r="CA83" i="3"/>
  <c r="BE15" i="4" s="1"/>
  <c r="BM155" i="3"/>
  <c r="BM20" i="3"/>
  <c r="BM160" i="3"/>
  <c r="BM56" i="3"/>
  <c r="BM138" i="3"/>
  <c r="BM72" i="3"/>
  <c r="BM91" i="3"/>
  <c r="BF80" i="3"/>
  <c r="BM80" i="3" s="1"/>
  <c r="AZ80" i="3"/>
  <c r="BA80" i="3" s="1"/>
  <c r="AY80" i="3"/>
  <c r="BM17" i="3"/>
  <c r="AZ146" i="3"/>
  <c r="BA146" i="3" s="1"/>
  <c r="BG63" i="4" s="1"/>
  <c r="BH63" i="4" s="1"/>
  <c r="BI63" i="4" s="1"/>
  <c r="BJ63" i="4" s="1"/>
  <c r="AY146" i="3"/>
  <c r="BM19" i="3"/>
  <c r="BF74" i="3"/>
  <c r="BM74" i="3" s="1"/>
  <c r="BE19" i="4"/>
  <c r="BM18" i="3"/>
  <c r="BM113" i="3"/>
  <c r="BM55" i="3"/>
  <c r="BM120" i="3"/>
  <c r="BM121" i="3"/>
  <c r="BM170" i="3"/>
  <c r="BM143" i="3"/>
  <c r="BM162" i="3"/>
  <c r="BM37" i="3"/>
  <c r="BM96" i="3"/>
  <c r="BM164" i="3"/>
  <c r="BM114" i="3"/>
  <c r="BM88" i="3"/>
  <c r="BM48" i="3"/>
  <c r="BM13" i="3"/>
  <c r="BM103" i="3"/>
  <c r="BM116" i="3"/>
  <c r="BM127" i="3"/>
  <c r="BM32" i="3"/>
  <c r="BM44" i="3"/>
  <c r="BM131" i="3"/>
  <c r="BF146" i="3"/>
  <c r="BM146" i="3" s="1"/>
  <c r="BM95" i="3"/>
  <c r="BM129" i="3"/>
  <c r="BM166" i="3"/>
  <c r="BM163" i="3"/>
  <c r="BM47" i="3"/>
  <c r="BM66" i="3"/>
  <c r="BM76" i="3"/>
  <c r="BM7" i="3"/>
  <c r="BM51" i="3"/>
  <c r="BM136" i="3"/>
  <c r="BM130" i="3"/>
  <c r="BM54" i="3"/>
  <c r="BM87" i="3"/>
  <c r="BM149" i="3"/>
  <c r="BM119" i="3"/>
  <c r="BM139" i="3"/>
  <c r="BM159" i="3"/>
  <c r="BM81" i="3"/>
  <c r="BM152" i="3"/>
  <c r="BM73" i="3"/>
  <c r="BM151" i="3"/>
  <c r="BM102" i="3"/>
  <c r="BM105" i="3"/>
  <c r="BM23" i="3"/>
  <c r="BM24" i="3"/>
  <c r="BM63" i="3"/>
  <c r="BM29" i="3"/>
  <c r="BM133" i="3"/>
  <c r="BM61" i="3"/>
  <c r="BM2" i="3"/>
  <c r="BM92" i="3"/>
  <c r="BM100" i="3"/>
  <c r="BM158" i="3"/>
  <c r="BM107" i="3"/>
  <c r="BM140" i="3"/>
  <c r="BM43" i="3"/>
  <c r="BM64" i="3"/>
  <c r="BM49" i="3"/>
  <c r="BM4" i="3"/>
  <c r="BM41" i="3"/>
  <c r="BM52" i="3"/>
  <c r="BM14" i="3"/>
  <c r="BM98" i="3"/>
  <c r="BM137" i="3"/>
  <c r="BM85" i="3"/>
  <c r="BM99" i="3"/>
  <c r="BM144" i="3"/>
  <c r="BM3" i="3"/>
  <c r="BM145" i="3"/>
  <c r="BM104" i="3"/>
  <c r="BM30" i="3"/>
  <c r="BM25" i="3"/>
  <c r="BM134" i="3"/>
  <c r="BM106" i="3"/>
  <c r="BM45" i="3"/>
  <c r="BM128" i="3"/>
  <c r="BM36" i="3"/>
  <c r="BM62" i="3"/>
  <c r="BM50" i="3"/>
  <c r="BM38" i="3"/>
  <c r="BM90" i="3"/>
  <c r="BM165" i="3"/>
  <c r="BM5" i="3"/>
  <c r="BM39" i="3"/>
  <c r="BM111" i="3"/>
  <c r="BM157" i="3"/>
  <c r="BM148" i="3"/>
  <c r="BM124" i="3"/>
  <c r="BM10" i="3"/>
  <c r="BM97" i="3"/>
  <c r="BM117" i="3"/>
  <c r="BM150" i="3"/>
  <c r="BM34" i="3"/>
  <c r="BM21" i="3"/>
  <c r="BM147" i="3"/>
  <c r="BM46" i="3"/>
  <c r="BM167" i="3"/>
  <c r="CA152" i="3" l="1"/>
  <c r="CA146" i="3"/>
  <c r="BE61" i="4" s="1"/>
  <c r="BF61" i="4" s="1"/>
  <c r="BK61" i="4" s="1"/>
  <c r="BN61" i="4" s="1"/>
  <c r="BV61" i="4" s="1"/>
  <c r="CA131" i="3"/>
  <c r="CA156" i="3"/>
  <c r="CA130" i="3"/>
  <c r="CA79" i="3"/>
  <c r="BE41" i="4"/>
  <c r="BF41" i="4" s="1"/>
  <c r="BE79" i="4"/>
  <c r="BF79" i="4" s="1"/>
  <c r="BK79" i="4" s="1"/>
  <c r="BN79" i="4" s="1"/>
  <c r="BV79" i="4" s="1"/>
  <c r="CA133" i="3"/>
  <c r="BE59" i="4" s="1"/>
  <c r="BF59" i="4" s="1"/>
  <c r="BK59" i="4" s="1"/>
  <c r="BN59" i="4" s="1"/>
  <c r="CA80" i="3"/>
  <c r="BE17" i="4" s="1"/>
  <c r="CA71" i="3"/>
  <c r="BE48" i="4" s="1"/>
  <c r="BF48" i="4" s="1"/>
  <c r="BK48" i="4" s="1"/>
  <c r="BN48" i="4" s="1"/>
  <c r="BV48" i="4" s="1"/>
  <c r="CA126" i="3"/>
  <c r="CA138" i="3"/>
  <c r="CA118" i="3"/>
  <c r="BE26" i="4"/>
  <c r="BF26" i="4" s="1"/>
  <c r="BE18" i="4"/>
  <c r="BF18" i="4" s="1"/>
  <c r="BK18" i="4" s="1"/>
  <c r="BN18" i="4" s="1"/>
  <c r="BV18" i="4" s="1"/>
  <c r="CA151" i="3"/>
  <c r="BE66" i="4" s="1"/>
  <c r="BF66" i="4" s="1"/>
  <c r="BK66" i="4" s="1"/>
  <c r="BN66" i="4" s="1"/>
  <c r="BV66" i="4" s="1"/>
  <c r="CA142" i="3"/>
  <c r="BE54" i="4" s="1"/>
  <c r="CA140" i="3"/>
  <c r="CA141" i="3"/>
  <c r="CA58" i="3"/>
  <c r="AY173" i="3"/>
  <c r="BF19" i="4"/>
  <c r="BF15" i="4"/>
  <c r="BG62" i="4"/>
  <c r="BH62" i="4" s="1"/>
  <c r="BI62" i="4" s="1"/>
  <c r="BJ62" i="4" s="1"/>
  <c r="BG24" i="4"/>
  <c r="BH24" i="4" s="1"/>
  <c r="BI24" i="4" s="1"/>
  <c r="BJ24" i="4" s="1"/>
  <c r="BG57" i="4"/>
  <c r="BH57" i="4" s="1"/>
  <c r="BI57" i="4" s="1"/>
  <c r="BJ57" i="4" s="1"/>
  <c r="BA172" i="3"/>
  <c r="BH45" i="4"/>
  <c r="BE45" i="4" l="1"/>
  <c r="BF45" i="4" s="1"/>
  <c r="BE24" i="4"/>
  <c r="BF24" i="4" s="1"/>
  <c r="BK24" i="4" s="1"/>
  <c r="BN24" i="4" s="1"/>
  <c r="BV24" i="4" s="1"/>
  <c r="BE58" i="4"/>
  <c r="BF58" i="4" s="1"/>
  <c r="BK58" i="4" s="1"/>
  <c r="BN58" i="4" s="1"/>
  <c r="BV58" i="4" s="1"/>
  <c r="BE62" i="4"/>
  <c r="BF62" i="4" s="1"/>
  <c r="BK62" i="4" s="1"/>
  <c r="BN62" i="4" s="1"/>
  <c r="BV62" i="4" s="1"/>
  <c r="BE57" i="4"/>
  <c r="BF57" i="4" s="1"/>
  <c r="BK57" i="4" s="1"/>
  <c r="BN57" i="4" s="1"/>
  <c r="BV57" i="4" s="1"/>
  <c r="BE40" i="4"/>
  <c r="BF40" i="4" s="1"/>
  <c r="BK40" i="4" s="1"/>
  <c r="BN40" i="4" s="1"/>
  <c r="BE68" i="4"/>
  <c r="BF68" i="4" s="1"/>
  <c r="BK68" i="4" s="1"/>
  <c r="BN68" i="4" s="1"/>
  <c r="BV68" i="4" s="1"/>
  <c r="BE36" i="4"/>
  <c r="BV59" i="4"/>
  <c r="H87" i="4"/>
  <c r="I87" i="4" s="1"/>
  <c r="BE63" i="4"/>
  <c r="BF63" i="4" s="1"/>
  <c r="BK63" i="4" s="1"/>
  <c r="BN63" i="4" s="1"/>
  <c r="BV63" i="4" s="1"/>
  <c r="BK19" i="4"/>
  <c r="BN19" i="4" s="1"/>
  <c r="BV19" i="4" s="1"/>
  <c r="BK15" i="4"/>
  <c r="BN15" i="4" s="1"/>
  <c r="H99" i="4" s="1"/>
  <c r="I99" i="4" s="1"/>
  <c r="L99" i="4" s="1"/>
  <c r="O99" i="4" s="1"/>
  <c r="BO12" i="4" s="1"/>
  <c r="BV12" i="4" s="1"/>
  <c r="BK41" i="4"/>
  <c r="BN41" i="4" s="1"/>
  <c r="BV41" i="4" s="1"/>
  <c r="BK26" i="4"/>
  <c r="BI45" i="4"/>
  <c r="BJ45" i="4" s="1"/>
  <c r="BH81" i="4"/>
  <c r="BI81" i="4" s="1"/>
  <c r="BG81" i="4"/>
  <c r="H100" i="4" l="1"/>
  <c r="I100" i="4" s="1"/>
  <c r="BV40" i="4"/>
  <c r="H94" i="4"/>
  <c r="I94" i="4" s="1"/>
  <c r="H96" i="4"/>
  <c r="I96" i="4" s="1"/>
  <c r="BF81" i="4"/>
  <c r="BF83" i="4" s="1"/>
  <c r="BK83" i="4" s="1"/>
  <c r="BE81" i="4"/>
  <c r="BV15" i="4"/>
  <c r="H95" i="4"/>
  <c r="I95" i="4" s="1"/>
  <c r="BN26" i="4"/>
  <c r="BK45" i="4"/>
  <c r="BN45" i="4" s="1"/>
  <c r="BJ81" i="4"/>
  <c r="BV45" i="4" l="1"/>
  <c r="H89" i="4"/>
  <c r="I89" i="4" s="1"/>
  <c r="L89" i="4" s="1"/>
  <c r="O89" i="4" s="1"/>
  <c r="BO46" i="4" s="1"/>
  <c r="BV46" i="4" s="1"/>
  <c r="BK81" i="4"/>
  <c r="BK82" i="4" s="1"/>
  <c r="BK84" i="4" s="1"/>
  <c r="H88" i="4"/>
  <c r="BN81" i="4"/>
  <c r="I88" i="4" l="1"/>
  <c r="H101" i="4"/>
  <c r="L88" i="4" l="1"/>
  <c r="I101" i="4"/>
  <c r="O88" i="4" l="1"/>
  <c r="L101" i="4"/>
  <c r="BO26" i="4" l="1"/>
  <c r="O101" i="4"/>
  <c r="BV26" i="4" l="1"/>
  <c r="BV81" i="4" s="1"/>
  <c r="BO81" i="4"/>
  <c r="BV83" i="4" l="1"/>
  <c r="BV9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9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 xml:space="preserve"> as per Discuss with  WASIM &amp; AMIT  &amp; GM SIR &amp; KAMLESH  ,   ( KTL  KI DEAL HAI AU BANK NE BATAYA  )</t>
        </r>
      </text>
    </comment>
    <comment ref="W1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RTO ME 2000 NAHI LIYA HE AS PER GM SIR </t>
        </r>
      </text>
    </comment>
    <comment ref="M2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SWIFT
</t>
        </r>
      </text>
    </comment>
    <comment ref="N2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SWIFT
</t>
        </r>
      </text>
    </comment>
    <comment ref="W29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DRIM CAR PRICE LIST MARUTI NE DEE HE  2000 NAHI LIYA HE DREAM CAR</t>
        </r>
      </text>
    </comment>
    <comment ref="AW2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DREAM SERICES KIT DISCOUT DREAM SERICES RIPS </t>
        </r>
      </text>
    </comment>
    <comment ref="AX35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DRAIM CAR ME RTO BHI KAM HE </t>
        </r>
      </text>
    </comment>
    <comment ref="AD40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26338 MM IHM
</t>
        </r>
      </text>
    </comment>
    <comment ref="Q44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1 % HE DEALER PAYOUT SMS HE GROP ME OR UNKA HI CUSTOMER THA MERI BAT PER KIYA HE MENE GADI DENE SE MANA KAR DIYA THA</t>
        </r>
      </text>
    </comment>
    <comment ref="AD44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44200 MM IHM</t>
        </r>
      </text>
    </comment>
    <comment ref="W52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RTO KAM HE GM SIR BAT HUI HE</t>
        </r>
      </text>
    </comment>
    <comment ref="AD6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374100 MM IHM
</t>
        </r>
      </text>
    </comment>
    <comment ref="AD6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MM IHM</t>
        </r>
      </text>
    </comment>
    <comment ref="AX79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 xml:space="preserve">Replace  Additional  RIPS to  Extra Discount 5000/-  Because 224 MI not Achive. </t>
        </r>
      </text>
    </comment>
    <comment ref="AX80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 xml:space="preserve">Replace  Additional  RIPS to  Extra Discount 5000/-  Because 224 MI not Achive.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8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DREAM CAR SERICE ME RTO KI PRICE MARUTI SE AAI HE 2000 NAHI HE DREMA CAR
</t>
        </r>
      </text>
    </comment>
    <comment ref="AD99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CHOIES NO </t>
        </r>
      </text>
    </comment>
    <comment ref="V106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AGS KA MAIL HE 5000 PRICE ME DMS ME BHI KAM HE AJJAJ NE BATAYA 24-06-2024
</t>
        </r>
      </text>
    </comment>
    <comment ref="W106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RTO ME 2000 KE BAD BHI KAM KIYA HE RAJESH JI KI BAT GM SIR HUI HE INDORE RATE ME </t>
        </r>
      </text>
    </comment>
    <comment ref="AD113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55600 MM IHM
</t>
        </r>
      </text>
    </comment>
    <comment ref="AX118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 xml:space="preserve">Replace  Additional  RIPS to  Extra Discount 5000/-  Because 224 MI not Achive.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141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 xml:space="preserve">Replace  Additional  RIPS to  Extra Discount 5000/-  Because 224 MI not Achive.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142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 xml:space="preserve">Replace  Additional  RIPS to  Extra Discount 5000/-  Because 224 MI not Achive.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45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 xml:space="preserve">CHOICE NO. 5100/- JAMA </t>
        </r>
      </text>
    </comment>
    <comment ref="AR146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20000 RIPS OR 5000 ADISATION RIPS HE 224 INSURANCE PER MILEGA NAHI TO EXTRA DISCOUNT ME JAEGI
</t>
        </r>
      </text>
    </comment>
    <comment ref="AX146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 xml:space="preserve">Replace  Additional  RIPS to  Extra Discount 5000/-  Because 224 MI not Achive. </t>
        </r>
      </text>
    </comment>
    <comment ref="BK146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MSSF ID NO.13589898
NEW ID 13610045
</t>
        </r>
      </text>
    </comment>
    <comment ref="AR156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5000 EDITION RIPS</t>
        </r>
      </text>
    </comment>
    <comment ref="AX156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 xml:space="preserve">Replace  Additional  RIPS to  Extra Discount 5000/-  Because 224 MI not Achive.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<sst xmlns="http://schemas.openxmlformats.org/spreadsheetml/2006/main" count="13374" uniqueCount="3111">
  <si>
    <t>TRAN_ID</t>
  </si>
  <si>
    <t>SNO</t>
  </si>
  <si>
    <t>BILLING_BRANCH</t>
  </si>
  <si>
    <t>DELIVERY_BRANCH_LOCATION</t>
  </si>
  <si>
    <t>CUSTOMER_NAME</t>
  </si>
  <si>
    <t>CUSTOMER_ID</t>
  </si>
  <si>
    <t>DELIVERY_CUSTOMER_ID</t>
  </si>
  <si>
    <t>CUSTOMER_PAN</t>
  </si>
  <si>
    <t>CUSTOMER_GST_NO</t>
  </si>
  <si>
    <t>STATE_OF_SUPPLY</t>
  </si>
  <si>
    <t>DISTRICT</t>
  </si>
  <si>
    <t>TEHSIL</t>
  </si>
  <si>
    <t>VILLAGE</t>
  </si>
  <si>
    <t>AADHAR_NO</t>
  </si>
  <si>
    <t>CUSTOMER_MOBILE</t>
  </si>
  <si>
    <t>INVOICE_NO</t>
  </si>
  <si>
    <t>INVOICE_DATE</t>
  </si>
  <si>
    <t>ICM_DATE</t>
  </si>
  <si>
    <t>DATE_OF_VEH_DELIVERY</t>
  </si>
  <si>
    <t>VERIFY_DATE</t>
  </si>
  <si>
    <t>GATEPASS_NO</t>
  </si>
  <si>
    <t>GP_DATETIME</t>
  </si>
  <si>
    <t>COMMERCIAL_OR_NOT</t>
  </si>
  <si>
    <t>CH_NO</t>
  </si>
  <si>
    <t>REGISTRATION_NO</t>
  </si>
  <si>
    <t>TEMP_REGN_NO</t>
  </si>
  <si>
    <t>REGN_DATE</t>
  </si>
  <si>
    <t>CHASSIS_NO</t>
  </si>
  <si>
    <t>INSURANCE_DATE</t>
  </si>
  <si>
    <t>MODEL</t>
  </si>
  <si>
    <t>MODEL_ID</t>
  </si>
  <si>
    <t>MODEL_VARIANT</t>
  </si>
  <si>
    <t>FUEL_TYPE</t>
  </si>
  <si>
    <t>COLOUR</t>
  </si>
  <si>
    <t>BASIC_PRICE</t>
  </si>
  <si>
    <t>EXSHOWROOM_PRICE</t>
  </si>
  <si>
    <t>TAX_PERC</t>
  </si>
  <si>
    <t>CONSUMER_OFFER</t>
  </si>
  <si>
    <t>BUFFER</t>
  </si>
  <si>
    <t>MSSF</t>
  </si>
  <si>
    <t>CORPORATE_OFFER</t>
  </si>
  <si>
    <t>EXCHANGE_OFFER</t>
  </si>
  <si>
    <t>RIPS_SUPPORT1</t>
  </si>
  <si>
    <t>RIPS_SUPPORT2</t>
  </si>
  <si>
    <t>RIPS_SUPPORT3</t>
  </si>
  <si>
    <t>MDS_OFFER</t>
  </si>
  <si>
    <t>EMPLOYEE_SCHEME_BY_MSIL</t>
  </si>
  <si>
    <t>MSIL_DISCOUNT_WITH_APPROVAL_BY_GM_SM</t>
  </si>
  <si>
    <t>ISL_DISCOUNT_DEALER_SHARE</t>
  </si>
  <si>
    <t>EXCHANGE_DISCOUNT_DEALER_SHARE</t>
  </si>
  <si>
    <t>TOTAL_DISCOUNT</t>
  </si>
  <si>
    <t>TOTAL_INVOICE_VALUE</t>
  </si>
  <si>
    <t>MGA</t>
  </si>
  <si>
    <t>GEARBOX</t>
  </si>
  <si>
    <t>NON_MGA</t>
  </si>
  <si>
    <t>ROAD_TAX</t>
  </si>
  <si>
    <t>EW_TYPE</t>
  </si>
  <si>
    <t>EXTENDED_WARRANTY</t>
  </si>
  <si>
    <t>CCP_CHRGS</t>
  </si>
  <si>
    <t>INSURANCE_TYPE</t>
  </si>
  <si>
    <t>INSURANCE_PRICE</t>
  </si>
  <si>
    <t>NEXA_AUTO_CARD</t>
  </si>
  <si>
    <t>CNG_CHRGS</t>
  </si>
  <si>
    <t>RC_CARD</t>
  </si>
  <si>
    <t>MCP_CHRGS</t>
  </si>
  <si>
    <t>TCS_CHRGS</t>
  </si>
  <si>
    <t>HPN_CHRGS</t>
  </si>
  <si>
    <t>HSRP_CHRGS</t>
  </si>
  <si>
    <t>DIMS_CHRGS</t>
  </si>
  <si>
    <t>OLD_VEH_CHALLAN</t>
  </si>
  <si>
    <t>FASTAG</t>
  </si>
  <si>
    <t>METER_PATTI</t>
  </si>
  <si>
    <t>PARKING_TAX</t>
  </si>
  <si>
    <t>DRNOTE_AMT</t>
  </si>
  <si>
    <t>TCU_CHRGS</t>
  </si>
  <si>
    <t>TOTAL_CHARGED_FROM_CUSTOMER</t>
  </si>
  <si>
    <t>POST_SALE_DISCOUNT</t>
  </si>
  <si>
    <t>CASH</t>
  </si>
  <si>
    <t>CARDS</t>
  </si>
  <si>
    <t>CHEQUE_ONLINE</t>
  </si>
  <si>
    <t>UNCLEARED_CHQ</t>
  </si>
  <si>
    <t>TRANSFER_FROM_OTHERS</t>
  </si>
  <si>
    <t>TOTAL_PAYMENT_RECEIVED</t>
  </si>
  <si>
    <t>CREDIT_CARD_CHARGES</t>
  </si>
  <si>
    <t>PO_SECURITY_AMT</t>
  </si>
  <si>
    <t>NET_LOAN_AMT_AFTER_PF_CHRGS</t>
  </si>
  <si>
    <t>DO_PYMT_RECD</t>
  </si>
  <si>
    <t>HYPOTHECATION_BY</t>
  </si>
  <si>
    <t>LEASED_BY</t>
  </si>
  <si>
    <t>IN_HOUSE_FIN</t>
  </si>
  <si>
    <t>TV_PURCHASE_AMT</t>
  </si>
  <si>
    <t>LOAN_PAID_BY_RMPL</t>
  </si>
  <si>
    <t>THIRD_PARTY_INSU_AMT</t>
  </si>
  <si>
    <t>TV_NETAMT</t>
  </si>
  <si>
    <t>USED_CAR_DETAILS_1</t>
  </si>
  <si>
    <t>USED_CAR_DETAILS_2</t>
  </si>
  <si>
    <t>USED_CAR_DETAILS_3</t>
  </si>
  <si>
    <t>EVALUATOR_NAME</t>
  </si>
  <si>
    <t>SHORT_EXCESS_FROM_CUSTOMERS</t>
  </si>
  <si>
    <t>DSE_EMPCODE</t>
  </si>
  <si>
    <t>DSE_NAME</t>
  </si>
  <si>
    <t>TL_EMPCODE</t>
  </si>
  <si>
    <t>TL_NAME</t>
  </si>
  <si>
    <t>FILE_CHECKED_BY</t>
  </si>
  <si>
    <t>REMARK</t>
  </si>
  <si>
    <t>FILE_NO</t>
  </si>
  <si>
    <t>CUST_ADD1</t>
  </si>
  <si>
    <t>CUST_ADD2</t>
  </si>
  <si>
    <t>EMAIL_ID</t>
  </si>
  <si>
    <t>CUSTOMER_TYPE</t>
  </si>
  <si>
    <t>PIN_CODE</t>
  </si>
  <si>
    <t>NOMI_NAME</t>
  </si>
  <si>
    <t>NDOB</t>
  </si>
  <si>
    <t>FIN_BRANCH</t>
  </si>
  <si>
    <t>FIN_DONO</t>
  </si>
  <si>
    <t>PF_CHARGES</t>
  </si>
  <si>
    <t>PO_NO</t>
  </si>
  <si>
    <t>PO_AMT</t>
  </si>
  <si>
    <t>PO_DATE</t>
  </si>
  <si>
    <t>VIN</t>
  </si>
  <si>
    <t>ENGN_NO</t>
  </si>
  <si>
    <t>RTO_TYPE</t>
  </si>
  <si>
    <t>EW_POLICYAMT</t>
  </si>
  <si>
    <t>EW_DATE</t>
  </si>
  <si>
    <t>EW_POLICYNO</t>
  </si>
  <si>
    <t>DSE_PAYOUT</t>
  </si>
  <si>
    <t>PAYOUT_RATE</t>
  </si>
  <si>
    <t>PAYOUT_AMT</t>
  </si>
  <si>
    <t>PAYOUT_GST</t>
  </si>
  <si>
    <t>NET_PAYOUT</t>
  </si>
  <si>
    <t>FLOAN_STATUS</t>
  </si>
  <si>
    <t>FACCOUNT_NO</t>
  </si>
  <si>
    <t>FIN_RECD_AMT</t>
  </si>
  <si>
    <t>FIN_CREDIT_REF</t>
  </si>
  <si>
    <t>FIN_REMARK</t>
  </si>
  <si>
    <t>MI_DATE</t>
  </si>
  <si>
    <t>POLICY_TYPE</t>
  </si>
  <si>
    <t>INSU_COMPANY</t>
  </si>
  <si>
    <t>PART_A_PREMIUM</t>
  </si>
  <si>
    <t>MI_POLICY_AMT</t>
  </si>
  <si>
    <t>ZERO_DEP_STATUS</t>
  </si>
  <si>
    <t>ENGINE_COVER_STATUS</t>
  </si>
  <si>
    <t>RTI_STATUS</t>
  </si>
  <si>
    <t>DOB</t>
  </si>
  <si>
    <t>VEH_TYPE</t>
  </si>
  <si>
    <t>YOM</t>
  </si>
  <si>
    <t>MUL_INVOICE_NO</t>
  </si>
  <si>
    <t>MUL_INVOICE_DATE</t>
  </si>
  <si>
    <t>DIRF_AMT</t>
  </si>
  <si>
    <t>PURCHASE_PRICE</t>
  </si>
  <si>
    <t>PURCHASE_DISCOUNT</t>
  </si>
  <si>
    <t>LEDG_CODE</t>
  </si>
  <si>
    <t>AUTOVYN_CUSTOMER_NAME</t>
  </si>
  <si>
    <t>DOC_UPLOAD</t>
  </si>
  <si>
    <t>INSU_FIN_POST</t>
  </si>
  <si>
    <t>EW_FIN_POST</t>
  </si>
  <si>
    <t>RTO_FIN_POST</t>
  </si>
  <si>
    <t>FASTAG_FIN_POST</t>
  </si>
  <si>
    <t>HP_FIN_POST</t>
  </si>
  <si>
    <t>DIMS_FIN_POST</t>
  </si>
  <si>
    <t>PTAX_FIN_POST</t>
  </si>
  <si>
    <t>NONMGA_FIN_POST</t>
  </si>
  <si>
    <t>MCP_FIN_POST</t>
  </si>
  <si>
    <t>CNG_FIN_POST</t>
  </si>
  <si>
    <t>METERPATTI_FIN_POST</t>
  </si>
  <si>
    <t>TCS_FIN_POST</t>
  </si>
  <si>
    <t>CCC_FIN_POST</t>
  </si>
  <si>
    <t>RC_CARD_FIN_POST</t>
  </si>
  <si>
    <t>CHOICE_NO_FIN_POST</t>
  </si>
  <si>
    <t>PANCARD_FIN_POST</t>
  </si>
  <si>
    <t>MGA_BILL_AMT</t>
  </si>
  <si>
    <t>MGA_DIFF</t>
  </si>
  <si>
    <t>MGA_DISC_AMT</t>
  </si>
  <si>
    <t>MODL_CODE</t>
  </si>
  <si>
    <t>EMP_DISC_DLR</t>
  </si>
  <si>
    <t>EMP_DISC_MSIL</t>
  </si>
  <si>
    <t>GROSS_TOTAL_PREMIUM</t>
  </si>
  <si>
    <t>ZERO_DEP_STATUS1</t>
  </si>
  <si>
    <t>ZERO_DEP_PREMIUM</t>
  </si>
  <si>
    <t>ENGINE_COVER_PREMIUM</t>
  </si>
  <si>
    <t>RTI_PREMIUM</t>
  </si>
  <si>
    <t>FREE_SCHEME</t>
  </si>
  <si>
    <t>LEDGER_BAL</t>
  </si>
  <si>
    <t>TCN_EXSC_VALUE</t>
  </si>
  <si>
    <t>EXSC_TAXABLE</t>
  </si>
  <si>
    <t>EXSC_GST</t>
  </si>
  <si>
    <t>EXSC_CESS</t>
  </si>
  <si>
    <t>TCN_ISLP_VALUE</t>
  </si>
  <si>
    <t>ISLP_TAXABLE</t>
  </si>
  <si>
    <t>ISLP_GST</t>
  </si>
  <si>
    <t>ISLP_CESS</t>
  </si>
  <si>
    <t>TCN_RMKP_VALUE</t>
  </si>
  <si>
    <t>RMKP_TAXABLE</t>
  </si>
  <si>
    <t>RMKP_GST</t>
  </si>
  <si>
    <t>RMKP_CESS</t>
  </si>
  <si>
    <t>BARWAHA-SALES</t>
  </si>
  <si>
    <t>RAJESH SHAH</t>
  </si>
  <si>
    <t>CJLPR1499G</t>
  </si>
  <si>
    <t>GSTUNREGISTERED</t>
  </si>
  <si>
    <t>Madhya Pradesh</t>
  </si>
  <si>
    <t>BADWAH</t>
  </si>
  <si>
    <t>14/VSL/24000049</t>
  </si>
  <si>
    <t>No</t>
  </si>
  <si>
    <t>B10049</t>
  </si>
  <si>
    <t>WAGONR</t>
  </si>
  <si>
    <t>MARUTI WAGON R VXI CNG 1L 5MT</t>
  </si>
  <si>
    <t>CNG</t>
  </si>
  <si>
    <t>SUPERIOR WHITE</t>
  </si>
  <si>
    <t>None</t>
  </si>
  <si>
    <t>Zero Dep.</t>
  </si>
  <si>
    <t>CHOLA MANDALAM INVESTMENT &amp; FINANCE CO. LIMITED</t>
  </si>
  <si>
    <t>IN HOUSE LOAN</t>
  </si>
  <si>
    <t>MP09CJ6810 - WRVXI</t>
  </si>
  <si>
    <t>BAD039</t>
  </si>
  <si>
    <t xml:space="preserve">SANJAY SEN </t>
  </si>
  <si>
    <t>BAD099</t>
  </si>
  <si>
    <t xml:space="preserve">AKASH  MISHRA </t>
  </si>
  <si>
    <t>MAYANK N ARENA</t>
  </si>
  <si>
    <t>41/423</t>
  </si>
  <si>
    <t>VILL BAKAWA TEH SANAWAD DIST KHARGONE</t>
  </si>
  <si>
    <t>Individual Customer</t>
  </si>
  <si>
    <t>MA3JMTB1SREB10049</t>
  </si>
  <si>
    <t>C578783</t>
  </si>
  <si>
    <t>Permanent</t>
  </si>
  <si>
    <t>TVDM5031080</t>
  </si>
  <si>
    <t>RAJESH SHAH (2457188823)</t>
  </si>
  <si>
    <t>Yes</t>
  </si>
  <si>
    <t>BALRAM JAT</t>
  </si>
  <si>
    <t>AXHPJ2151M</t>
  </si>
  <si>
    <t>14/VSL/24000044</t>
  </si>
  <si>
    <t>EPIC NEW SWIFT</t>
  </si>
  <si>
    <t>MARUTI SWIFT VXI 1.2L ISS 5MT</t>
  </si>
  <si>
    <t>PETROL</t>
  </si>
  <si>
    <t>MET.MAGMA GRAY</t>
  </si>
  <si>
    <t>Royal Platinum(5th Yr)</t>
  </si>
  <si>
    <t>MADHYA PRADESH GRAMIN BANK</t>
  </si>
  <si>
    <t>SELF LOAN</t>
  </si>
  <si>
    <t>BAD055</t>
  </si>
  <si>
    <t xml:space="preserve">NITESH KUMAR DALE </t>
  </si>
  <si>
    <t>39/421</t>
  </si>
  <si>
    <t>NIMBIBUJURG BARWAH KHARGONE</t>
  </si>
  <si>
    <t>MBHZCDESKRD105755</t>
  </si>
  <si>
    <t>EW7836538</t>
  </si>
  <si>
    <t>TVDH3821391</t>
  </si>
  <si>
    <t>BALRAM JAT (2456663066)</t>
  </si>
  <si>
    <t>ANKIT GUPTA</t>
  </si>
  <si>
    <t>AYSPG9245K</t>
  </si>
  <si>
    <t>14/VSL/24000042</t>
  </si>
  <si>
    <t>DZIRE</t>
  </si>
  <si>
    <t>MARUTI DZIRE VXI CNG 1.2L 5MT</t>
  </si>
  <si>
    <t>PEARL METALLIC ARCTIC WHITE</t>
  </si>
  <si>
    <t>STATE BANK OF INDIA</t>
  </si>
  <si>
    <t>35/417</t>
  </si>
  <si>
    <t>HOUSE NO.28 SHITLA MATA BAZAR OPPOSITE SHITLA MATA MANDIR BARWAH</t>
  </si>
  <si>
    <t>MA3CZFB3SRE892048</t>
  </si>
  <si>
    <t>EW7835710</t>
  </si>
  <si>
    <t>TVDM5025167</t>
  </si>
  <si>
    <t>ANKIT GUPTA (2456993956)</t>
  </si>
  <si>
    <t>RAJKUMAR</t>
  </si>
  <si>
    <t>EIGPR0057C</t>
  </si>
  <si>
    <t>KHARGONE</t>
  </si>
  <si>
    <t>14/VSL/24000052</t>
  </si>
  <si>
    <t>A86742</t>
  </si>
  <si>
    <t>MARUTI WAGON R VXI 1L ISS 5MT</t>
  </si>
  <si>
    <t>56/438</t>
  </si>
  <si>
    <t>VILL BALWADA TEH BARWAHA DIST KHARGONE</t>
  </si>
  <si>
    <t>MA3JMTB1SRDA86742</t>
  </si>
  <si>
    <t>C560971</t>
  </si>
  <si>
    <t>EW7846063</t>
  </si>
  <si>
    <t>TVDM4932064</t>
  </si>
  <si>
    <t>RAJKUMAR (2457113981)</t>
  </si>
  <si>
    <t>RINA CHANDEL</t>
  </si>
  <si>
    <t>BCLPC3860L</t>
  </si>
  <si>
    <t>14/VSL/24000053</t>
  </si>
  <si>
    <t>NEW ALTO K10</t>
  </si>
  <si>
    <t>MARUTI ALTO K10 VXI+ 1L 5MT</t>
  </si>
  <si>
    <t>INDUSIND BANK LIMITED</t>
  </si>
  <si>
    <t>52/434</t>
  </si>
  <si>
    <t>HOUSE NO 200 VILL SANAWAD DIST KHARGONE</t>
  </si>
  <si>
    <t>MA3SFM61SRE291583</t>
  </si>
  <si>
    <t>EW7846956</t>
  </si>
  <si>
    <t>TVDG4024312</t>
  </si>
  <si>
    <t>RINA CHANDEL (2457156983)</t>
  </si>
  <si>
    <t>SHEKH NAFIS</t>
  </si>
  <si>
    <t>BLJPN3975J</t>
  </si>
  <si>
    <t>SANAWAD</t>
  </si>
  <si>
    <t>14/VSL/24000059</t>
  </si>
  <si>
    <t>NEW ERTIGA</t>
  </si>
  <si>
    <t>MARUTI ERTIGA VXI (O) CNG 1.5L 5MT</t>
  </si>
  <si>
    <t xml:space="preserve">ARPAN SHARMA </t>
  </si>
  <si>
    <t>86/465</t>
  </si>
  <si>
    <t>WARD NO 05 MEHABUB PURA SANAWAD DIST KHARGONE</t>
  </si>
  <si>
    <t>MA3BNC62SRE813796</t>
  </si>
  <si>
    <t>EW7861575</t>
  </si>
  <si>
    <t>TVDM5041594</t>
  </si>
  <si>
    <t>SHEKH NAFIS (2456810272)</t>
  </si>
  <si>
    <t>KARAN PRAJAPAT</t>
  </si>
  <si>
    <t>HUXPP3629A</t>
  </si>
  <si>
    <t>14/VSL/24000055</t>
  </si>
  <si>
    <t>AU SMALL FINANCE BANK LIMITED</t>
  </si>
  <si>
    <t>110/492</t>
  </si>
  <si>
    <t>PILI MITI TEH.BARWAHA DIST.KHARGONE</t>
  </si>
  <si>
    <t>MA3CZFB3SRF899983</t>
  </si>
  <si>
    <t>EW7874221</t>
  </si>
  <si>
    <t>TVDM5070821</t>
  </si>
  <si>
    <t>KARAN PRAJAPAT (2457188186)</t>
  </si>
  <si>
    <t>AKSHAY JAISWAL</t>
  </si>
  <si>
    <t>AKAPJ6217A</t>
  </si>
  <si>
    <t>14/VSL/24000058</t>
  </si>
  <si>
    <t>D43998</t>
  </si>
  <si>
    <t>EECO</t>
  </si>
  <si>
    <t>MARUTI EECO 5 STR AC CNG 1.2L 5MT</t>
  </si>
  <si>
    <t>MP09BD4637 - OMNIVAN</t>
  </si>
  <si>
    <t xml:space="preserve">BAD199 YOGESH PATEL </t>
  </si>
  <si>
    <t>115/497</t>
  </si>
  <si>
    <t>VILL-KHARGONE MARG; GANDHI CHOUK BADUD KHARGONE</t>
  </si>
  <si>
    <t>MA3JDT08WRFD43998</t>
  </si>
  <si>
    <t>EW7877697</t>
  </si>
  <si>
    <t>TVDG4035916</t>
  </si>
  <si>
    <t>AKSHAY JAISWAL (2457118302)</t>
  </si>
  <si>
    <t>SHOBHIT</t>
  </si>
  <si>
    <t>RTWPS9210Q</t>
  </si>
  <si>
    <t>14/VSL/24000061</t>
  </si>
  <si>
    <t>NEW BREZZA</t>
  </si>
  <si>
    <t>MARUTI BREZZA VXI 1.5L 5MT</t>
  </si>
  <si>
    <t>129/511</t>
  </si>
  <si>
    <t>VILL BODHGAON POST BHANBARAD DIST KHARGONE</t>
  </si>
  <si>
    <t>MA3RYHK1SRE422300</t>
  </si>
  <si>
    <t>EW7883315</t>
  </si>
  <si>
    <t>TVDM5035134</t>
  </si>
  <si>
    <t>SHOBHIT (2457386414)</t>
  </si>
  <si>
    <t>SANDEEP YADAV</t>
  </si>
  <si>
    <t>FORM60</t>
  </si>
  <si>
    <t>KHANDWA</t>
  </si>
  <si>
    <t>14/VSL/24000056</t>
  </si>
  <si>
    <t>132/514</t>
  </si>
  <si>
    <t>VILL ONKARESHWAR TEH.PUNASA DIST.KHANDWA</t>
  </si>
  <si>
    <t>MA3CZFB3SRF899705</t>
  </si>
  <si>
    <t>EW7886824</t>
  </si>
  <si>
    <t>TVDM5070819</t>
  </si>
  <si>
    <t>SANDEEP YADAV (2456992125)</t>
  </si>
  <si>
    <t>BHUPENDRA SINGH</t>
  </si>
  <si>
    <t>BODPB5258P</t>
  </si>
  <si>
    <t>14/VSL/24000062</t>
  </si>
  <si>
    <t>A88122</t>
  </si>
  <si>
    <t>131/513</t>
  </si>
  <si>
    <t>HOUSE NO.28 PIPAL GALI; BARWAHA;TEH.BARWAHA DIST.KHARGONE</t>
  </si>
  <si>
    <t>MA3JMTB1SRDA88122</t>
  </si>
  <si>
    <t>C562383</t>
  </si>
  <si>
    <t>EW7886583</t>
  </si>
  <si>
    <t>TVDM4949008</t>
  </si>
  <si>
    <t>BHUPENDRA SINGH (2457283309)</t>
  </si>
  <si>
    <t>BALU</t>
  </si>
  <si>
    <t>14/VSL/24000064</t>
  </si>
  <si>
    <t>D43598</t>
  </si>
  <si>
    <t>MARUTI EECO 7 STR STD 1.2L 5MT</t>
  </si>
  <si>
    <t>SILKY SILVER</t>
  </si>
  <si>
    <t>140/522</t>
  </si>
  <si>
    <t>HOUSE NO 122 BARLAY POST BHAMPURA BARLAY DIST KHARGONE</t>
  </si>
  <si>
    <t>MA3JDT08WRFD43598</t>
  </si>
  <si>
    <t>EW7887979</t>
  </si>
  <si>
    <t>TVDG4037291</t>
  </si>
  <si>
    <t>BALU (2457436577)</t>
  </si>
  <si>
    <t>BHIMSINGH AWASE</t>
  </si>
  <si>
    <t>CKVPA7592J</t>
  </si>
  <si>
    <t>14/VSL/24000065</t>
  </si>
  <si>
    <t>D29960</t>
  </si>
  <si>
    <t>MARUTI EECO 5 STR AC 1.2L 5MT</t>
  </si>
  <si>
    <t>159/541</t>
  </si>
  <si>
    <t>GRAM AASHAKHO BADKI CHOUKI TEH BARWAHA DIST KHARGONE</t>
  </si>
  <si>
    <t>MA3JDT08WRED29960</t>
  </si>
  <si>
    <t>EW7898059</t>
  </si>
  <si>
    <t>TVDG4010170</t>
  </si>
  <si>
    <t>BHIMSINGH AWASE (2457438826)</t>
  </si>
  <si>
    <t>BARWANI-SALES</t>
  </si>
  <si>
    <t>BALRAM</t>
  </si>
  <si>
    <t>FSWPB4503A</t>
  </si>
  <si>
    <t>DHAR</t>
  </si>
  <si>
    <t>3/VSL/24000075</t>
  </si>
  <si>
    <t>D32485</t>
  </si>
  <si>
    <t>MAHINDRA &amp; MAHINDRA FINANCIAL SERVICE LTD.</t>
  </si>
  <si>
    <t>BAR0025</t>
  </si>
  <si>
    <t xml:space="preserve">SHAILENDRA SHARMA </t>
  </si>
  <si>
    <t>BAR0001</t>
  </si>
  <si>
    <t xml:space="preserve">NITIN MEHTA </t>
  </si>
  <si>
    <t>9/392</t>
  </si>
  <si>
    <t>CHOR;KHODRA FALYA RISAWALA;DHAR DHAR</t>
  </si>
  <si>
    <t>MA3JDT08WRED32485</t>
  </si>
  <si>
    <t>EW7821181</t>
  </si>
  <si>
    <t>TVDG4012993</t>
  </si>
  <si>
    <t>BALRAM (2457108222)</t>
  </si>
  <si>
    <t>GATHIYA SOLANKI</t>
  </si>
  <si>
    <t>MNTPS9348P</t>
  </si>
  <si>
    <t>BARWANI</t>
  </si>
  <si>
    <t>3/VSL/24000076</t>
  </si>
  <si>
    <t>D35273</t>
  </si>
  <si>
    <t>14/396</t>
  </si>
  <si>
    <t>WARD 3 RADHU FALYA; POST.MATLI  TEH.RAJPUR SAWARDA BARWANI</t>
  </si>
  <si>
    <t>MA3JDT08WRED35273</t>
  </si>
  <si>
    <t>EW7822968</t>
  </si>
  <si>
    <t>TVDG4021896</t>
  </si>
  <si>
    <t>GATHIYA SOLANKI (2457120313)</t>
  </si>
  <si>
    <t>PANKAJ PATIDAR</t>
  </si>
  <si>
    <t>BEQPP1526M</t>
  </si>
  <si>
    <t>3/VSL/24000077</t>
  </si>
  <si>
    <t>MARUTI ERTIGA SMART HYBRID VXI (O) 1.5L 5MT</t>
  </si>
  <si>
    <t>BANK OF INDIA</t>
  </si>
  <si>
    <t>16/398</t>
  </si>
  <si>
    <t>SADAR BAJAR NEAR SHANKAR MANDIR SINGHANA DIST DHAR</t>
  </si>
  <si>
    <t>MA3BNC72SRE807129</t>
  </si>
  <si>
    <t>EW7824943</t>
  </si>
  <si>
    <t>TVDM5045224</t>
  </si>
  <si>
    <t>PANKAJ PATIDAR (2456708127)</t>
  </si>
  <si>
    <t>TOOFANSINGH ALAWE</t>
  </si>
  <si>
    <t>BGZPA6832J</t>
  </si>
  <si>
    <t>3/VSL/24000069</t>
  </si>
  <si>
    <t>MARUTI BREZZA SMART HYBRID ZXI+ 1.5L 5MT</t>
  </si>
  <si>
    <t>BAR0006</t>
  </si>
  <si>
    <t xml:space="preserve">VINOD MANGROLIYA </t>
  </si>
  <si>
    <t>20/402</t>
  </si>
  <si>
    <t>302 BARI FALYA MENIMATA MENIMATA DIST BARWANI</t>
  </si>
  <si>
    <t>MA3RYHL1SRC398979</t>
  </si>
  <si>
    <t>EW7827941</t>
  </si>
  <si>
    <t>TVDM4925974</t>
  </si>
  <si>
    <t>TOOFANSINGH ALAWE (2457079912)</t>
  </si>
  <si>
    <t>TRILOK SINGH</t>
  </si>
  <si>
    <t>LARPS2377A</t>
  </si>
  <si>
    <t>3/VSL/24000080</t>
  </si>
  <si>
    <t>D34462</t>
  </si>
  <si>
    <t>26/408</t>
  </si>
  <si>
    <t>178 GRAM CHHOTI KASRAWAD POST.CHHOTI KASRAWAD KASRAWAD BARWANI</t>
  </si>
  <si>
    <t>MA3JDT08WRED34462</t>
  </si>
  <si>
    <t>EW7832228</t>
  </si>
  <si>
    <t>TVDG4019921</t>
  </si>
  <si>
    <t>TRILOK SINGH (2457101080)</t>
  </si>
  <si>
    <t>NARENDRA SOLANKI</t>
  </si>
  <si>
    <t>QRWPS2200H</t>
  </si>
  <si>
    <t>ANJAD</t>
  </si>
  <si>
    <t>3/VSL/24000079</t>
  </si>
  <si>
    <t>A98306</t>
  </si>
  <si>
    <t>R104</t>
  </si>
  <si>
    <t xml:space="preserve">SHAILENDRA  MUWADIYA </t>
  </si>
  <si>
    <t>27/409</t>
  </si>
  <si>
    <t>WARD NO 1 IMLIPURA KOYADIYA DIST BARWANI</t>
  </si>
  <si>
    <t>MA3JMTB1SRDA98306</t>
  </si>
  <si>
    <t>F004042</t>
  </si>
  <si>
    <t>EW7831986</t>
  </si>
  <si>
    <t>TVDM4977848</t>
  </si>
  <si>
    <t>NARENDRA SOLANKI (2457153999)</t>
  </si>
  <si>
    <t>BURHANUDDIN GANDHI</t>
  </si>
  <si>
    <t>CSOPG9941E</t>
  </si>
  <si>
    <t>3/VSL/24000078</t>
  </si>
  <si>
    <t>B13984</t>
  </si>
  <si>
    <t>MP09WL9953 - TATANEXON - 2021</t>
  </si>
  <si>
    <t>BAR1184 NILESH KUSHWAH</t>
  </si>
  <si>
    <t>21/403</t>
  </si>
  <si>
    <t>BURHANI BAGH COMPLEX BARWANI DIST.BARWANI</t>
  </si>
  <si>
    <t>MA3JMTB1SREB13984</t>
  </si>
  <si>
    <t>C589384</t>
  </si>
  <si>
    <t>EW7828839</t>
  </si>
  <si>
    <t>TVDM5040709</t>
  </si>
  <si>
    <t>BURHANUDDIN GANDHI (2457128627)</t>
  </si>
  <si>
    <t>ABDUL KADIR ROUNAK</t>
  </si>
  <si>
    <t>BUPPR0794G</t>
  </si>
  <si>
    <t>3/VSL/24000081</t>
  </si>
  <si>
    <t>D28955</t>
  </si>
  <si>
    <t>METALLIC GLISTENING GREY</t>
  </si>
  <si>
    <t>31/413</t>
  </si>
  <si>
    <t>189; BOHARA MOHALLA WARD NO 20 BARWANI DIST BARWANI</t>
  </si>
  <si>
    <t>MA3JDT08WRED28955</t>
  </si>
  <si>
    <t>EW7832659</t>
  </si>
  <si>
    <t>TVDG4007849</t>
  </si>
  <si>
    <t>ABDUL KADIR ROUNAK (2457165600)</t>
  </si>
  <si>
    <t>DINESH CHOUHAN</t>
  </si>
  <si>
    <t>BGBPC7529J</t>
  </si>
  <si>
    <t>3/VSL/24000082</t>
  </si>
  <si>
    <t>A88647</t>
  </si>
  <si>
    <t>BAR0066</t>
  </si>
  <si>
    <t xml:space="preserve">FAIJAL MANSURI </t>
  </si>
  <si>
    <t>38/420</t>
  </si>
  <si>
    <t>WARD NO.04 ANAND NAGAR BADWANI PANI NAHAR KE PASS BARWANI</t>
  </si>
  <si>
    <t>MA3JMTB1SRDA88647</t>
  </si>
  <si>
    <t>C562854</t>
  </si>
  <si>
    <t>EW7835831</t>
  </si>
  <si>
    <t>TVDM4949010</t>
  </si>
  <si>
    <t>DINESH CHOUHAN (2457163292)</t>
  </si>
  <si>
    <t>NILESH PRAKASH PAKATEKAR</t>
  </si>
  <si>
    <t>DUTPP2021L</t>
  </si>
  <si>
    <t>Maharashtra</t>
  </si>
  <si>
    <t>MUMBAI</t>
  </si>
  <si>
    <t>3/VSL/24000066</t>
  </si>
  <si>
    <t>KOTAK MAHINDRA BANK</t>
  </si>
  <si>
    <t xml:space="preserve">SOURABH YADAV </t>
  </si>
  <si>
    <t>33/415</t>
  </si>
  <si>
    <t>101 RAAT RANI APARTMENT CM NAGAR KARGIL NAGAR MANVEL PADA VASAL PALGHAR</t>
  </si>
  <si>
    <t>MA3BNC62SRE813097</t>
  </si>
  <si>
    <t>EW7834623</t>
  </si>
  <si>
    <t>TVDM5045223</t>
  </si>
  <si>
    <t>NILESH PRAKASH PAKATEKAR (2457059960)</t>
  </si>
  <si>
    <t>GANESH</t>
  </si>
  <si>
    <t>EPNPG4722R</t>
  </si>
  <si>
    <t>3/VSL/24000087</t>
  </si>
  <si>
    <t>D29137</t>
  </si>
  <si>
    <t>58/440</t>
  </si>
  <si>
    <t>62; SALKHEDA DIST BARWANI</t>
  </si>
  <si>
    <t>MA3JDT08WRED29137</t>
  </si>
  <si>
    <t>EW7847692</t>
  </si>
  <si>
    <t>TVDG4006157</t>
  </si>
  <si>
    <t>GANESH (2457240177)</t>
  </si>
  <si>
    <t>MOHAMMAD HAIDAR ALI</t>
  </si>
  <si>
    <t>EEJPA1756Q</t>
  </si>
  <si>
    <t>3/VSL/24000088</t>
  </si>
  <si>
    <t>D35630</t>
  </si>
  <si>
    <t>63/445</t>
  </si>
  <si>
    <t>GRAM PIPLIYA DHAR DIST.DHAR</t>
  </si>
  <si>
    <t>MA3JDT08WRED35630</t>
  </si>
  <si>
    <t>EW7851564</t>
  </si>
  <si>
    <t>TVDG4021899</t>
  </si>
  <si>
    <t>MOHAMMAD HAIDAR ALI (2457257882)</t>
  </si>
  <si>
    <t>OMPRAKASH YADAV</t>
  </si>
  <si>
    <t>AQLPY5255C</t>
  </si>
  <si>
    <t>3/VSL/24000086</t>
  </si>
  <si>
    <t>SUNDARAM  FINANCE LTD</t>
  </si>
  <si>
    <t>MP09HC7167 - 800 - 2002</t>
  </si>
  <si>
    <t>70/452</t>
  </si>
  <si>
    <t>SARDAR PATEL MARG BARWANI DIST BARWANI</t>
  </si>
  <si>
    <t>MA3BNC72SRE810760</t>
  </si>
  <si>
    <t>EW7854743</t>
  </si>
  <si>
    <t>TVDM5049744</t>
  </si>
  <si>
    <t>OMPRAKASH YADAV (2457196393)</t>
  </si>
  <si>
    <t>DASHRATH JAMRE</t>
  </si>
  <si>
    <t>BXRPD1032L</t>
  </si>
  <si>
    <t>3/VSL/24000090</t>
  </si>
  <si>
    <t>BAR013</t>
  </si>
  <si>
    <t xml:space="preserve">SANTOSH YADAV </t>
  </si>
  <si>
    <t>92/474</t>
  </si>
  <si>
    <t>BILWANI RAJPUR DIST BARWANI</t>
  </si>
  <si>
    <t>MA3BNC72SRE817652</t>
  </si>
  <si>
    <t>EW7865814</t>
  </si>
  <si>
    <t>TVDM5070811</t>
  </si>
  <si>
    <t>DASHRATH JAMRE (2457307999)</t>
  </si>
  <si>
    <t>SANGITA PARIHAR</t>
  </si>
  <si>
    <t>IGGPP6029E</t>
  </si>
  <si>
    <t>3/VSL/24000089</t>
  </si>
  <si>
    <t>104/486</t>
  </si>
  <si>
    <t>UCHAWAD DIST BARWANI</t>
  </si>
  <si>
    <t>MA3BNC72SRE809282</t>
  </si>
  <si>
    <t>EW7872536</t>
  </si>
  <si>
    <t>TVDM5049741</t>
  </si>
  <si>
    <t>SANGITA PARIHAR (2457271948)</t>
  </si>
  <si>
    <t>VIKARAM SOLANKI</t>
  </si>
  <si>
    <t>SSLPS7671J</t>
  </si>
  <si>
    <t>3/VSL/24000091</t>
  </si>
  <si>
    <t>D41916</t>
  </si>
  <si>
    <t>117/499</t>
  </si>
  <si>
    <t>MAKAN NO 61 PATEL FALYA GRAM SINDHI POST GANDHAVAL DIST BARWANI</t>
  </si>
  <si>
    <t>MA3JDT08WRFD41916</t>
  </si>
  <si>
    <t>EW7878863</t>
  </si>
  <si>
    <t>TVDG4037271</t>
  </si>
  <si>
    <t>VIKARAM SOLANKI (2457349793)</t>
  </si>
  <si>
    <t>YUSUF HUSEN</t>
  </si>
  <si>
    <t>ADHPH0517R</t>
  </si>
  <si>
    <t>3/VSL/24000092</t>
  </si>
  <si>
    <t>D42979</t>
  </si>
  <si>
    <t>BAR0081</t>
  </si>
  <si>
    <t xml:space="preserve">SUMIT KUMAWAT </t>
  </si>
  <si>
    <t>126/508</t>
  </si>
  <si>
    <t>WARD NO 01 GULATI ROAD MANAWAR DIST DHAR</t>
  </si>
  <si>
    <t>MA3JDT08WRFD42979</t>
  </si>
  <si>
    <t>TVDG4037276</t>
  </si>
  <si>
    <t>YUSUF HUSEN (2457364819)</t>
  </si>
  <si>
    <t>KALU KIRADE</t>
  </si>
  <si>
    <t>OBLPK7753N</t>
  </si>
  <si>
    <t>3/VSL/24000093</t>
  </si>
  <si>
    <t>D41903</t>
  </si>
  <si>
    <t>128/510</t>
  </si>
  <si>
    <t>REHGUN BARWANI DIST BARWANI</t>
  </si>
  <si>
    <t>MA3JDT08WRFD41903</t>
  </si>
  <si>
    <t>TVDG4037279</t>
  </si>
  <si>
    <t>KALU KIRADE (2457396896)</t>
  </si>
  <si>
    <t>SHAILENDRA</t>
  </si>
  <si>
    <t>HJJPS9791F</t>
  </si>
  <si>
    <t>3/VSL/24000096</t>
  </si>
  <si>
    <t>B21073</t>
  </si>
  <si>
    <t>130/512</t>
  </si>
  <si>
    <t>ANJAD REVENUE AREA DIST BARWANI</t>
  </si>
  <si>
    <t>MA3JMTB1SRFB21073</t>
  </si>
  <si>
    <t>C599250</t>
  </si>
  <si>
    <t>EW7893543</t>
  </si>
  <si>
    <t>TVDM5083988</t>
  </si>
  <si>
    <t>SHAILENDRA (2457340756)</t>
  </si>
  <si>
    <t>RAKESH</t>
  </si>
  <si>
    <t>CCZPR8728P</t>
  </si>
  <si>
    <t>3/VSL/24000097</t>
  </si>
  <si>
    <t>D44389</t>
  </si>
  <si>
    <t>BANK OF BARODA</t>
  </si>
  <si>
    <t>160/542</t>
  </si>
  <si>
    <t>MAAL FALIYA GRAM KAALAKHET VTC BORARTA POST BOKRATA DIST BARWANI</t>
  </si>
  <si>
    <t>MA3JDT08WRFD44389</t>
  </si>
  <si>
    <t>TVDG4039599</t>
  </si>
  <si>
    <t>RAKESH (2457426963)</t>
  </si>
  <si>
    <t>POOJA SOLANKI</t>
  </si>
  <si>
    <t>FZZPS2847Q</t>
  </si>
  <si>
    <t>3/VSL/24000100</t>
  </si>
  <si>
    <t>166/548</t>
  </si>
  <si>
    <t>210 MADHUBAN COLONY WARD NO 8 BHAISARI DIST BARWANI</t>
  </si>
  <si>
    <t>MA3RYHK1SRC397863</t>
  </si>
  <si>
    <t>EW7902786</t>
  </si>
  <si>
    <t>TVDM4919217</t>
  </si>
  <si>
    <t>POOJA SOLANKI (2457514471)</t>
  </si>
  <si>
    <t>BURHANPUR-SALES</t>
  </si>
  <si>
    <t>GAURAV DIGAMBAR PATIL</t>
  </si>
  <si>
    <t>FOZPP5771P</t>
  </si>
  <si>
    <t>JALGAON</t>
  </si>
  <si>
    <t>5/VSL/24000086</t>
  </si>
  <si>
    <t>BUR006</t>
  </si>
  <si>
    <t xml:space="preserve">VINOD RATHOD </t>
  </si>
  <si>
    <t>3/385</t>
  </si>
  <si>
    <t>TA RAVAER BHATKHEDE KHIRODA DIST JALGAON</t>
  </si>
  <si>
    <t>MA3BNC62SRE807622</t>
  </si>
  <si>
    <t>EW7820143</t>
  </si>
  <si>
    <t>TVDM5026118</t>
  </si>
  <si>
    <t>GAURAV DIGAMBAR PATIL (2457108270)</t>
  </si>
  <si>
    <t>VIVEK HIRALAL PATIL</t>
  </si>
  <si>
    <t>BZBPP8983Q</t>
  </si>
  <si>
    <t>5/VSL/24000085</t>
  </si>
  <si>
    <t>D29428</t>
  </si>
  <si>
    <t>SARASWAT CO-OPERATIVE BANK LTD</t>
  </si>
  <si>
    <t>BUR167</t>
  </si>
  <si>
    <t xml:space="preserve">NIKHIL CHOUHAN </t>
  </si>
  <si>
    <t>2/384</t>
  </si>
  <si>
    <t>MU.SONALA POST. PALDHI;JALGAON JALGAON</t>
  </si>
  <si>
    <t>MA3JDT08WRED29428</t>
  </si>
  <si>
    <t>TVDG4007846</t>
  </si>
  <si>
    <t>VIVEK HIRALAL PATIL (2457074959)</t>
  </si>
  <si>
    <t>PRANEL NINA CHAVARE</t>
  </si>
  <si>
    <t>CLZPC2247M</t>
  </si>
  <si>
    <t>5/VSL/24000080</t>
  </si>
  <si>
    <t>D34135</t>
  </si>
  <si>
    <t>17/399</t>
  </si>
  <si>
    <t>KOLHADI TAL BODWAD JALGAON</t>
  </si>
  <si>
    <t>MA3JDT08WRED34135</t>
  </si>
  <si>
    <t>TVDG4019159</t>
  </si>
  <si>
    <t>PRANEL NINA CHAVARE (2457032845)</t>
  </si>
  <si>
    <t>KUNDAN</t>
  </si>
  <si>
    <t>OKDPK4061A</t>
  </si>
  <si>
    <t>BURHANPUR</t>
  </si>
  <si>
    <t>5/VSL/24000088</t>
  </si>
  <si>
    <t>D35123</t>
  </si>
  <si>
    <t>SK FINANCE LIMITED</t>
  </si>
  <si>
    <t>MP11BC1058 - OMNI - 2017</t>
  </si>
  <si>
    <t xml:space="preserve">BAD168 RAKESH  </t>
  </si>
  <si>
    <t>BUR098</t>
  </si>
  <si>
    <t xml:space="preserve">ANIL VAMANRAO </t>
  </si>
  <si>
    <t>22/404</t>
  </si>
  <si>
    <t>MAKAN NO.25 MANJROD KALA TEH.KHAKNAR DIST.BURHANPUR</t>
  </si>
  <si>
    <t>MA3JDT08WRED35123</t>
  </si>
  <si>
    <t>EW7830295</t>
  </si>
  <si>
    <t>TVDG4021895</t>
  </si>
  <si>
    <t>KUNDAN (2457152585)</t>
  </si>
  <si>
    <t>VINAYAK VISHWANATH MALI</t>
  </si>
  <si>
    <t>CKTPM1641Q</t>
  </si>
  <si>
    <t>5/VSL/24000089</t>
  </si>
  <si>
    <t>A95626</t>
  </si>
  <si>
    <t>MARUTI WAGON R ZXI+ 1.2L ISS 5MT</t>
  </si>
  <si>
    <t>32/414</t>
  </si>
  <si>
    <t>A/P MALI GALI TAL-JAMNER C/O PRASHIK MOTOR D SCHOOL JAMNER DIST.JALGAON</t>
  </si>
  <si>
    <t>MA3JMTC1SRDA95626</t>
  </si>
  <si>
    <t>TVDM5026124</t>
  </si>
  <si>
    <t>VINAYAK VISHWANATH MALI (2457092974)</t>
  </si>
  <si>
    <t>NITIN CHHOTU HIRE</t>
  </si>
  <si>
    <t>AVKPH6338P</t>
  </si>
  <si>
    <t>5/VSL/24000091</t>
  </si>
  <si>
    <t>D35700</t>
  </si>
  <si>
    <t>46/428</t>
  </si>
  <si>
    <t>MAKAN NO 108 WARD NO 11 SHAHPUR TEH DIST BURHANPUR</t>
  </si>
  <si>
    <t>MA3JDT08WRED35700</t>
  </si>
  <si>
    <t>EW7839096</t>
  </si>
  <si>
    <t>TVDG4021898</t>
  </si>
  <si>
    <t>NITIN CHHOTU HIRE (2457116325)</t>
  </si>
  <si>
    <t>CHETAN PAWAR</t>
  </si>
  <si>
    <t>FLLPP5243N</t>
  </si>
  <si>
    <t>5/VSL/24000090</t>
  </si>
  <si>
    <t>NEW CELERIO</t>
  </si>
  <si>
    <t>MARUTI CELERIO ZXI+ 1L ISS 5MT</t>
  </si>
  <si>
    <t>BUR021</t>
  </si>
  <si>
    <t xml:space="preserve">RANJEET BHAGAT </t>
  </si>
  <si>
    <t>BUR036</t>
  </si>
  <si>
    <t xml:space="preserve">ASHISH MOURYA </t>
  </si>
  <si>
    <t>34/416</t>
  </si>
  <si>
    <t>H NO 1048 WARD N 20; NEAR BIRIDA FAATA VIILL- LONI BURHANPUR DIST BURHANPUR</t>
  </si>
  <si>
    <t>MA3TFC62SRC286788</t>
  </si>
  <si>
    <t>C556158</t>
  </si>
  <si>
    <t>TVDM4953764</t>
  </si>
  <si>
    <t>CHETAN PAWAR (2457123112)</t>
  </si>
  <si>
    <t>YOGESH PUNJAJI CHAWARE</t>
  </si>
  <si>
    <t>BXAPC2839P</t>
  </si>
  <si>
    <t>5/VSL/24000093</t>
  </si>
  <si>
    <t>53/435</t>
  </si>
  <si>
    <t>AT PO KOLHADI TO A BADWAD KOLHADI BODWAD DIST JALGAON</t>
  </si>
  <si>
    <t>MA3CZFB3SRE892711</t>
  </si>
  <si>
    <t>TVDM5025165</t>
  </si>
  <si>
    <t>YOGESH PUNJAJI CHAWARE (2457226359)</t>
  </si>
  <si>
    <t>KETAN KKATKAR</t>
  </si>
  <si>
    <t>JDZPK6514C</t>
  </si>
  <si>
    <t>5/VSL/24000094</t>
  </si>
  <si>
    <t>B08360</t>
  </si>
  <si>
    <t>MH28V2923 - SWIFTVDI</t>
  </si>
  <si>
    <t>60/442</t>
  </si>
  <si>
    <t>MAKAN N 75; WARD NO 01 TEH KHAKNAR POST MAANJROD KALA DIST BURHANPUR</t>
  </si>
  <si>
    <t>MA3JMTB1SREB08360</t>
  </si>
  <si>
    <t>F006797</t>
  </si>
  <si>
    <t>TVDM5023544</t>
  </si>
  <si>
    <t>KETAN KKATKAR (2457095075)</t>
  </si>
  <si>
    <t>CHINTAMAN BHASKAR PATIL</t>
  </si>
  <si>
    <t>CZTPP5435J</t>
  </si>
  <si>
    <t>5/VSL/24000097</t>
  </si>
  <si>
    <t>A92301</t>
  </si>
  <si>
    <t>65/447</t>
  </si>
  <si>
    <t>HUTNUR VARANGAON ORD FECTORY JALGAON DIST JALGAON</t>
  </si>
  <si>
    <t>MA3JMTB1SRDA92301</t>
  </si>
  <si>
    <t>C566926</t>
  </si>
  <si>
    <t>TVDM4962419</t>
  </si>
  <si>
    <t>CHINTAMAN BHASKAR PATIL (2457267175)</t>
  </si>
  <si>
    <t>VYASTI TOURS AND TRAVELS</t>
  </si>
  <si>
    <t>AJQPJ2764F</t>
  </si>
  <si>
    <t>PUNE</t>
  </si>
  <si>
    <t>5/VSL/24000098</t>
  </si>
  <si>
    <t>67/449</t>
  </si>
  <si>
    <t>PRATIK TINGRE NIWAS MUNJABA WASTI SOYAL SUPER SHOPEE DHANORI DHANORI HAVEL PUNE</t>
  </si>
  <si>
    <t>MA3BNC62SRE815104</t>
  </si>
  <si>
    <t>EW7853594</t>
  </si>
  <si>
    <t>TVDM5045222</t>
  </si>
  <si>
    <t>VYASTI TOURS AND TRAVELS (2457270588)</t>
  </si>
  <si>
    <t>HEENA DEVI JOSHI</t>
  </si>
  <si>
    <t>AGIPJ0122E</t>
  </si>
  <si>
    <t>5/VSL/24000099</t>
  </si>
  <si>
    <t>74/456</t>
  </si>
  <si>
    <t>MAKAN NO.A-66 WARD NO.41 INDIRA COLONY BURHANPUR</t>
  </si>
  <si>
    <t>MA3BNC72SRE804358</t>
  </si>
  <si>
    <t>EW7856446</t>
  </si>
  <si>
    <t>TVDM5016936</t>
  </si>
  <si>
    <t>HEENA DEVI JOSHI (2457260461)</t>
  </si>
  <si>
    <t>CHETAN DINKAR PATIL</t>
  </si>
  <si>
    <t>EJOPP8897P</t>
  </si>
  <si>
    <t>5/VSL/24000096</t>
  </si>
  <si>
    <t>MARUTI TOUR S CNG 1.2L 5MT</t>
  </si>
  <si>
    <t>73/455</t>
  </si>
  <si>
    <t>BEHIND TRIMURTI HOTEL NEW NIMBHORA BK. TA. BHUSAWAL</t>
  </si>
  <si>
    <t>MBHCZFB3SRE571192</t>
  </si>
  <si>
    <t>EW7856199</t>
  </si>
  <si>
    <t>TVDH3832507</t>
  </si>
  <si>
    <t>CHETAN DINKAR PATIL (2457259089)</t>
  </si>
  <si>
    <t>AAI TOURS AND TRAVELS</t>
  </si>
  <si>
    <t>LHTPS8258K</t>
  </si>
  <si>
    <t>5/VSL/24000102</t>
  </si>
  <si>
    <t>87/469</t>
  </si>
  <si>
    <t>S-N 120 ROAD BEHIND TANISH SAI KUNJ CHARHOLI BUDRUK PUNE PIMPRI CHINCHAVAD</t>
  </si>
  <si>
    <t>MA3BNC62SRE810722</t>
  </si>
  <si>
    <t>TVDM5035131</t>
  </si>
  <si>
    <t>AAI TOURS AND TRAVELS (2457334672)</t>
  </si>
  <si>
    <t>DAMODAR KHANDELWAL</t>
  </si>
  <si>
    <t>ACVPK2415Q</t>
  </si>
  <si>
    <t>23ACVPK2415Q1Z4</t>
  </si>
  <si>
    <t>5/VSL/24000101</t>
  </si>
  <si>
    <t>B00514</t>
  </si>
  <si>
    <t>ICICI BANK LIMITED</t>
  </si>
  <si>
    <t>91/473</t>
  </si>
  <si>
    <t>08;WARD NUMBER 38; DATTRATRAY NAGAR BEHIND;NIMAR HOSPITAL RASTIPURA BURHANPUR</t>
  </si>
  <si>
    <t>MA3JMTC1SRDB00514</t>
  </si>
  <si>
    <t>TVDM4989129</t>
  </si>
  <si>
    <t>DAMODAR KHANDELWAL (2457267749)</t>
  </si>
  <si>
    <t>SHAIKH IMRAN SHAIKH LAL PINJARI</t>
  </si>
  <si>
    <t>DNQPP6630F</t>
  </si>
  <si>
    <t>5/VSL/24000095</t>
  </si>
  <si>
    <t>97/479</t>
  </si>
  <si>
    <t>26;K.G.N COLONY ADAWAD TALUKA CHOPDA ADVAD PO. ADAVAD DIST.JALGAON</t>
  </si>
  <si>
    <t>MA3BNC72SRF820661</t>
  </si>
  <si>
    <t>EW7868522</t>
  </si>
  <si>
    <t>TVDM5073124</t>
  </si>
  <si>
    <t>SHAIKH IMRAN SHAIKH LAL PINJARI (2457162056)</t>
  </si>
  <si>
    <t>RAJESH BARI</t>
  </si>
  <si>
    <t>EHZPB8681L</t>
  </si>
  <si>
    <t>5/VSL/24000103</t>
  </si>
  <si>
    <t>INDIAN BANK</t>
  </si>
  <si>
    <t>BUR141</t>
  </si>
  <si>
    <t xml:space="preserve">BHAGVAN DHANGAR </t>
  </si>
  <si>
    <t>96/478</t>
  </si>
  <si>
    <t>MAKAN NO 15 WARD NO 03 PHE OFFICE KE PICHE SHIKARPURA BURHANPUR DIST BURHANPUR</t>
  </si>
  <si>
    <t>MA3BNC72SRF821631</t>
  </si>
  <si>
    <t>EW7867765</t>
  </si>
  <si>
    <t>TVDM5073154</t>
  </si>
  <si>
    <t>RAJESH BARI (2457261497)</t>
  </si>
  <si>
    <t>SACHIN JADE</t>
  </si>
  <si>
    <t>AXPPJ4489H</t>
  </si>
  <si>
    <t>5/VSL/24000104</t>
  </si>
  <si>
    <t>MARUTI SWIFT LXI 1.2L ISS 5MT</t>
  </si>
  <si>
    <t>101/483</t>
  </si>
  <si>
    <t>WARD NAMBER 07 TILAK WARD BURHANPUR DIST.BURHANPUR</t>
  </si>
  <si>
    <t>MBHZCDESKRD101072</t>
  </si>
  <si>
    <t>EW7869351</t>
  </si>
  <si>
    <t>TVDH3825852</t>
  </si>
  <si>
    <t>SACHIN JADE (2457319048)</t>
  </si>
  <si>
    <t>YASH RAVINDRA AGRAWAL</t>
  </si>
  <si>
    <t>DKJPA7111G</t>
  </si>
  <si>
    <t>5/VSL/24000105</t>
  </si>
  <si>
    <t>D42961</t>
  </si>
  <si>
    <t>IDBI BANK  LTD.</t>
  </si>
  <si>
    <t>109/491</t>
  </si>
  <si>
    <t>7;VIDYA NAGAR TAL RAVER;VIVRA JALGAON</t>
  </si>
  <si>
    <t>MA3JDT08WRFD42961</t>
  </si>
  <si>
    <t>EW7872698</t>
  </si>
  <si>
    <t>TVDG4037188</t>
  </si>
  <si>
    <t>YASH RAVINDRA AGRAWAL (2457364173)</t>
  </si>
  <si>
    <t>NARENDRA RAJENDRA SONAR</t>
  </si>
  <si>
    <t>HRRPS5693J</t>
  </si>
  <si>
    <t>5/VSL/24000106</t>
  </si>
  <si>
    <t>CENTRAL BANK OF INDIA</t>
  </si>
  <si>
    <t>127/509</t>
  </si>
  <si>
    <t>340 VANJARI GALIL ERANDOL GANDHI PURA ERANDOL JALGAON</t>
  </si>
  <si>
    <t>MA3BNC62SRF825086</t>
  </si>
  <si>
    <t>TVDM5082430</t>
  </si>
  <si>
    <t>NARENDRA RAJENDRA SONAR (2457354576)</t>
  </si>
  <si>
    <t>AAKASH</t>
  </si>
  <si>
    <t>DXSPA2669P</t>
  </si>
  <si>
    <t>5/VSL/24000110</t>
  </si>
  <si>
    <t>MP68C3475 - ALTO800LXI - 2021</t>
  </si>
  <si>
    <t xml:space="preserve">ARBUR19 AJAY SALUNKE </t>
  </si>
  <si>
    <t>137/519</t>
  </si>
  <si>
    <t>TEHSIL KHAKNAR KALA KHAKNAR DIST BURHNPUR</t>
  </si>
  <si>
    <t>MA3SFM61SRD285647</t>
  </si>
  <si>
    <t>EW7887478</t>
  </si>
  <si>
    <t>TVDG4024310</t>
  </si>
  <si>
    <t>AAKASH (2457418716)</t>
  </si>
  <si>
    <t>SURESH SOPAN NEWAL</t>
  </si>
  <si>
    <t>CCZPN0187N</t>
  </si>
  <si>
    <t>5/VSL/24000111</t>
  </si>
  <si>
    <t>D42001</t>
  </si>
  <si>
    <t>145/527</t>
  </si>
  <si>
    <t>AT PO.KOLHADI TA.BODWAD JALGAON</t>
  </si>
  <si>
    <t>MA3JDT08WRFD42001</t>
  </si>
  <si>
    <t>TVDG4037268</t>
  </si>
  <si>
    <t>SURESH SOPAN NEWAL (2457446171)</t>
  </si>
  <si>
    <t>RAJESH SUDHAKARRAO SONONE</t>
  </si>
  <si>
    <t>BNRPS9336Q</t>
  </si>
  <si>
    <t>5/VSL/24000112</t>
  </si>
  <si>
    <t>BUR20</t>
  </si>
  <si>
    <t xml:space="preserve">DEVENDRA GOSAVI </t>
  </si>
  <si>
    <t>146/528</t>
  </si>
  <si>
    <t>VARANGAON DIST JALGAON</t>
  </si>
  <si>
    <t>MA3BNC62SRF825835</t>
  </si>
  <si>
    <t>EW7892763</t>
  </si>
  <si>
    <t>TVDM5082432</t>
  </si>
  <si>
    <t>RAJESH SUDHAKARRAO SONONE (2457056848)</t>
  </si>
  <si>
    <t>ANIKET MOHANLAL JAISWAL</t>
  </si>
  <si>
    <t>BDFPJ8059M</t>
  </si>
  <si>
    <t>5/VSL/24000114</t>
  </si>
  <si>
    <t>165/547</t>
  </si>
  <si>
    <t>AT POST KURHA TALUKA MUKTAINAGAR KURHE JALGAONE</t>
  </si>
  <si>
    <t>MA3BNC72SRF825778</t>
  </si>
  <si>
    <t>EW7902570</t>
  </si>
  <si>
    <t>TVDM5082434</t>
  </si>
  <si>
    <t>ANIKET MOHANLAL JAISWAL (2457512838)</t>
  </si>
  <si>
    <t>ARUN KAPADE</t>
  </si>
  <si>
    <t>DMYPK3973D</t>
  </si>
  <si>
    <t>5/VSL/24000116</t>
  </si>
  <si>
    <t>170/552</t>
  </si>
  <si>
    <t>H N- 524/2 WARD NO 09 PHOPNAR DIST BURHANPUR</t>
  </si>
  <si>
    <t>MA3SFM61SRB264994</t>
  </si>
  <si>
    <t>TVDG3932793</t>
  </si>
  <si>
    <t>ARUN KAPADE (2457515852)</t>
  </si>
  <si>
    <t>CHHANERA</t>
  </si>
  <si>
    <t>DHIRAJ KUSHWAH</t>
  </si>
  <si>
    <t>BGWPD4748K</t>
  </si>
  <si>
    <t>HARDA</t>
  </si>
  <si>
    <t>23/VSL/24000018</t>
  </si>
  <si>
    <t>D21388</t>
  </si>
  <si>
    <t>KNW00207</t>
  </si>
  <si>
    <t xml:space="preserve">SANJAY SINGH GOUTAM </t>
  </si>
  <si>
    <t>BUR086</t>
  </si>
  <si>
    <t xml:space="preserve">RAJESH MASANI </t>
  </si>
  <si>
    <t>11/393</t>
  </si>
  <si>
    <t>KHEDIPURA KHIRKIYA HARDA HARDA</t>
  </si>
  <si>
    <t>MA3JDT08WRDD21388</t>
  </si>
  <si>
    <t>TVDG3989195</t>
  </si>
  <si>
    <t>DHIRAJ KUSHWAH (2457114448)</t>
  </si>
  <si>
    <t>SADHANA TAYADE</t>
  </si>
  <si>
    <t>DXIPS8455M</t>
  </si>
  <si>
    <t>23/VSL/24000019</t>
  </si>
  <si>
    <t>ARCHN02</t>
  </si>
  <si>
    <t xml:space="preserve">NAGEEN MEENA </t>
  </si>
  <si>
    <t>30/412</t>
  </si>
  <si>
    <t>MAKAN N 606 WARD N-19 POST GRAM KHARKALAN TEH KHALWA DIST KHANDWA</t>
  </si>
  <si>
    <t>MA3RYHK1SRA362662</t>
  </si>
  <si>
    <t>TVDM4769698</t>
  </si>
  <si>
    <t>SADHANA TAYADE (2457124505)</t>
  </si>
  <si>
    <t>SHIVNARAYAN LOKRE</t>
  </si>
  <si>
    <t>FOXPS9663P</t>
  </si>
  <si>
    <t>23/VSL/24000020</t>
  </si>
  <si>
    <t>S-PRESSO</t>
  </si>
  <si>
    <t>MARUTI S-PRESSO VXI+ 1L ISS 5MT</t>
  </si>
  <si>
    <t>72/454</t>
  </si>
  <si>
    <t>INDRA COLONY WARD NO.1 TIMARNI TIMARNI DIST HARDA</t>
  </si>
  <si>
    <t>MA3RFL61SRD501203</t>
  </si>
  <si>
    <t>F003132</t>
  </si>
  <si>
    <t>TVDM4989127</t>
  </si>
  <si>
    <t>SHIVNARAYAN LOKRE (2457246069)</t>
  </si>
  <si>
    <t>PRAKASH KUMAR</t>
  </si>
  <si>
    <t>ORMPK8449C</t>
  </si>
  <si>
    <t>23/VSL/24000021</t>
  </si>
  <si>
    <t>D15603</t>
  </si>
  <si>
    <t xml:space="preserve">MAHESH MOURYA </t>
  </si>
  <si>
    <t>81/463</t>
  </si>
  <si>
    <t>JALGAON ROAD OMSHANTI COMPLEX ITI COLONY IN FRONT; JAMNER;DIST.JALGAON</t>
  </si>
  <si>
    <t>MA3JDT08WRDD15603</t>
  </si>
  <si>
    <t>TVDG3978197</t>
  </si>
  <si>
    <t>PRAKASH KUMAR (2456962651)</t>
  </si>
  <si>
    <t>BHAGVAT SHRIKRUSHAN WAGH</t>
  </si>
  <si>
    <t>ABUPW0220H</t>
  </si>
  <si>
    <t>BULDHANA</t>
  </si>
  <si>
    <t>23/VSL/24000023</t>
  </si>
  <si>
    <t>D43048</t>
  </si>
  <si>
    <t>148/530</t>
  </si>
  <si>
    <t>BORALA KHURD BULDHANA BULDHANA</t>
  </si>
  <si>
    <t>MA3JDT08WRFD43048</t>
  </si>
  <si>
    <t>TVDG4039596</t>
  </si>
  <si>
    <t>BHAGVAT SHRIKRUSHAN WAGH (2457450869)</t>
  </si>
  <si>
    <t>RAVINDRA SINGH CHOUHAN</t>
  </si>
  <si>
    <t>BSPPC8084G</t>
  </si>
  <si>
    <t>23/VSL/24000026</t>
  </si>
  <si>
    <t>B15940</t>
  </si>
  <si>
    <t>167/549</t>
  </si>
  <si>
    <t>GRAM SIBAR SIBAR GOGAWNA MOHAMMADPUR DIST KHARGONE</t>
  </si>
  <si>
    <t>MA3JMTB1SREB15940</t>
  </si>
  <si>
    <t>C592785</t>
  </si>
  <si>
    <t>EW7906665</t>
  </si>
  <si>
    <t>TVDM5062480</t>
  </si>
  <si>
    <t>RAVINDRA SINGH CHOUHAN (2457513825)</t>
  </si>
  <si>
    <t>KHANDWA-SALES</t>
  </si>
  <si>
    <t>SADHNA SHARMA</t>
  </si>
  <si>
    <t>AHCPS5114J</t>
  </si>
  <si>
    <t>11/VSL/24000077</t>
  </si>
  <si>
    <t>MARUTI BREZZA LXI 1.5L 5MT</t>
  </si>
  <si>
    <t>KDW0081</t>
  </si>
  <si>
    <t xml:space="preserve">KRISHNA KASYAP </t>
  </si>
  <si>
    <t>5/387</t>
  </si>
  <si>
    <t>HOUSE NO.77;GRAND LODGE SAMNE WARD NO.50;ANAND NAGAR KHANDWA</t>
  </si>
  <si>
    <t>MA3RYHK1SRD414857</t>
  </si>
  <si>
    <t>EW7821995</t>
  </si>
  <si>
    <t>TVDM4996753</t>
  </si>
  <si>
    <t>SADHNA SHARMA (2456891497)</t>
  </si>
  <si>
    <t>BABULAL JAMRE</t>
  </si>
  <si>
    <t>BIRPJ3175P</t>
  </si>
  <si>
    <t>11/VSL/24000080</t>
  </si>
  <si>
    <t>D29929</t>
  </si>
  <si>
    <t>15/397</t>
  </si>
  <si>
    <t>GRAM GULAYI VANGRAM GULAYI MAL TEH KHALWA DIST KHANDWA</t>
  </si>
  <si>
    <t>MA3JDT08WRED29929</t>
  </si>
  <si>
    <t>EW7824415</t>
  </si>
  <si>
    <t>TVDG4010167</t>
  </si>
  <si>
    <t>BABULAL JAMRE (2457106693)</t>
  </si>
  <si>
    <t>RAMESH PATIL</t>
  </si>
  <si>
    <t>ABZPP3898H</t>
  </si>
  <si>
    <t>11/VSL/24000079</t>
  </si>
  <si>
    <t>MP12CA1532 - SANTROGLS - 2010</t>
  </si>
  <si>
    <t xml:space="preserve">KNW12 RAKESH NIMBEKAR </t>
  </si>
  <si>
    <t>KDW0023</t>
  </si>
  <si>
    <t xml:space="preserve">HARISH PATIDAR </t>
  </si>
  <si>
    <t>43/425</t>
  </si>
  <si>
    <t>ANMOL VIHAR SECTOR-2 JASWADI ROAD KHANDWA</t>
  </si>
  <si>
    <t>MBHZCDESKRE114747</t>
  </si>
  <si>
    <t>EW7837984</t>
  </si>
  <si>
    <t>TVDH3861585</t>
  </si>
  <si>
    <t>RAMESH PATIL (2456657723)</t>
  </si>
  <si>
    <t>SAGAR SOLANKI</t>
  </si>
  <si>
    <t>DQCPS9529F</t>
  </si>
  <si>
    <t>11/VSL/24000082</t>
  </si>
  <si>
    <t>45/427</t>
  </si>
  <si>
    <t>I-80/1 PWD COLONY CIVIL LINE KHANDWA DIST KHANDWA</t>
  </si>
  <si>
    <t>MA3BNC72SRE801830</t>
  </si>
  <si>
    <t>EW7838308</t>
  </si>
  <si>
    <t>TVDM5007272</t>
  </si>
  <si>
    <t>SAGAR SOLANKI (2457112437)</t>
  </si>
  <si>
    <t>SHANTILAL YADAV</t>
  </si>
  <si>
    <t>ADWPY1092K</t>
  </si>
  <si>
    <t>11/VSL/24000084</t>
  </si>
  <si>
    <t xml:space="preserve">ABHISHEK UPADHYAY </t>
  </si>
  <si>
    <t>48/430</t>
  </si>
  <si>
    <t>MAKAN NUMBER-16; CHAMPA NAGAR SINGOT DIST KHANDWA</t>
  </si>
  <si>
    <t>MA3BNC72SRE809984</t>
  </si>
  <si>
    <t>EW7839284</t>
  </si>
  <si>
    <t>TVDM5049746</t>
  </si>
  <si>
    <t>SHANTILAL YADAV (2457200846)</t>
  </si>
  <si>
    <t>GOVIND CHAWADA</t>
  </si>
  <si>
    <t>BYAPC9290F</t>
  </si>
  <si>
    <t>11/VSL/24000081</t>
  </si>
  <si>
    <t>D34071</t>
  </si>
  <si>
    <t>KDW87</t>
  </si>
  <si>
    <t xml:space="preserve">MILAN MOURYA </t>
  </si>
  <si>
    <t>36/418</t>
  </si>
  <si>
    <t>MAKAN N 273 WARD N 17 PANALI TEMI KALA VTC TEMI KALA DIST KHANDWA</t>
  </si>
  <si>
    <t>MA3JDT08WRED34071</t>
  </si>
  <si>
    <t>TVDG4019918</t>
  </si>
  <si>
    <t>GOVIND CHAWADA (2457158065)</t>
  </si>
  <si>
    <t>SANTOSH ATUTE</t>
  </si>
  <si>
    <t>BTSPA2453F</t>
  </si>
  <si>
    <t>11/VSL/24000085</t>
  </si>
  <si>
    <t>A90212</t>
  </si>
  <si>
    <t>49/431</t>
  </si>
  <si>
    <t>GRAM/POST SIHADA TEH DIST KHANDWA</t>
  </si>
  <si>
    <t>MA3JMTB1SRDA90212</t>
  </si>
  <si>
    <t>C559469</t>
  </si>
  <si>
    <t>TVDM4958508</t>
  </si>
  <si>
    <t>SANTOSH ATUTE (2457204629)</t>
  </si>
  <si>
    <t>PRAMOD BHARGAV</t>
  </si>
  <si>
    <t>BCBPB3451Q</t>
  </si>
  <si>
    <t>11/VSL/24000086</t>
  </si>
  <si>
    <t>B01697</t>
  </si>
  <si>
    <t>57/439</t>
  </si>
  <si>
    <t>19 MAYUR VIHAR COLONY AMEDKAR WARD KHANDWA DIST KHANDWA</t>
  </si>
  <si>
    <t>MA3JMTB1SREB01697</t>
  </si>
  <si>
    <t>F005144</t>
  </si>
  <si>
    <t>EW7846149</t>
  </si>
  <si>
    <t>TVDM4996754</t>
  </si>
  <si>
    <t>PRAMOD BHARGAV (2457232956)</t>
  </si>
  <si>
    <t>PRACHI SHARMA</t>
  </si>
  <si>
    <t>KPGPS3890H</t>
  </si>
  <si>
    <t>11/VSL/24000089</t>
  </si>
  <si>
    <t>B00167</t>
  </si>
  <si>
    <t>64/446</t>
  </si>
  <si>
    <t>L-43 KISHORE NAGAR NEAR HANUMAN MANDIR KHANDWA DIST KHANDWA</t>
  </si>
  <si>
    <t>MA3JMTB1SRDB00167</t>
  </si>
  <si>
    <t>C574841</t>
  </si>
  <si>
    <t>EW7853100</t>
  </si>
  <si>
    <t>TVDM4989123</t>
  </si>
  <si>
    <t>PRACHI SHARMA (2457239684)</t>
  </si>
  <si>
    <t>SUNIL BARDE</t>
  </si>
  <si>
    <t>EQJPB2531N</t>
  </si>
  <si>
    <t>11/VSL/24000087</t>
  </si>
  <si>
    <t>MARUTI DZIRE LXI 1.2L 5MT</t>
  </si>
  <si>
    <t>SPLENDID SILVER</t>
  </si>
  <si>
    <t>KNW20</t>
  </si>
  <si>
    <t xml:space="preserve">SANDEEP RAIKWAR </t>
  </si>
  <si>
    <t>62/444</t>
  </si>
  <si>
    <t>333 SANTOSHI MATA MOHALLA NAGAR LOKMANEY TILAK WARD NO.30 KHANDWA</t>
  </si>
  <si>
    <t>MA3CZFB3SRE894893</t>
  </si>
  <si>
    <t>EW7851256</t>
  </si>
  <si>
    <t>TVDM5041596</t>
  </si>
  <si>
    <t>SUNIL BARDE (2457124271)</t>
  </si>
  <si>
    <t>AMAR ATRE</t>
  </si>
  <si>
    <t>FRTPA5766B</t>
  </si>
  <si>
    <t>11/VSL/24000092</t>
  </si>
  <si>
    <t>MP12CA9038 - ALTOLXI</t>
  </si>
  <si>
    <t>69/451</t>
  </si>
  <si>
    <t>CHAMPANAGAR VTC BAIDIYAW P-JAWADI DIST KHANDWA</t>
  </si>
  <si>
    <t>MA3RFL61SRE505547</t>
  </si>
  <si>
    <t>F003831</t>
  </si>
  <si>
    <t>EW7854630</t>
  </si>
  <si>
    <t>TVDM5040708</t>
  </si>
  <si>
    <t>AMAR ATRE (2457262724)</t>
  </si>
  <si>
    <t>RUPESH KUMAR CHOUKIKAR</t>
  </si>
  <si>
    <t>BEQPC1709B</t>
  </si>
  <si>
    <t>BETUL</t>
  </si>
  <si>
    <t>11/VSL/24000091</t>
  </si>
  <si>
    <t>MARUTI ERTIGA SMART HYBRID ZXI+ 1.5L 5MT</t>
  </si>
  <si>
    <t>MIDNIGHT BLACK</t>
  </si>
  <si>
    <t>68/450</t>
  </si>
  <si>
    <t>JAKIR HUSSAIN WARD 24 BETUL BETUL</t>
  </si>
  <si>
    <t>MA3BNC72SRD790285</t>
  </si>
  <si>
    <t>TVDM4958502</t>
  </si>
  <si>
    <t>RUPESH KUMAR CHOUKIKAR (2457186556)</t>
  </si>
  <si>
    <t>KAMLESH PATIL</t>
  </si>
  <si>
    <t>DJDPK6982E</t>
  </si>
  <si>
    <t>11/VSL/24000093</t>
  </si>
  <si>
    <t>MARUTI BREZZA VXI CNG 1.5L 5MT</t>
  </si>
  <si>
    <t>MP51CA1151 - GRANDI10 - 2015</t>
  </si>
  <si>
    <t>90/472</t>
  </si>
  <si>
    <t>MAKAN NO. 151/2 WARD NO.09 RAILWAY GATE KE PASS DEVALI MAFI KHANDWA DIST KHANDWA</t>
  </si>
  <si>
    <t>MA3RYHK1SRE430000</t>
  </si>
  <si>
    <t>EW7865318</t>
  </si>
  <si>
    <t>TVDM5042315</t>
  </si>
  <si>
    <t>KAMLESH PATIL (2457320774)</t>
  </si>
  <si>
    <t>VIJAY KUMAR PURWAY</t>
  </si>
  <si>
    <t>AJBPP6397D</t>
  </si>
  <si>
    <t>11/VSL/24000094</t>
  </si>
  <si>
    <t>89/471</t>
  </si>
  <si>
    <t>CHANDAR VILLA BHAWANI MATA RAOD BHAWANI MATA WARD NO 25 ANJNI TALKES KE SAMNE KHANDWA</t>
  </si>
  <si>
    <t>MA3RYHK1SRE422994</t>
  </si>
  <si>
    <t>EW7865569</t>
  </si>
  <si>
    <t>TVDM5035135</t>
  </si>
  <si>
    <t>VIJAY KUMAR PURWAY (2457190449)</t>
  </si>
  <si>
    <t>BAKUL VERMA</t>
  </si>
  <si>
    <t>ARHPV7740C</t>
  </si>
  <si>
    <t>11/VSL/24000090</t>
  </si>
  <si>
    <t>KNW150</t>
  </si>
  <si>
    <t xml:space="preserve">ANKIT TIROLE </t>
  </si>
  <si>
    <t>95/477</t>
  </si>
  <si>
    <t>MAKAN N-171/2;WARD N-50 ANAND NAGAR GALI N-2 KHANDWA</t>
  </si>
  <si>
    <t>MA3BNC72SRE809659</t>
  </si>
  <si>
    <t>EW7867509</t>
  </si>
  <si>
    <t>TVDM5049745</t>
  </si>
  <si>
    <t>BAKUL VERMA (2457268993)</t>
  </si>
  <si>
    <t>MOHANLAL SAINI</t>
  </si>
  <si>
    <t>BRXPS4119R</t>
  </si>
  <si>
    <t>23BRXPS4119R1ZR</t>
  </si>
  <si>
    <t>11/VSL/24000097</t>
  </si>
  <si>
    <t>D42881</t>
  </si>
  <si>
    <t>103/485</t>
  </si>
  <si>
    <t>507/9 SINGOT POST.SINGOT TEH.KHANDWA DIST.KHANDWA</t>
  </si>
  <si>
    <t>MA3JDT08WRFD42881</t>
  </si>
  <si>
    <t>EW7872984</t>
  </si>
  <si>
    <t>TVDG4037273</t>
  </si>
  <si>
    <t>MOHANLAL SAINI (2457336584)</t>
  </si>
  <si>
    <t>ARCHANA NIGOLE</t>
  </si>
  <si>
    <t>BLQPA2996D</t>
  </si>
  <si>
    <t>11/VSL/24000096</t>
  </si>
  <si>
    <t>D30626</t>
  </si>
  <si>
    <t>MP09ZE1574 - EECO5STRAC - 2022</t>
  </si>
  <si>
    <t>106/488</t>
  </si>
  <si>
    <t>28-KAVERI VIHAR KHANDW DIST.KHANDWA</t>
  </si>
  <si>
    <t>MA3JDT08WRED30626</t>
  </si>
  <si>
    <t>EW7872838</t>
  </si>
  <si>
    <t>TVDG4009694</t>
  </si>
  <si>
    <t>ARCHANA NIGOLE (2457349948)</t>
  </si>
  <si>
    <t>S S GOUR PRO SHAILENDRA SINGH GOUR</t>
  </si>
  <si>
    <t>BLFPS9477N</t>
  </si>
  <si>
    <t>23BLFPS9477N2Z5</t>
  </si>
  <si>
    <t>11/VSL/24000095</t>
  </si>
  <si>
    <t>MARUTI DZIRE ZXI+ 1.2L 5MT</t>
  </si>
  <si>
    <t>102/484</t>
  </si>
  <si>
    <t>POST PURNI TEH PUNASA WARD NO -1 BIJOURA MAFI PUNARWAS PURNI DIST KHANDWA</t>
  </si>
  <si>
    <t>MA3CZFB3SRD883381</t>
  </si>
  <si>
    <t>TVDM4966577</t>
  </si>
  <si>
    <t>S S GOUR PRO SHAILENDRA SINGH GOUR (2457357607)</t>
  </si>
  <si>
    <t>JITEND SINGH RATHOUD</t>
  </si>
  <si>
    <t>FFYPR8028M</t>
  </si>
  <si>
    <t>11/VSL/24000098</t>
  </si>
  <si>
    <t>KNW0041</t>
  </si>
  <si>
    <t xml:space="preserve">MUKESH DODE </t>
  </si>
  <si>
    <t>112/494</t>
  </si>
  <si>
    <t>M.NO 52 GRAM PAVAI KALA TEH PANDHANA DIST KHANDWA</t>
  </si>
  <si>
    <t>MA3SFM61SRD286767</t>
  </si>
  <si>
    <t>TVDG4024309</t>
  </si>
  <si>
    <t>JITEND SINGH RATHOUD (2457382092)</t>
  </si>
  <si>
    <t>SUNITA JAIN</t>
  </si>
  <si>
    <t>AVBPJ9205E</t>
  </si>
  <si>
    <t>11/VSL/24000101</t>
  </si>
  <si>
    <t>MARUTI SWIFT ZXI+ 1.2L ISS AGS</t>
  </si>
  <si>
    <t>114/496</t>
  </si>
  <si>
    <t>MAKAN NO 23; WARD NO 24; DADAJI MARG KUNDLESHWAR WARD KHANDWA DIST KHANDWA</t>
  </si>
  <si>
    <t>MBHZCDESKRF133983</t>
  </si>
  <si>
    <t>EW7877488</t>
  </si>
  <si>
    <t>TVDH3891646</t>
  </si>
  <si>
    <t>SUNITA JAIN (2457388008)</t>
  </si>
  <si>
    <t>TRISHA ENTERPRISES</t>
  </si>
  <si>
    <t>BQQPD7037M</t>
  </si>
  <si>
    <t>11/VSL/24000100</t>
  </si>
  <si>
    <t>MARUTI DZIRE ZXI CNG 1.2L 5MT</t>
  </si>
  <si>
    <t>SHRIRAM TRANSPORT FINANCE CO. LIMITED</t>
  </si>
  <si>
    <t>119/501</t>
  </si>
  <si>
    <t>DALFA NAGAR AT POST. KANHERSAR TAL KHED PUNE PUNE</t>
  </si>
  <si>
    <t>MA3CZFB3SRF901122</t>
  </si>
  <si>
    <t>EW7879079</t>
  </si>
  <si>
    <t>TVDM5082435</t>
  </si>
  <si>
    <t>TRISHA ENTERPRISES (2457307549)</t>
  </si>
  <si>
    <t>PAVAN PATEL</t>
  </si>
  <si>
    <t>FHPPP3354F</t>
  </si>
  <si>
    <t>11/VSL/24000102</t>
  </si>
  <si>
    <t>MARUTI ALTO K10 VXI CNG 1L 5MT</t>
  </si>
  <si>
    <t>122/504</t>
  </si>
  <si>
    <t>MAKAN NO.12 JAMLI KHURD TEH.PANDHANA DIST.KHANDWA</t>
  </si>
  <si>
    <t>MA3SFM61SRF299991</t>
  </si>
  <si>
    <t>EW7880485</t>
  </si>
  <si>
    <t>TVDG4039593</t>
  </si>
  <si>
    <t>PAVAN PATEL (2457405450)</t>
  </si>
  <si>
    <t>PRADEEP LAAD</t>
  </si>
  <si>
    <t>BHBPP3448N</t>
  </si>
  <si>
    <t>11/VSL/24000099</t>
  </si>
  <si>
    <t>134/516</t>
  </si>
  <si>
    <t>MAKAN NO.28 GALI NO.05 SAI MANDIR KE PASS;TAIGOR KHANDWA DIST.KHANDWA</t>
  </si>
  <si>
    <t>MA3BNC62SRF825144</t>
  </si>
  <si>
    <t>EW7886518</t>
  </si>
  <si>
    <t>TVDM5082431</t>
  </si>
  <si>
    <t>PRADEEP LAAD (2457122586)</t>
  </si>
  <si>
    <t>CANTEEN STORES DEPARTMENT</t>
  </si>
  <si>
    <t>AAAGC0017Q</t>
  </si>
  <si>
    <t>23AAAGC0017Q1ZQ</t>
  </si>
  <si>
    <t>JABALPUR</t>
  </si>
  <si>
    <t>11/VSL/24000103</t>
  </si>
  <si>
    <t>MARUTI BREZZA LXI CNG 1.5L 5MT</t>
  </si>
  <si>
    <t>135/517</t>
  </si>
  <si>
    <t>OPP EMPIRE TALKIES JABALPUR MADHYA PRADESH</t>
  </si>
  <si>
    <t>CSD Customer</t>
  </si>
  <si>
    <t>MA3RYHK1SRF439040</t>
  </si>
  <si>
    <t>EW7886508</t>
  </si>
  <si>
    <t>TVDM5083987</t>
  </si>
  <si>
    <t>CANTEEN STORES DEPARTMENT (2457427545)</t>
  </si>
  <si>
    <t>HEMANT KUMAR KESHARVANI</t>
  </si>
  <si>
    <t>BQJPK7299D</t>
  </si>
  <si>
    <t>11/VSL/24000104</t>
  </si>
  <si>
    <t>139/521</t>
  </si>
  <si>
    <t>GRAM MALUD POST MALUD TEH HARSUD DIST KHANDWA</t>
  </si>
  <si>
    <t>MA3RYHK1SRE416842</t>
  </si>
  <si>
    <t>EW7887743</t>
  </si>
  <si>
    <t>TVDM5001166</t>
  </si>
  <si>
    <t>HEMANT KUMAR KESHARVANI (2457438674)</t>
  </si>
  <si>
    <t>ANKIT WARD</t>
  </si>
  <si>
    <t>11/VSL/24000088</t>
  </si>
  <si>
    <t>MARUTI DZIRE VXI 1.2L 5MT</t>
  </si>
  <si>
    <t>KDW142</t>
  </si>
  <si>
    <t xml:space="preserve">MRIDUL MARKANDAY </t>
  </si>
  <si>
    <t>149/531</t>
  </si>
  <si>
    <t>MAKAN N 22 WARD N1 GANESH GANJ FISHER SCHOOL KE PASS KHANDWA</t>
  </si>
  <si>
    <t>MA3CZFB3SRF899323</t>
  </si>
  <si>
    <t>TVDM5070865</t>
  </si>
  <si>
    <t>ANKIT WARD (2457087536)</t>
  </si>
  <si>
    <t>RATNAKAR LAXMAN CHAUDHARI</t>
  </si>
  <si>
    <t>BFBPC6542L</t>
  </si>
  <si>
    <t>11/VSL/24000107</t>
  </si>
  <si>
    <t>HDFC BANK LIMITED</t>
  </si>
  <si>
    <t>CHN14</t>
  </si>
  <si>
    <t xml:space="preserve">YOGESH RATHORE </t>
  </si>
  <si>
    <t>147/529</t>
  </si>
  <si>
    <t>HIVARKHEDA ROAD SANE GURUJI COLONY VTC JAMNER JALGAON</t>
  </si>
  <si>
    <t>MA3BNC62SRF822564</t>
  </si>
  <si>
    <t>EW7889995</t>
  </si>
  <si>
    <t>TVDM5070863</t>
  </si>
  <si>
    <t>RATNAKAR LAXMAN CHAUDHARI (2457451998)</t>
  </si>
  <si>
    <t>PREMLAL</t>
  </si>
  <si>
    <t>FQJPP7536N</t>
  </si>
  <si>
    <t>11/VSL/24000105</t>
  </si>
  <si>
    <t>D43017</t>
  </si>
  <si>
    <t>144/526</t>
  </si>
  <si>
    <t>M. NO 57 WARD NO 04 DHAMANGAON TEH PUNASA DIST KHARNDWA</t>
  </si>
  <si>
    <t>MA3JDT08WRFD43017</t>
  </si>
  <si>
    <t>EW7889294</t>
  </si>
  <si>
    <t>TVDG4037272</t>
  </si>
  <si>
    <t>PREMLAL (2457388681)</t>
  </si>
  <si>
    <t>YATINDRA KESHARWANI</t>
  </si>
  <si>
    <t>DJGPK0272N</t>
  </si>
  <si>
    <t>11/VSL/24000108</t>
  </si>
  <si>
    <t>MP12CA7388 - SPRESSO - 2020</t>
  </si>
  <si>
    <t>151/533</t>
  </si>
  <si>
    <t>GRAM MALUD POST-MALUD TEH.HARSUD DIST.KHANDWA</t>
  </si>
  <si>
    <t>MA3RYHK1SRE422963</t>
  </si>
  <si>
    <t>EW7893281</t>
  </si>
  <si>
    <t>TVDM5035133</t>
  </si>
  <si>
    <t>YATINDRA KESHARWANI (2457462876)</t>
  </si>
  <si>
    <t>BEFPJ9999R</t>
  </si>
  <si>
    <t>11/VSL/24000112</t>
  </si>
  <si>
    <t>R150</t>
  </si>
  <si>
    <t xml:space="preserve">LAKHAN LAL KANADE </t>
  </si>
  <si>
    <t>157/539</t>
  </si>
  <si>
    <t>MAKAN N-416 TEH POST PANDHANA DIST KHANDWA</t>
  </si>
  <si>
    <t>MA3BNC62SRF821551</t>
  </si>
  <si>
    <t>EW7898461</t>
  </si>
  <si>
    <t>TVDM5073120</t>
  </si>
  <si>
    <t>AKSHAY JAISWAL (2457492737)</t>
  </si>
  <si>
    <t>ARCHANA JOUHARI</t>
  </si>
  <si>
    <t>ACWPJ3487C</t>
  </si>
  <si>
    <t>11/VSL/24000116</t>
  </si>
  <si>
    <t>GRANITE GREY</t>
  </si>
  <si>
    <t>MP12CA1668 - ALTOLXI</t>
  </si>
  <si>
    <t>168/550</t>
  </si>
  <si>
    <t>WARD N-48 MAKAN NO 8 SUBHAM BANK COLONY KHANDWA DIST KHANDWA</t>
  </si>
  <si>
    <t>MA3SFM61SRF298897</t>
  </si>
  <si>
    <t>F009659</t>
  </si>
  <si>
    <t>EW7903010</t>
  </si>
  <si>
    <t>TVDG4035918</t>
  </si>
  <si>
    <t>ARCHANA JOUHARI (2457516105)</t>
  </si>
  <si>
    <t>MANOJ KUMAR SINGH</t>
  </si>
  <si>
    <t>ONGPS2267L</t>
  </si>
  <si>
    <t>11/VSL/24000113</t>
  </si>
  <si>
    <t>D44135</t>
  </si>
  <si>
    <t>KNW0188</t>
  </si>
  <si>
    <t xml:space="preserve">ABHISHEK TIWARI </t>
  </si>
  <si>
    <t>161/543</t>
  </si>
  <si>
    <t>MAKAN NO.46;WARD NO.13; POST SINDHKHAL PHIPHRIYA PUNASA EAST NIMAR</t>
  </si>
  <si>
    <t>MA3JDT08WRFD44135</t>
  </si>
  <si>
    <t>TVDG4041384</t>
  </si>
  <si>
    <t>MANOJ KUMAR SINGH (2457465921)</t>
  </si>
  <si>
    <t>KHARGONE-SALES</t>
  </si>
  <si>
    <t>DEEPAK</t>
  </si>
  <si>
    <t>GOJPD9520P</t>
  </si>
  <si>
    <t>9/VSL/24000073</t>
  </si>
  <si>
    <t xml:space="preserve">SACHIN YADAV  </t>
  </si>
  <si>
    <t>8/390</t>
  </si>
  <si>
    <t>GRAM DEVALGAON GHUGARIYA KHEDI KHARGONE</t>
  </si>
  <si>
    <t>MA3TFC62SRA271974</t>
  </si>
  <si>
    <t>C485811</t>
  </si>
  <si>
    <t>EW7818531</t>
  </si>
  <si>
    <t>TVDM4739274</t>
  </si>
  <si>
    <t>DEEPAK (2457105180)</t>
  </si>
  <si>
    <t>DEVDAS</t>
  </si>
  <si>
    <t>GOEPD5166J</t>
  </si>
  <si>
    <t>9/VSL/24000065</t>
  </si>
  <si>
    <t>D30138</t>
  </si>
  <si>
    <t>KAS10</t>
  </si>
  <si>
    <t xml:space="preserve">VIRENDRA PATEL </t>
  </si>
  <si>
    <t xml:space="preserve">SACHIN VERMA </t>
  </si>
  <si>
    <t>4/386</t>
  </si>
  <si>
    <t>GRAM BADI TEH.KASRAWAD DIST.KHARGONE</t>
  </si>
  <si>
    <t>MA3JDT08WRED30138</t>
  </si>
  <si>
    <t>TVDG4009693</t>
  </si>
  <si>
    <t>DEVDAS (2457071668)</t>
  </si>
  <si>
    <t>MOHAN</t>
  </si>
  <si>
    <t>JECPM8223N</t>
  </si>
  <si>
    <t>9/VSL/24000067</t>
  </si>
  <si>
    <t>D29437</t>
  </si>
  <si>
    <t xml:space="preserve">SURENDRA MANDLOI </t>
  </si>
  <si>
    <t xml:space="preserve">HUKUMCHAND ARYA </t>
  </si>
  <si>
    <t>1/383</t>
  </si>
  <si>
    <t>HOUSE NO 32 GRAM NAVALAPURA POST KALDA DIST KHARGONE</t>
  </si>
  <si>
    <t>MA3JDT08WRED29437</t>
  </si>
  <si>
    <t>EW7814083</t>
  </si>
  <si>
    <t>TVDG4007851</t>
  </si>
  <si>
    <t>MOHAN (2457076988)</t>
  </si>
  <si>
    <t>MUNAVVAR SHEIKH</t>
  </si>
  <si>
    <t>RQJPS9051R</t>
  </si>
  <si>
    <t>9/VSL/24000074</t>
  </si>
  <si>
    <t>D35691</t>
  </si>
  <si>
    <t>13/395</t>
  </si>
  <si>
    <t>1070;  GRAM GOGWAN TEH GOGAWAN POST GOGAWAN DIST KHARGONE</t>
  </si>
  <si>
    <t>MA3JDT08WRED35691</t>
  </si>
  <si>
    <t>TVDG4021897</t>
  </si>
  <si>
    <t>MUNAVVAR SHEIKH (2457118515)</t>
  </si>
  <si>
    <t>ANIL KUMAR NARGAWEN</t>
  </si>
  <si>
    <t>BAFPN3855F</t>
  </si>
  <si>
    <t>9/VSL/24000064</t>
  </si>
  <si>
    <t>18/400</t>
  </si>
  <si>
    <t>GRAM BASWI TEH.RAJPUR DIST.KHARGONE</t>
  </si>
  <si>
    <t>MA3RYHK1SRE429038</t>
  </si>
  <si>
    <t>EW7825299</t>
  </si>
  <si>
    <t>TVDM5045227</t>
  </si>
  <si>
    <t>ANIL KUMAR NARGAWEN (2456817866)</t>
  </si>
  <si>
    <t>MAHESH YADAV</t>
  </si>
  <si>
    <t>BKKPY6093C</t>
  </si>
  <si>
    <t>9/VSL/24000076</t>
  </si>
  <si>
    <t>D34943</t>
  </si>
  <si>
    <t xml:space="preserve">SAWAN PATIDAR </t>
  </si>
  <si>
    <t>19/401</t>
  </si>
  <si>
    <t>WARD 11 GRAM MUNDI TEH PUNASA GDI MOHALLA MUNDI DIST KHANDWA</t>
  </si>
  <si>
    <t>MA3JDT08WRED34943</t>
  </si>
  <si>
    <t>EW7829125</t>
  </si>
  <si>
    <t>TVDG4019920</t>
  </si>
  <si>
    <t>MAHESH YADAV (2457103078)</t>
  </si>
  <si>
    <t>MAHENDRA PRAJAPATI</t>
  </si>
  <si>
    <t>ERWPP4685K</t>
  </si>
  <si>
    <t>9/VSL/24000080</t>
  </si>
  <si>
    <t>E41185</t>
  </si>
  <si>
    <t>NEW SWIFT</t>
  </si>
  <si>
    <t>MARUTI SWIFT VXI 1.2L 5MT</t>
  </si>
  <si>
    <t>29/411</t>
  </si>
  <si>
    <t>NEAR SHITALA MATA MANDIR; NIMRANI TEH.KASRAWAD DIST.KHARGONE</t>
  </si>
  <si>
    <t>MBHCZCB3SRCE41185</t>
  </si>
  <si>
    <t>TVDH3764494</t>
  </si>
  <si>
    <t>MAHENDRA PRAJAPATI (2457159276)</t>
  </si>
  <si>
    <t>LOVEKUSH CHOUHAN</t>
  </si>
  <si>
    <t>CAUPC7149A</t>
  </si>
  <si>
    <t>9/VSL/24000081</t>
  </si>
  <si>
    <t>D20944</t>
  </si>
  <si>
    <t>28/410</t>
  </si>
  <si>
    <t>POKHARABAD;POST.JGARIYA; VTC POKHARABAD PO.BHIKANGAON DIST.KHARGONE</t>
  </si>
  <si>
    <t>MA3JDT08WRDD20944</t>
  </si>
  <si>
    <t>EW7832276</t>
  </si>
  <si>
    <t>TVDG3989429</t>
  </si>
  <si>
    <t>LOVEKUSH CHOUHAN (2457157141)</t>
  </si>
  <si>
    <t>PRIYA TOURS AND TRAVELS</t>
  </si>
  <si>
    <t>AFNPY3728F</t>
  </si>
  <si>
    <t>9/VSL/24000079</t>
  </si>
  <si>
    <t>24/406</t>
  </si>
  <si>
    <t>SR. NO 285/2 FLAT NO A 104 SHREENIDHI LOHOGAON PUNE</t>
  </si>
  <si>
    <t>MA3BNC62SRE812465</t>
  </si>
  <si>
    <t>TVDM5041595</t>
  </si>
  <si>
    <t>PRIYA TOURS AND TRAVELS (2457155038)</t>
  </si>
  <si>
    <t>KRISHNA SAVLE</t>
  </si>
  <si>
    <t>MAEPS7403P</t>
  </si>
  <si>
    <t>22/VSL/A24000021</t>
  </si>
  <si>
    <t>MARUTI DZIRE VXI 1.2L ISS 5MT</t>
  </si>
  <si>
    <t>PEARL WHITE</t>
  </si>
  <si>
    <t>Platinum (4th Yr)</t>
  </si>
  <si>
    <t>12/395</t>
  </si>
  <si>
    <t>SAKHARAM SAVLE</t>
  </si>
  <si>
    <t>VILL MURALLA TEH BARWAHA DIST KHARGONE</t>
  </si>
  <si>
    <t>JIVANTI BAI</t>
  </si>
  <si>
    <t>KRISHNA SAVLE (2457137617)</t>
  </si>
  <si>
    <t>VIRENDRA VERMA</t>
  </si>
  <si>
    <t>BOPPV2294R</t>
  </si>
  <si>
    <t>9/VSL/24000082</t>
  </si>
  <si>
    <t>MP09WK3855 - EECO7STR</t>
  </si>
  <si>
    <t xml:space="preserve">2290 SANJAY NAYAK </t>
  </si>
  <si>
    <t xml:space="preserve">SACHIN YADAV </t>
  </si>
  <si>
    <t>42/424</t>
  </si>
  <si>
    <t>CHANDAWAD DIST KHARGONE</t>
  </si>
  <si>
    <t>MA3BNC72SRE809687</t>
  </si>
  <si>
    <t>EW7837670</t>
  </si>
  <si>
    <t>TVDM5049743</t>
  </si>
  <si>
    <t>VIRENDRA VERMA (2457099019)</t>
  </si>
  <si>
    <t>ALOK DONGRE</t>
  </si>
  <si>
    <t>ALKPD7684A</t>
  </si>
  <si>
    <t>9/VSL/24000083</t>
  </si>
  <si>
    <t xml:space="preserve">HIMANSHU YADAV </t>
  </si>
  <si>
    <t>44/426</t>
  </si>
  <si>
    <t>WARD 12 MASTTAR COLONY BISTAN ROAD KHARGONE DIST.KHARGONE</t>
  </si>
  <si>
    <t>MA3CZFB3SRE892265</t>
  </si>
  <si>
    <t>TVDM5021213</t>
  </si>
  <si>
    <t>ALOK DONGRE (2457123917)</t>
  </si>
  <si>
    <t>PUSHPA JOSHI</t>
  </si>
  <si>
    <t>AVBPJ9287A</t>
  </si>
  <si>
    <t>9/VSL/24000093</t>
  </si>
  <si>
    <t>47/429</t>
  </si>
  <si>
    <t>102-1 NANDIY KHARGONE DIST KHARGONE</t>
  </si>
  <si>
    <t>MA3SFM61SRE290672</t>
  </si>
  <si>
    <t>EW7840959</t>
  </si>
  <si>
    <t>TVDG4016266</t>
  </si>
  <si>
    <t>PUSHPA JOSHI (2457198674)</t>
  </si>
  <si>
    <t>SHEETAL DAWANE</t>
  </si>
  <si>
    <t>HTCPD7297A</t>
  </si>
  <si>
    <t>9/VSL/24000094</t>
  </si>
  <si>
    <t>55/437</t>
  </si>
  <si>
    <t>POLICE COLONY JETAPUR KHARGONE DIST KHARGONE</t>
  </si>
  <si>
    <t>MBHZCDESKRD103373</t>
  </si>
  <si>
    <t>EW7844774</t>
  </si>
  <si>
    <t>TVDH3821388</t>
  </si>
  <si>
    <t>SHEETAL DAWANE (2457224253)</t>
  </si>
  <si>
    <t>LAXMAN SULYA</t>
  </si>
  <si>
    <t>AMJPL2901J</t>
  </si>
  <si>
    <t>9/VSL/24000095</t>
  </si>
  <si>
    <t>D28701</t>
  </si>
  <si>
    <t>54/436</t>
  </si>
  <si>
    <t>CHAINPUR CHAINPUR CHAINPUR DIST KHARGONE</t>
  </si>
  <si>
    <t>MA3JDT08WRED28701</t>
  </si>
  <si>
    <t>EW7844801</t>
  </si>
  <si>
    <t>TVDG4006144</t>
  </si>
  <si>
    <t>LAXMAN SULYA (2457223039)</t>
  </si>
  <si>
    <t>LAKHAN KUSHWAH</t>
  </si>
  <si>
    <t>GJAPK7168E</t>
  </si>
  <si>
    <t>9/VSL/24000097</t>
  </si>
  <si>
    <t>D26585</t>
  </si>
  <si>
    <t>MP12CA1729</t>
  </si>
  <si>
    <t>59/441</t>
  </si>
  <si>
    <t>GRAM GOVADI TEH GOGAWA THIBGAON BUJURG DIST KHARGONE</t>
  </si>
  <si>
    <t>MA3JDT08WRDD26585</t>
  </si>
  <si>
    <t>EW7847822</t>
  </si>
  <si>
    <t>TVDG4000701</t>
  </si>
  <si>
    <t>LAKHAN KUSHWAH (2457218713)</t>
  </si>
  <si>
    <t>AASHISH MISHRA</t>
  </si>
  <si>
    <t>HYZPM8300M</t>
  </si>
  <si>
    <t>9/VSL/24000098</t>
  </si>
  <si>
    <t>MP10CB1517</t>
  </si>
  <si>
    <t xml:space="preserve">0458 SADDAM KHAN </t>
  </si>
  <si>
    <t>61/443</t>
  </si>
  <si>
    <t>ZIRANYA VTC JHIRANYA PO ZIRNIA SUB DIST JHIRNAY DIST KHARGONE</t>
  </si>
  <si>
    <t>MA3RFL61SRE504318</t>
  </si>
  <si>
    <t>F007336</t>
  </si>
  <si>
    <t>EW7848186</t>
  </si>
  <si>
    <t>TVDM5021216</t>
  </si>
  <si>
    <t>AASHISH MISHRA (2457243347)</t>
  </si>
  <si>
    <t>AAKASH VARMA</t>
  </si>
  <si>
    <t>BVRPV5010L</t>
  </si>
  <si>
    <t>9/VSL/24000123</t>
  </si>
  <si>
    <t>D31841</t>
  </si>
  <si>
    <t xml:space="preserve">HIMANSHU MOURYA </t>
  </si>
  <si>
    <t>75/457</t>
  </si>
  <si>
    <t>ASHAGRAM ROAD WARD NO.3 NEAR FILLAR BARWANI BARWANI</t>
  </si>
  <si>
    <t>MA3JDT08WRED31841</t>
  </si>
  <si>
    <t>EW7856605</t>
  </si>
  <si>
    <t>TVDG4012992</t>
  </si>
  <si>
    <t>AAKASH VARMA (2457286487)</t>
  </si>
  <si>
    <t>RAHUL</t>
  </si>
  <si>
    <t>HEVPR7300G</t>
  </si>
  <si>
    <t>9/VSL/24000101</t>
  </si>
  <si>
    <t>D39734</t>
  </si>
  <si>
    <t>77/459</t>
  </si>
  <si>
    <t>MONGARGAON;MONGARGAON POST MONGARGAON DIST.KHARGONE</t>
  </si>
  <si>
    <t>MA3JDT08WRED39734</t>
  </si>
  <si>
    <t>EW7858010</t>
  </si>
  <si>
    <t>TVDG4029193</t>
  </si>
  <si>
    <t>RAHUL (2457196333)</t>
  </si>
  <si>
    <t>IQABAL KHAN</t>
  </si>
  <si>
    <t>AECPI6639H</t>
  </si>
  <si>
    <t>9/VSL/24000124</t>
  </si>
  <si>
    <t xml:space="preserve">ARVIND YADAV  </t>
  </si>
  <si>
    <t>79/461</t>
  </si>
  <si>
    <t>2 KHASAKHASA BADI GALI NO.2 KHARGONE DIST.KHARGONE</t>
  </si>
  <si>
    <t>MA3BNC72SRE809319</t>
  </si>
  <si>
    <t>EW7858365</t>
  </si>
  <si>
    <t>TVDM5049742</t>
  </si>
  <si>
    <t>IQABAL KHAN (2457295226)</t>
  </si>
  <si>
    <t>JITESH</t>
  </si>
  <si>
    <t>COUPJ8839N</t>
  </si>
  <si>
    <t>9/VSL/24000125</t>
  </si>
  <si>
    <t>D33871</t>
  </si>
  <si>
    <t xml:space="preserve">NARAYAN CHANDKE </t>
  </si>
  <si>
    <t>80/462</t>
  </si>
  <si>
    <t>123;TARAVALE; FLYA MOGARIKHEDA BARWANI</t>
  </si>
  <si>
    <t>MA3JDT08WRED33871</t>
  </si>
  <si>
    <t>EW7858391</t>
  </si>
  <si>
    <t>TVDG4019917</t>
  </si>
  <si>
    <t>JITESH (2457186209)</t>
  </si>
  <si>
    <t>BABALU KHODE</t>
  </si>
  <si>
    <t>FZSPK7883R</t>
  </si>
  <si>
    <t>9/VSL/24000136</t>
  </si>
  <si>
    <t xml:space="preserve">ARJUN KUSHWAH </t>
  </si>
  <si>
    <t>82/464</t>
  </si>
  <si>
    <t>THARADPURA DIST KHARGONE</t>
  </si>
  <si>
    <t>MA3RFL61SRE505356</t>
  </si>
  <si>
    <t>F008018</t>
  </si>
  <si>
    <t>EW7860932</t>
  </si>
  <si>
    <t>TVDM5041597</t>
  </si>
  <si>
    <t>BABALU KHODE (2457314063)</t>
  </si>
  <si>
    <t>NARENDRA SINGH PANWAR</t>
  </si>
  <si>
    <t>BNHPN0621B</t>
  </si>
  <si>
    <t>9/VSL/24000145</t>
  </si>
  <si>
    <t>MP10CA4504 - ALTOLXI - 2016</t>
  </si>
  <si>
    <t xml:space="preserve">VIKAS KUSHWAH </t>
  </si>
  <si>
    <t>88/470</t>
  </si>
  <si>
    <t>GRAM JHIRANYA RAM MANDIR COLONI TEH JHIRANYA DIST KHARGONE</t>
  </si>
  <si>
    <t>MA3CZFB3SRE897400</t>
  </si>
  <si>
    <t>EW7865085</t>
  </si>
  <si>
    <t>TVDM5070808</t>
  </si>
  <si>
    <t>NARENDRA SINGH PANWAR (2457312873)</t>
  </si>
  <si>
    <t>SADHANA YADAV</t>
  </si>
  <si>
    <t>AIUPY9854C</t>
  </si>
  <si>
    <t>9/VSL/24000146</t>
  </si>
  <si>
    <t>B15964</t>
  </si>
  <si>
    <t>94/476</t>
  </si>
  <si>
    <t>GRAM SOUSAMPURA POST THIBGAON BUJURG TEH GOGAWAN DIST KHARGONE</t>
  </si>
  <si>
    <t>MA3JMTB1SREB15964</t>
  </si>
  <si>
    <t>C592614</t>
  </si>
  <si>
    <t>EW7867276</t>
  </si>
  <si>
    <t>TVDM5062479</t>
  </si>
  <si>
    <t>SADHANA YADAV (2456745580)</t>
  </si>
  <si>
    <t>DURGESH AMJHARE</t>
  </si>
  <si>
    <t>ERCPA9990L</t>
  </si>
  <si>
    <t>9/VSL/24000102</t>
  </si>
  <si>
    <t>D33469</t>
  </si>
  <si>
    <t>HAT BAYADI ;RAJPUR TEH.RAJPUR DIST.BARWANI</t>
  </si>
  <si>
    <t>MA3JDT08WRED33469</t>
  </si>
  <si>
    <t>TVDG4012991</t>
  </si>
  <si>
    <t>DURGESH AMJHARE (2457223004)</t>
  </si>
  <si>
    <t>ABHISHEK PATIDAR</t>
  </si>
  <si>
    <t>FPRPP4041G</t>
  </si>
  <si>
    <t>9/VSL/24000104</t>
  </si>
  <si>
    <t xml:space="preserve">ANJALI YADAV </t>
  </si>
  <si>
    <t>84/466</t>
  </si>
  <si>
    <t>UNBUJURG WEST NIMAR DIST KHARGONE</t>
  </si>
  <si>
    <t>MA3RYHK1SRF435952</t>
  </si>
  <si>
    <t>EW7863139</t>
  </si>
  <si>
    <t>TVDM5070822</t>
  </si>
  <si>
    <t>ABHISHEK PATIDAR (2457042907)</t>
  </si>
  <si>
    <t>SANTOSH PATEL</t>
  </si>
  <si>
    <t>FZXPP4478Q</t>
  </si>
  <si>
    <t>9/VSL/24000152</t>
  </si>
  <si>
    <t>D26877</t>
  </si>
  <si>
    <t xml:space="preserve">RAJ KOCHALE </t>
  </si>
  <si>
    <t>ABCD</t>
  </si>
  <si>
    <t xml:space="preserve">COUNTER  </t>
  </si>
  <si>
    <t>105/487</t>
  </si>
  <si>
    <t>MAGARKHEDI WARD 00 NEAR RAM MANDIR SATRATI KHARGONE</t>
  </si>
  <si>
    <t>MA3JDT08WRDD26877</t>
  </si>
  <si>
    <t>EW7872531</t>
  </si>
  <si>
    <t>TVDG4001295</t>
  </si>
  <si>
    <t>SANTOSH PATEL (2457361011)</t>
  </si>
  <si>
    <t>PRINCIPAL GRY INSTITUTE OF PHARMACY BORAWAN</t>
  </si>
  <si>
    <t>AACTJ7927M</t>
  </si>
  <si>
    <t>9/VSL/24000153</t>
  </si>
  <si>
    <t>D44422</t>
  </si>
  <si>
    <t xml:space="preserve">RISHABH SONI </t>
  </si>
  <si>
    <t>111/493</t>
  </si>
  <si>
    <t>BORAWA TEH.KASRAWAD DIST.KHARGONE</t>
  </si>
  <si>
    <t>MA3JDT08WRFD44422</t>
  </si>
  <si>
    <t>EW7873827</t>
  </si>
  <si>
    <t>TVDG4035915</t>
  </si>
  <si>
    <t>PRINCIPAL GRY INSTITUTE OF PHARMACY BORAWAN (2457369039)</t>
  </si>
  <si>
    <t>HEMANT SONI</t>
  </si>
  <si>
    <t>PTTPS0538G</t>
  </si>
  <si>
    <t>9/VSL/24000154</t>
  </si>
  <si>
    <t>D08391</t>
  </si>
  <si>
    <t>116/498</t>
  </si>
  <si>
    <t>KANCHAN NAGAR; SONIPURA KHARGONE</t>
  </si>
  <si>
    <t>MA3JDT08WRCD08391</t>
  </si>
  <si>
    <t>EW7878739</t>
  </si>
  <si>
    <t>TVDG3956866</t>
  </si>
  <si>
    <t>HEMANT SONI (2457350310)</t>
  </si>
  <si>
    <t>LILADHADAR</t>
  </si>
  <si>
    <t>AVIPL9455H</t>
  </si>
  <si>
    <t>9/VSL/24000155</t>
  </si>
  <si>
    <t>D43635</t>
  </si>
  <si>
    <t>120/502</t>
  </si>
  <si>
    <t>PREM NAGAR BALWADI KHARGONE DIST KHARGONE</t>
  </si>
  <si>
    <t>MA3JDT08WRFD43635</t>
  </si>
  <si>
    <t>EW7879195</t>
  </si>
  <si>
    <t>TVDG4037184</t>
  </si>
  <si>
    <t>LILADHADAR (2457398874)</t>
  </si>
  <si>
    <t>MAHESH</t>
  </si>
  <si>
    <t>HRPPM6584L</t>
  </si>
  <si>
    <t>9/VSL/24000157</t>
  </si>
  <si>
    <t>D41541</t>
  </si>
  <si>
    <t>121/503</t>
  </si>
  <si>
    <t>GRAM SEHJALA POST KAMODWADA DIST KHARGONE</t>
  </si>
  <si>
    <t>MA3JDT08WRFD41541</t>
  </si>
  <si>
    <t>EW7879948</t>
  </si>
  <si>
    <t>TVDG4037269</t>
  </si>
  <si>
    <t>MAHESH (2457390790)</t>
  </si>
  <si>
    <t>AYUSH GANGRADE</t>
  </si>
  <si>
    <t>BPAPG0896J</t>
  </si>
  <si>
    <t>9/VSL/24000158</t>
  </si>
  <si>
    <t>C97207</t>
  </si>
  <si>
    <t xml:space="preserve">AJAY MANDLOI  </t>
  </si>
  <si>
    <t>124/506</t>
  </si>
  <si>
    <t>JHIRANYA TEH.JHIRANYA DIST.KHARGONE</t>
  </si>
  <si>
    <t>MA3JDT08WRBC97207</t>
  </si>
  <si>
    <t>TVDG3932789</t>
  </si>
  <si>
    <t>AYUSH GANGRADE (2457404537)</t>
  </si>
  <si>
    <t>SUBHASH</t>
  </si>
  <si>
    <t>AIAPY2211K</t>
  </si>
  <si>
    <t>9/VSL/24000096</t>
  </si>
  <si>
    <t>D38279</t>
  </si>
  <si>
    <t>MP09WM6864 - EECO</t>
  </si>
  <si>
    <t>123/505</t>
  </si>
  <si>
    <t>POST MULTHAN TEH KASRAWAD DIST KHARGONE</t>
  </si>
  <si>
    <t>MA3JDT08WRED38279</t>
  </si>
  <si>
    <t>EW7880908</t>
  </si>
  <si>
    <t>TVDG4029197</t>
  </si>
  <si>
    <t>SUBHASH (2457168951)</t>
  </si>
  <si>
    <t>AJAY TOURS AND TRAVELS</t>
  </si>
  <si>
    <t>CREPS8884F</t>
  </si>
  <si>
    <t>9/VSL/24000099</t>
  </si>
  <si>
    <t>CANARA BANK</t>
  </si>
  <si>
    <t>125/507</t>
  </si>
  <si>
    <t>ROOM NO-44 BR ROAD VAISHALI NAGAR PIPELINE MULUND WEST MUMBAI</t>
  </si>
  <si>
    <t>MA3BNC62SRE817014</t>
  </si>
  <si>
    <t>TVDM5070818</t>
  </si>
  <si>
    <t>AJAY TOURS AND TRAVELS (2457257269)</t>
  </si>
  <si>
    <t>SAINATH RAVSAHEB KALE</t>
  </si>
  <si>
    <t>CQRPS3456B</t>
  </si>
  <si>
    <t>SATARA</t>
  </si>
  <si>
    <t>9/VSL/24000130</t>
  </si>
  <si>
    <t>136/518</t>
  </si>
  <si>
    <t>MARATHI SHALA SHEJARI SARKALWADI SARKALWADI SATARA MH</t>
  </si>
  <si>
    <t>MA3BNC62SRF823421</t>
  </si>
  <si>
    <t>EW7885697</t>
  </si>
  <si>
    <t>TVDM5073122</t>
  </si>
  <si>
    <t>SAINATH RAVSAHEB KALE (2457315045)</t>
  </si>
  <si>
    <t>IMRAN SHEIKH</t>
  </si>
  <si>
    <t>OFCPS2306E</t>
  </si>
  <si>
    <t>9/VSL/24000165</t>
  </si>
  <si>
    <t>MARUTI ERTIGA ZXI (O) CNG 1.5L 5MT</t>
  </si>
  <si>
    <t>MP09ZL7968 - DZIRE - 2023</t>
  </si>
  <si>
    <t>138/520</t>
  </si>
  <si>
    <t>WARD NO 24 CHANDNI CHOUK MADINA NAGAR KHARGONE DIST KHARGONE</t>
  </si>
  <si>
    <t>MA3BNC62SRD797478</t>
  </si>
  <si>
    <t>EW7888352</t>
  </si>
  <si>
    <t>TVDM5001154</t>
  </si>
  <si>
    <t>IMRAN SHEIKH (2457421156)</t>
  </si>
  <si>
    <t>MANGAT VERMA</t>
  </si>
  <si>
    <t>CRGPV7442E</t>
  </si>
  <si>
    <t>9/VSL/24000167</t>
  </si>
  <si>
    <t>D42999</t>
  </si>
  <si>
    <t>143/525</t>
  </si>
  <si>
    <t>GRAM MEHTAKHEDI TEH BADWAH DIST KHARGONE</t>
  </si>
  <si>
    <t>MA3JDT08WRFD42999</t>
  </si>
  <si>
    <t>TVDG4039594</t>
  </si>
  <si>
    <t>MANGAT VERMA (2457449718)</t>
  </si>
  <si>
    <t>VIKRAM RAWAT</t>
  </si>
  <si>
    <t>FBDPR5108F</t>
  </si>
  <si>
    <t>9/VSL/24000166</t>
  </si>
  <si>
    <t>D26863</t>
  </si>
  <si>
    <t>141/523</t>
  </si>
  <si>
    <t>DHARAMPURI; KHARGONE DIST.KHARGONE</t>
  </si>
  <si>
    <t>MA3JDT08WRDD26863</t>
  </si>
  <si>
    <t>EW7888812</t>
  </si>
  <si>
    <t>TVDG4001297</t>
  </si>
  <si>
    <t>VIKRAM RAWAT (2457407748)</t>
  </si>
  <si>
    <t>KOMAL SINGH</t>
  </si>
  <si>
    <t>HGJPS3581J</t>
  </si>
  <si>
    <t>9/VSL/24000168</t>
  </si>
  <si>
    <t>D43759</t>
  </si>
  <si>
    <t>152/534</t>
  </si>
  <si>
    <t>GRAM LOUNDI KANAPUR TEH BARWAHA DIST KHARGONE</t>
  </si>
  <si>
    <t>MA3JDT08WRFD43759</t>
  </si>
  <si>
    <t>TVDG4041389</t>
  </si>
  <si>
    <t>KOMAL SINGH (2457430907)</t>
  </si>
  <si>
    <t>RAVINDRA MEHTA</t>
  </si>
  <si>
    <t>BLYPM0189E</t>
  </si>
  <si>
    <t>9/VSL/24000164</t>
  </si>
  <si>
    <t>153/535</t>
  </si>
  <si>
    <t>SM 88 KISHOR NAGAR ANAND MAIN ROAD KHANDWA</t>
  </si>
  <si>
    <t>MBHZCDESKRE126575</t>
  </si>
  <si>
    <t>EW7893103</t>
  </si>
  <si>
    <t>TVDH3884022</t>
  </si>
  <si>
    <t>RAVINDRA MEHTA (2457421501)</t>
  </si>
  <si>
    <t>JAY BAJARANG TOURS AND TRAVELS</t>
  </si>
  <si>
    <t>CBTPJ9655C</t>
  </si>
  <si>
    <t>LATUR</t>
  </si>
  <si>
    <t>9/VSL/24000169</t>
  </si>
  <si>
    <t>155/537</t>
  </si>
  <si>
    <t>BUJRUGWADI POST RATHOD RATHODA NILANGA DIST LATUR</t>
  </si>
  <si>
    <t>MA3BNC62SRF820126</t>
  </si>
  <si>
    <t>EW7894557</t>
  </si>
  <si>
    <t>TVDM5070864</t>
  </si>
  <si>
    <t>JAY BAJARANG TOURS AND TRAVELS (2457461103)</t>
  </si>
  <si>
    <t>FOUZDAR CARS PRIVATE LIMITED</t>
  </si>
  <si>
    <t>AABCF7271Q</t>
  </si>
  <si>
    <t>23AABCF7271Q1Z8</t>
  </si>
  <si>
    <t>HOSHANGABAD</t>
  </si>
  <si>
    <t>9/VSL/24000177</t>
  </si>
  <si>
    <t>D42596</t>
  </si>
  <si>
    <t>156/538</t>
  </si>
  <si>
    <t>NH69;MAIN ROAD;HOSHANGABAD HOSHANGABAD; MADHYA PRADESH</t>
  </si>
  <si>
    <t>MA3JDT08WRFD42596</t>
  </si>
  <si>
    <t>TVDG4037275</t>
  </si>
  <si>
    <t>FOUZDAR CARS PRIVATE LIMITED (2456524605)</t>
  </si>
  <si>
    <t>PRATIBHA SINGH</t>
  </si>
  <si>
    <t>CYLPS8161D</t>
  </si>
  <si>
    <t>Uttar Pradesh</t>
  </si>
  <si>
    <t>ALLAHABAD</t>
  </si>
  <si>
    <t>9/VSL/24000159</t>
  </si>
  <si>
    <t>MARUTI CELERIO ZXI+ 1L ISS AGS</t>
  </si>
  <si>
    <t>169/551</t>
  </si>
  <si>
    <t>19 KAMLA NEHRU ROAD NEAR HINDU DAHIAWAN ALLAHBAD ALLAHBAD</t>
  </si>
  <si>
    <t>MA3TFC62SRE295507</t>
  </si>
  <si>
    <t>C591507</t>
  </si>
  <si>
    <t>EW7903202</t>
  </si>
  <si>
    <t>TVDM5070868</t>
  </si>
  <si>
    <t>PRATIBHA SINGH (2457400797)</t>
  </si>
  <si>
    <t>KHARGONE-SALES COMMERCIAL</t>
  </si>
  <si>
    <t>RAJU CHOUHAN</t>
  </si>
  <si>
    <t>CSWPC2845M</t>
  </si>
  <si>
    <t>15/VSL/24000036</t>
  </si>
  <si>
    <t>SUPER CARRY</t>
  </si>
  <si>
    <t>MARUTI SUPER CARRY STD 1.2L 5MT</t>
  </si>
  <si>
    <t>MP46R0639 - APE</t>
  </si>
  <si>
    <t>COM37</t>
  </si>
  <si>
    <t xml:space="preserve">BHAVESH KANUNGO </t>
  </si>
  <si>
    <t>COM30</t>
  </si>
  <si>
    <t xml:space="preserve">RISHI KESHARE </t>
  </si>
  <si>
    <t>SALIKALA TEH RAJPUR DIST BARWANI</t>
  </si>
  <si>
    <t>MA3EDC03TRE318672</t>
  </si>
  <si>
    <t>TVDG4006098</t>
  </si>
  <si>
    <t>RAJU CHOUHAN (2457213390)</t>
  </si>
  <si>
    <t>SANJAY AJMAL PAWAR</t>
  </si>
  <si>
    <t>FXPPP6232N</t>
  </si>
  <si>
    <t>SENDHWA</t>
  </si>
  <si>
    <t>15/VSL/24000037</t>
  </si>
  <si>
    <t>MARUTI SUPER CARRY STD CNG 1.2L 5MT</t>
  </si>
  <si>
    <t>PAN14</t>
  </si>
  <si>
    <t xml:space="preserve">SHUBHAM SONI </t>
  </si>
  <si>
    <t>PAN01</t>
  </si>
  <si>
    <t xml:space="preserve">ROHIT SAVLE </t>
  </si>
  <si>
    <t>WARD NO 01 MORTALAY DIST BARWANI</t>
  </si>
  <si>
    <t>MA3EDC03TRC312881</t>
  </si>
  <si>
    <t>TVDG3956861</t>
  </si>
  <si>
    <t>SANJAY AJMAL PAWAR (2457241824)</t>
  </si>
  <si>
    <t>GANESH YADAV</t>
  </si>
  <si>
    <t>AEBPY4209A</t>
  </si>
  <si>
    <t>15/VSL/24000039</t>
  </si>
  <si>
    <t>MP12BC0614 - OMNIVAN</t>
  </si>
  <si>
    <t>BHIKANGAON RAOD ANDAD KHARGONE DIST KHARGONE</t>
  </si>
  <si>
    <t>MA3EDC03TRE321317</t>
  </si>
  <si>
    <t>TVDG4032021</t>
  </si>
  <si>
    <t>GANESH YADAV (2457227205)</t>
  </si>
  <si>
    <t>PRAKASH</t>
  </si>
  <si>
    <t>IGOPP1693E</t>
  </si>
  <si>
    <t>15/VSL/24000038</t>
  </si>
  <si>
    <t>COM04</t>
  </si>
  <si>
    <t xml:space="preserve">LALIT SAVNER </t>
  </si>
  <si>
    <t>SHEHANAJPURA KHUDGAON DIST KHARGONE</t>
  </si>
  <si>
    <t>MA3EDC03TRE321297</t>
  </si>
  <si>
    <t>EW7850628</t>
  </si>
  <si>
    <t>TVDG4032024</t>
  </si>
  <si>
    <t>PRAKASH (2457241528)</t>
  </si>
  <si>
    <t>KUNAL DHANGAR</t>
  </si>
  <si>
    <t>IAUPD2081Q</t>
  </si>
  <si>
    <t>15/VSL/24000041</t>
  </si>
  <si>
    <t>67 AWALI BASAHAT GRAM AAWALI TEH.ANJAD BARWANI</t>
  </si>
  <si>
    <t>MA3EDC03TRE320764</t>
  </si>
  <si>
    <t>TVDG4024649</t>
  </si>
  <si>
    <t>KUNAL DHANGAR (2457213520)</t>
  </si>
  <si>
    <t>SANTOSH</t>
  </si>
  <si>
    <t>HIWPS7904G</t>
  </si>
  <si>
    <t>15/VSL/24000042</t>
  </si>
  <si>
    <t>MP09BC1136 - OMNI7STR</t>
  </si>
  <si>
    <t>MHHS06</t>
  </si>
  <si>
    <t xml:space="preserve">RAVI VERMA </t>
  </si>
  <si>
    <t>MHS01</t>
  </si>
  <si>
    <t xml:space="preserve">ASHISH LAAD </t>
  </si>
  <si>
    <t>311 BHUDRI  TEH.MAHESHWAR KHARGONE DIST.KHARGONE</t>
  </si>
  <si>
    <t>MA3EDC03TRE321459</t>
  </si>
  <si>
    <t>TVDG4032022</t>
  </si>
  <si>
    <t>SANTOSH (2457189136)</t>
  </si>
  <si>
    <t>RAJNISH</t>
  </si>
  <si>
    <t>BOCPR2509Q</t>
  </si>
  <si>
    <t>15/VSL/24000040</t>
  </si>
  <si>
    <t>MP09WL8829 - EECO</t>
  </si>
  <si>
    <t>GRAM-CHOPALI POST HELAPADAWA TEH.JHIRNIYA KHARGONE</t>
  </si>
  <si>
    <t>MA3EDC03TRE321419</t>
  </si>
  <si>
    <t>TVDG4032023</t>
  </si>
  <si>
    <t>RAJNISH (2457260164)</t>
  </si>
  <si>
    <t>SONU VASKALE</t>
  </si>
  <si>
    <t>CRAPV9929C</t>
  </si>
  <si>
    <t>15/VSL/24000044</t>
  </si>
  <si>
    <t>IDFC FIRST BANK LTD</t>
  </si>
  <si>
    <t>MAKAN NO.213/2 BALDI PURA RANGAON BARWANI</t>
  </si>
  <si>
    <t>MA3EDC03TRD315308</t>
  </si>
  <si>
    <t>TVDG3987219</t>
  </si>
  <si>
    <t>SONU VASKALE (2457335134)</t>
  </si>
  <si>
    <t>AJEET CHOUHAN</t>
  </si>
  <si>
    <t>CEIPA8245R</t>
  </si>
  <si>
    <t>15/VSL/24000045</t>
  </si>
  <si>
    <t>MP11G2347</t>
  </si>
  <si>
    <t>KHEDI DIST KHARGONE</t>
  </si>
  <si>
    <t>MA3EDC03TRE320628</t>
  </si>
  <si>
    <t>TVDG4024648</t>
  </si>
  <si>
    <t>AJEET CHOUHAN (2457255203)</t>
  </si>
  <si>
    <t>MANOJ UTTAM CHOUDHARY</t>
  </si>
  <si>
    <t>BOJPC4948H</t>
  </si>
  <si>
    <t>15/VSL/24000046</t>
  </si>
  <si>
    <t>100/482</t>
  </si>
  <si>
    <t>AT POST GARKHEDA BK TAL JAMNER DIST JALGAON</t>
  </si>
  <si>
    <t>MBHCZFB3SRE571174</t>
  </si>
  <si>
    <t>EW7868916</t>
  </si>
  <si>
    <t>TVDH3832505</t>
  </si>
  <si>
    <t>MANOJ UTTAM CHOUDHARY (2457346926)</t>
  </si>
  <si>
    <t>ROHIT SAGORE</t>
  </si>
  <si>
    <t>QDTPS1512K</t>
  </si>
  <si>
    <t>15/VSL/24000047</t>
  </si>
  <si>
    <t>MP12BC0671 - OMNI</t>
  </si>
  <si>
    <t xml:space="preserve">Sudhir Patel </t>
  </si>
  <si>
    <t>PIPALAPURA GOLWADI KHARGONE DIST KHARGONE</t>
  </si>
  <si>
    <t>MA3EDC03TRE321544</t>
  </si>
  <si>
    <t>TVDG4032026</t>
  </si>
  <si>
    <t>ROHIT SAGORE (2457407951)</t>
  </si>
  <si>
    <t>ANIL NIRALE</t>
  </si>
  <si>
    <t>DIOPN3924D</t>
  </si>
  <si>
    <t>15/VSL/24000049</t>
  </si>
  <si>
    <t>COM02</t>
  </si>
  <si>
    <t xml:space="preserve">MAHADEV PATIDAR </t>
  </si>
  <si>
    <t>GRAM ACHHALWADI TEH.SEGAON KHARGONE</t>
  </si>
  <si>
    <t>MA3EDC03TRB309329</t>
  </si>
  <si>
    <t>TVDG3964561</t>
  </si>
  <si>
    <t>ANIL NIRALE (2457305368)</t>
  </si>
  <si>
    <t>DKMPR4780R</t>
  </si>
  <si>
    <t>MAHESHWAR</t>
  </si>
  <si>
    <t>15/VSL/24000050</t>
  </si>
  <si>
    <t>MP10G2373</t>
  </si>
  <si>
    <t>15 KAROLI KAROLI KHARGONE</t>
  </si>
  <si>
    <t>MA3EDC03TRC312832</t>
  </si>
  <si>
    <t>TVDG3956863</t>
  </si>
  <si>
    <t>RAHUL (2457316860)</t>
  </si>
  <si>
    <t>TAROON PATIL</t>
  </si>
  <si>
    <t>BENPP6629G</t>
  </si>
  <si>
    <t>15/VSL/24000048</t>
  </si>
  <si>
    <t>MP09WG2504</t>
  </si>
  <si>
    <t>SEN029</t>
  </si>
  <si>
    <t xml:space="preserve">SAMROZ SHEIKH </t>
  </si>
  <si>
    <t>SEN001</t>
  </si>
  <si>
    <t xml:space="preserve">IMRAN MANSURI </t>
  </si>
  <si>
    <t>13/47</t>
  </si>
  <si>
    <t>BALWAD POST BALWADI BALWAD BARWANI</t>
  </si>
  <si>
    <t>MA3EDC03TRE321360</t>
  </si>
  <si>
    <t>TVDG4032025</t>
  </si>
  <si>
    <t>TAROON PATIL (2457255411)</t>
  </si>
  <si>
    <t>PRAKASH SENANI</t>
  </si>
  <si>
    <t>SSRPS6274M</t>
  </si>
  <si>
    <t>15/VSL/24000051</t>
  </si>
  <si>
    <t>NX47</t>
  </si>
  <si>
    <t xml:space="preserve">DEEPAK GUPTA </t>
  </si>
  <si>
    <t>14/48</t>
  </si>
  <si>
    <t>MALPHALYA POST-JOGWADA; GRAM JOGWADA;VTC JOGWADA; SUB.DIST.NIWALI DIST.BARWANI</t>
  </si>
  <si>
    <t>MA3EDC03TRB308017</t>
  </si>
  <si>
    <t>TVDG3948670</t>
  </si>
  <si>
    <t>PRAKASH SENANI (2457461793)</t>
  </si>
  <si>
    <t>SUBHASH CHANDRA JAISWAL</t>
  </si>
  <si>
    <t>CMFPJ0307Q</t>
  </si>
  <si>
    <t>15/VSL/24000052</t>
  </si>
  <si>
    <t>MP09WE4346 - EECO - 2020</t>
  </si>
  <si>
    <t xml:space="preserve">2070 IRFAN KHAN </t>
  </si>
  <si>
    <t>R223</t>
  </si>
  <si>
    <t xml:space="preserve">SHRIKANT YADAV </t>
  </si>
  <si>
    <t>THI51</t>
  </si>
  <si>
    <t xml:space="preserve">NATVAR PATIDAR </t>
  </si>
  <si>
    <t>15/49</t>
  </si>
  <si>
    <t>BRAJDHAM COLONY THIKRI DIST BARWANI</t>
  </si>
  <si>
    <t>MA3EDC03TRA305721</t>
  </si>
  <si>
    <t>TVDG3902628</t>
  </si>
  <si>
    <t>SUBHASH CHANDRA JAISWAL (2457430534)</t>
  </si>
  <si>
    <t>MAHESHWAR - SALES / WORKS</t>
  </si>
  <si>
    <t>GANESH KEWAT</t>
  </si>
  <si>
    <t>CJWPG4916L</t>
  </si>
  <si>
    <t>22/VSL/24000030</t>
  </si>
  <si>
    <t>D33902</t>
  </si>
  <si>
    <t>MHS09</t>
  </si>
  <si>
    <t xml:space="preserve">PANKAJ KUMAR PANWAR </t>
  </si>
  <si>
    <t>40/422</t>
  </si>
  <si>
    <t>VILL PITAMBLI TEH MAHESHWAR DIST KHARGONE</t>
  </si>
  <si>
    <t>MA3JDT08WRED33902</t>
  </si>
  <si>
    <t>TVDG4019919</t>
  </si>
  <si>
    <t>GANESH KEWAT (2457127039)</t>
  </si>
  <si>
    <t>PRADEEP PATEL</t>
  </si>
  <si>
    <t>CVVPP1485N</t>
  </si>
  <si>
    <t>22/VSL/24000031</t>
  </si>
  <si>
    <t>MP09CQ9757 - RITZVDI</t>
  </si>
  <si>
    <t>MHS05</t>
  </si>
  <si>
    <t xml:space="preserve">GURPREET BHATIYA </t>
  </si>
  <si>
    <t>50/432</t>
  </si>
  <si>
    <t>BIKHRON GULJHIRI DIST DHAR</t>
  </si>
  <si>
    <t>MA3RYHK1SRE421736</t>
  </si>
  <si>
    <t>TVDM5031055</t>
  </si>
  <si>
    <t>PRADEEP PATEL (2457093131)</t>
  </si>
  <si>
    <t>FIROJ KHAN</t>
  </si>
  <si>
    <t>NXVPK0794Q</t>
  </si>
  <si>
    <t>22/VSL/24000033</t>
  </si>
  <si>
    <t>D29822</t>
  </si>
  <si>
    <t>71/453</t>
  </si>
  <si>
    <t>MAKAN NO.166;WARD NO.11 GRAM GAWADI TAH.NIWALI DIST.BARWANI</t>
  </si>
  <si>
    <t>MA3JDT08WRED29822</t>
  </si>
  <si>
    <t>TVDG4008994</t>
  </si>
  <si>
    <t>FIROJ KHAN (2457168517)</t>
  </si>
  <si>
    <t>SANGITA AMBULKAR</t>
  </si>
  <si>
    <t>HFUPS9313Q</t>
  </si>
  <si>
    <t>22/VSL/24000034</t>
  </si>
  <si>
    <t>78/460</t>
  </si>
  <si>
    <t>JUNA RAM MANDIR MARG MAHESHWAR DIST.KHARGONE</t>
  </si>
  <si>
    <t>MA3BNC72SRF819439</t>
  </si>
  <si>
    <t>TVDM5073152</t>
  </si>
  <si>
    <t>SANGITA AMBULKAR (2457230537)</t>
  </si>
  <si>
    <t>MAYURI CHHABRA</t>
  </si>
  <si>
    <t>DHBPM8730E</t>
  </si>
  <si>
    <t>DHAMNOD</t>
  </si>
  <si>
    <t>22/VSL/24000032</t>
  </si>
  <si>
    <t>MARUTI BREZZA ZXI CNG 1.5L 5MT</t>
  </si>
  <si>
    <t>SPLENDID SILVER (BLACK ROOF)</t>
  </si>
  <si>
    <t>86/468</t>
  </si>
  <si>
    <t>72 SHIV NAGAR COLONY DHAMNOD WARD NO 10 MUKHARI WARD DHAMNOD</t>
  </si>
  <si>
    <t>MA3RYHK1SRE431502</t>
  </si>
  <si>
    <t>EW7864549</t>
  </si>
  <si>
    <t>TVDM5070765</t>
  </si>
  <si>
    <t>MAYURI CHHABRA (2457065081)</t>
  </si>
  <si>
    <t>SUNIL MORYA</t>
  </si>
  <si>
    <t>FPNPM7207A</t>
  </si>
  <si>
    <t>22/VSL/24000035</t>
  </si>
  <si>
    <t>A40021</t>
  </si>
  <si>
    <t>93/475</t>
  </si>
  <si>
    <t>GRAM KHARIYA TEH MAHESHWAR DIST KHARGONE</t>
  </si>
  <si>
    <t>MA3JMTB1SRAA40021</t>
  </si>
  <si>
    <t>C507631</t>
  </si>
  <si>
    <t>EW7866253</t>
  </si>
  <si>
    <t>TVDM4795234</t>
  </si>
  <si>
    <t>SUNIL MORYA (2457335491)</t>
  </si>
  <si>
    <t>MAHENDRA MALIWAD</t>
  </si>
  <si>
    <t>IHBPM8950B</t>
  </si>
  <si>
    <t>22/VSL/24000036</t>
  </si>
  <si>
    <t>D21512</t>
  </si>
  <si>
    <t>98/480</t>
  </si>
  <si>
    <t>GRAM-RAMDAD DIST.KHARGONE KHARGONE</t>
  </si>
  <si>
    <t>MA3JDT08WRDD21512</t>
  </si>
  <si>
    <t>TVDG3989433</t>
  </si>
  <si>
    <t>MAHENDRA MALIWAD (2456843544)</t>
  </si>
  <si>
    <t>RAJESH VERMA</t>
  </si>
  <si>
    <t>BJOPV4635E</t>
  </si>
  <si>
    <t>22/VSL/24000037</t>
  </si>
  <si>
    <t>MP09WC9687 - ECCO</t>
  </si>
  <si>
    <t>118/500</t>
  </si>
  <si>
    <t>MANDLESHWAR DIST KHARGONE</t>
  </si>
  <si>
    <t>MA3BNC72SRF822101</t>
  </si>
  <si>
    <t>TVDM5073125</t>
  </si>
  <si>
    <t>RAJESH VERMA (2457340338)</t>
  </si>
  <si>
    <t>CMQPM0887H</t>
  </si>
  <si>
    <t>22/VSL/24000039</t>
  </si>
  <si>
    <t>MP09WF8549 - EECO</t>
  </si>
  <si>
    <t>150/532</t>
  </si>
  <si>
    <t>HAT BAYDI WARD 10 RAJPUR BARWANI DIST.BARWANI</t>
  </si>
  <si>
    <t>MA3SFM61SRE289742</t>
  </si>
  <si>
    <t>EW7891971</t>
  </si>
  <si>
    <t>TVDG4016265</t>
  </si>
  <si>
    <t>MAHESH (2457457811)</t>
  </si>
  <si>
    <t>QAID JOHER</t>
  </si>
  <si>
    <t>BMZPJ5033Q</t>
  </si>
  <si>
    <t>KUKSHI</t>
  </si>
  <si>
    <t>22/VSL/24000040</t>
  </si>
  <si>
    <t>D28483</t>
  </si>
  <si>
    <t>154/536</t>
  </si>
  <si>
    <t>233;SAIFIYA UPMARG; BOHRA MOHALLA WARD NO.07 KUKSHI DHAR</t>
  </si>
  <si>
    <t>MA3JDT08WRED28483</t>
  </si>
  <si>
    <t>TVDG4006086</t>
  </si>
  <si>
    <t>QAID JOHER (2457370817)</t>
  </si>
  <si>
    <t>AJAY VASUNIYA</t>
  </si>
  <si>
    <t>CPBPV3722E</t>
  </si>
  <si>
    <t>22/VSL/24000041</t>
  </si>
  <si>
    <t>D43888</t>
  </si>
  <si>
    <t>162/544</t>
  </si>
  <si>
    <t>59/03 BANDAPURA ITAWADI TEH.MAHESHWAR DIST.KHARGONE</t>
  </si>
  <si>
    <t>MA3JDT08WRFD43888</t>
  </si>
  <si>
    <t>TVDG4041387</t>
  </si>
  <si>
    <t>AJAY VASUNIYA (2457469609)</t>
  </si>
  <si>
    <t>SENDHWA-SALES/WORKSHOP</t>
  </si>
  <si>
    <t>HARSH</t>
  </si>
  <si>
    <t>BIBPH8743K</t>
  </si>
  <si>
    <t>12/VSL/24000055</t>
  </si>
  <si>
    <t>10/392</t>
  </si>
  <si>
    <t>WARD NO.13 NIWALI ROAD SENDHWA BARWANI</t>
  </si>
  <si>
    <t>MBHZCDESKRD101927</t>
  </si>
  <si>
    <t>EW7820313</t>
  </si>
  <si>
    <t>TVDH3810795</t>
  </si>
  <si>
    <t>HARSH (2457068956)</t>
  </si>
  <si>
    <t>SHIVRAM MALVIYA</t>
  </si>
  <si>
    <t>EICPM5525G</t>
  </si>
  <si>
    <t>12/VSL/24000058</t>
  </si>
  <si>
    <t>A70298</t>
  </si>
  <si>
    <t>MP09BD8462 - OMNI</t>
  </si>
  <si>
    <t>25/407</t>
  </si>
  <si>
    <t>HOUSE NO.35 SALIKALA SALIKALA SALIKALA VTC DIST.BARWANI</t>
  </si>
  <si>
    <t>MA3JMTC1SRBA70298</t>
  </si>
  <si>
    <t>TVDG3947340</t>
  </si>
  <si>
    <t>SHIVRAM MALVIYA (2456529557)</t>
  </si>
  <si>
    <t>MUKESH</t>
  </si>
  <si>
    <t>FLNPM4098D</t>
  </si>
  <si>
    <t>12/VSL/24000059</t>
  </si>
  <si>
    <t>D34386</t>
  </si>
  <si>
    <t>SEN182</t>
  </si>
  <si>
    <t xml:space="preserve">ROSHANI GUPTA </t>
  </si>
  <si>
    <t>23/405</t>
  </si>
  <si>
    <t>WARD -23 TAI GOURBEDI SENDHWA VTC SENDHWA R.A PO SENDHWA DIST BARWANI</t>
  </si>
  <si>
    <t>MA3JDT08WRED34386</t>
  </si>
  <si>
    <t>TVDG4019157</t>
  </si>
  <si>
    <t>MUKESH (2457156415)</t>
  </si>
  <si>
    <t>VIKESH BARDE</t>
  </si>
  <si>
    <t>FZEPB7118C</t>
  </si>
  <si>
    <t>12/VSL/24000062</t>
  </si>
  <si>
    <t>D36722</t>
  </si>
  <si>
    <t>PAN17</t>
  </si>
  <si>
    <t xml:space="preserve">RAVINDRA SONIS </t>
  </si>
  <si>
    <t>66/448</t>
  </si>
  <si>
    <t>GRAM BANDHARA  BUJURG POST BADDHARA BUJURG TEH PANSEMAL DIST BARWANI</t>
  </si>
  <si>
    <t>MA3JDT08WRED36722</t>
  </si>
  <si>
    <t>EW7854147</t>
  </si>
  <si>
    <t>TVDG4025055</t>
  </si>
  <si>
    <t>VIKESH BARDE (2457236758)</t>
  </si>
  <si>
    <t>RAJENDRA MALVIYA</t>
  </si>
  <si>
    <t>BOEPM0290P</t>
  </si>
  <si>
    <t>12/VSL/24000061</t>
  </si>
  <si>
    <t>D36250</t>
  </si>
  <si>
    <t>85/467</t>
  </si>
  <si>
    <t>MAKAN N 3;WARD N 6; TEH.SENDHWA;GRAM CHACHRIYA; PATI;CHACHARIYA PATI;BARWANI</t>
  </si>
  <si>
    <t>MA3JDT08WRED36250</t>
  </si>
  <si>
    <t>EW7863208</t>
  </si>
  <si>
    <t>TVDG4025054</t>
  </si>
  <si>
    <t>RAJENDRA MALVIYA (2457266740)</t>
  </si>
  <si>
    <t>KRISHNADAS NATHU LOHAR</t>
  </si>
  <si>
    <t>ACWPV5951H</t>
  </si>
  <si>
    <t>DHULE</t>
  </si>
  <si>
    <t>12/VSL/24000066</t>
  </si>
  <si>
    <t>D44128</t>
  </si>
  <si>
    <t>108/490</t>
  </si>
  <si>
    <t>POST OFFICE;SHIRPUR TALUKA SHIRPUR; DIST.DHULE</t>
  </si>
  <si>
    <t>MA3JDT08WRFD44128</t>
  </si>
  <si>
    <t>EW7872635</t>
  </si>
  <si>
    <t>TVDG4037186</t>
  </si>
  <si>
    <t>KRISHNADAS NATHU LOHAR (2457337505)</t>
  </si>
  <si>
    <t>AMOL KAILASH KASAT</t>
  </si>
  <si>
    <t>EJOPK9775F</t>
  </si>
  <si>
    <t>12/VSL/24000065</t>
  </si>
  <si>
    <t>133/515</t>
  </si>
  <si>
    <t>BALWADI PO.BALWADI SENDHWA DIST.BARWANI</t>
  </si>
  <si>
    <t>MBHZCDESKRD100438</t>
  </si>
  <si>
    <t>EW7886647</t>
  </si>
  <si>
    <t>TVDH3825853</t>
  </si>
  <si>
    <t>AMOL KAILASH KASAT (2457134709)</t>
  </si>
  <si>
    <t>KOLI CHHOTU NIMBA</t>
  </si>
  <si>
    <t>AIWPK3445M</t>
  </si>
  <si>
    <t>12/VSL/24000067</t>
  </si>
  <si>
    <t>142/524</t>
  </si>
  <si>
    <t>SHIRPUR DIST.DHULE MAHARASHRA</t>
  </si>
  <si>
    <t>MA3BNC62SRF824401</t>
  </si>
  <si>
    <t>TVDM5082433</t>
  </si>
  <si>
    <t>KOLI CHHOTU NIMBA (2457163209)</t>
  </si>
  <si>
    <t>THIKRI-SALES/WORKSHOP</t>
  </si>
  <si>
    <t>BHUPENDRA GOSWAMI</t>
  </si>
  <si>
    <t>EHXPG6104F</t>
  </si>
  <si>
    <t>21/VSL/24000022</t>
  </si>
  <si>
    <t>D23384</t>
  </si>
  <si>
    <t>MP10BA4078 - OMNISTD</t>
  </si>
  <si>
    <t>THI145</t>
  </si>
  <si>
    <t xml:space="preserve">WASIM KHAN </t>
  </si>
  <si>
    <t>7/389</t>
  </si>
  <si>
    <t>DAWANA BARWANI TEH.BARWANI DIST.BARWANI</t>
  </si>
  <si>
    <t>MA3JDT08WRDD23384</t>
  </si>
  <si>
    <t>TVDG3995541</t>
  </si>
  <si>
    <t>BHUPENDRA GOSWAMI (2457001170)</t>
  </si>
  <si>
    <t>PARSHURAM RATILAL RATHOD</t>
  </si>
  <si>
    <t>DTCPR1031L</t>
  </si>
  <si>
    <t>21/VSL/24000023</t>
  </si>
  <si>
    <t>D34929</t>
  </si>
  <si>
    <t>6/388</t>
  </si>
  <si>
    <t>HOUSE NO.123 GRAM MORTALAI POST.MORTALAI TEH.PANSEMAL BARWANI</t>
  </si>
  <si>
    <t>MA3JDT08WRED34929</t>
  </si>
  <si>
    <t>EW7817343</t>
  </si>
  <si>
    <t>TVDG4019160</t>
  </si>
  <si>
    <t>PARSHURAM RATILAL RATHOD (2457088582)</t>
  </si>
  <si>
    <t>VIJAY RATHOR</t>
  </si>
  <si>
    <t>EHMPR6083M</t>
  </si>
  <si>
    <t>21/VSL/24000024</t>
  </si>
  <si>
    <t>D26126</t>
  </si>
  <si>
    <t>37/419</t>
  </si>
  <si>
    <t>M.N. 96 POST RRANGAON RAOD CHHOTI KHARGONE TEH RAJPUR DIST BARWANI</t>
  </si>
  <si>
    <t>MA3JDT08WRDD26126</t>
  </si>
  <si>
    <t>TVDG3998753</t>
  </si>
  <si>
    <t>VIJAY RATHOR (2457140749)</t>
  </si>
  <si>
    <t>SHAHRUKH KHAN</t>
  </si>
  <si>
    <t>ESMPK1540K</t>
  </si>
  <si>
    <t>21/VSL/24000025</t>
  </si>
  <si>
    <t>B16495</t>
  </si>
  <si>
    <t xml:space="preserve">AMIT SONI  </t>
  </si>
  <si>
    <t>51/433</t>
  </si>
  <si>
    <t>HOUSE NO MOTI NAGAR PIPARI THIKRI TEH THIKRI DIST BARWANI</t>
  </si>
  <si>
    <t>MA3JMTB1SREB16495</t>
  </si>
  <si>
    <t>F008980</t>
  </si>
  <si>
    <t>TVDM5062476</t>
  </si>
  <si>
    <t>SHAHRUKH KHAN (2457122166)</t>
  </si>
  <si>
    <t>ANOKHI LAL</t>
  </si>
  <si>
    <t>AUDPA6900A</t>
  </si>
  <si>
    <t>21/VSL/24000029</t>
  </si>
  <si>
    <t>MP0WF0876 - ALTO800</t>
  </si>
  <si>
    <t>76/458</t>
  </si>
  <si>
    <t>128 LENDIPURA LENDIPURA SATARTI KHARGONE</t>
  </si>
  <si>
    <t>MA3BNC72SRE806330</t>
  </si>
  <si>
    <t>TVDM5026405</t>
  </si>
  <si>
    <t>ANOKHI LAL (2456435657)</t>
  </si>
  <si>
    <t>NARENDRA MORE</t>
  </si>
  <si>
    <t>JBKPM6498C</t>
  </si>
  <si>
    <t>21/VSL/24000031</t>
  </si>
  <si>
    <t>A89350</t>
  </si>
  <si>
    <t>107/489</t>
  </si>
  <si>
    <t>BANDRAKACHH POST.RANGAON DEB. RANGAON DEB; TEH.THIKRI DIST.BARWANI</t>
  </si>
  <si>
    <t>MA3JMTB1SRDA89350</t>
  </si>
  <si>
    <t>C561027</t>
  </si>
  <si>
    <t>TVDM4949009</t>
  </si>
  <si>
    <t>NARENDRA MORE (2457320266)</t>
  </si>
  <si>
    <t>ANAND KUMAR GAWADEKAR</t>
  </si>
  <si>
    <t>ALVPG7777N</t>
  </si>
  <si>
    <t>21/VSL/24000032</t>
  </si>
  <si>
    <t>AXIS BANK LIMITED</t>
  </si>
  <si>
    <t>113/495</t>
  </si>
  <si>
    <t>VRINDAVAN COLONY NEAR DURGA MANDIR KHALGHAT KHAL BUJURG TEH DHARMPURI DIST DHAR</t>
  </si>
  <si>
    <t>MA3BNC62SRE801932</t>
  </si>
  <si>
    <t>EW7876897</t>
  </si>
  <si>
    <t>TVDM5006093</t>
  </si>
  <si>
    <t>ANAND KUMAR GAWADEKAR (2457277706)</t>
  </si>
  <si>
    <t>MANGI LAL DHANGAR</t>
  </si>
  <si>
    <t>JPIPD2173D</t>
  </si>
  <si>
    <t>21/VSL/24000034</t>
  </si>
  <si>
    <t>D41783</t>
  </si>
  <si>
    <t>KOGTA FINANCIAL (INDIA) LIMITE</t>
  </si>
  <si>
    <t>THI64</t>
  </si>
  <si>
    <t xml:space="preserve">ATISH MOYE </t>
  </si>
  <si>
    <t>158/540</t>
  </si>
  <si>
    <t>TEH.THIKRI POST.SEGWAL M.NO.138 WAR NO.08 VTC SEGWAL DIST.BARWANI</t>
  </si>
  <si>
    <t>MA3JDT08WRFD41783</t>
  </si>
  <si>
    <t>TVDG4037289</t>
  </si>
  <si>
    <t>MANGI LAL DHANGAR (2456704931)</t>
  </si>
  <si>
    <t>VINOD</t>
  </si>
  <si>
    <t>BIKPV0975L</t>
  </si>
  <si>
    <t>21/VSL/24000036</t>
  </si>
  <si>
    <t>D41603</t>
  </si>
  <si>
    <t>163/544</t>
  </si>
  <si>
    <t>166 TALWADA DEB TALWADA DEB BARWANI DIST BARWANI</t>
  </si>
  <si>
    <t>MA3JDT08WRFD41603</t>
  </si>
  <si>
    <t>TVDG4037284</t>
  </si>
  <si>
    <t>VINOD (2457500007)</t>
  </si>
  <si>
    <t>ANOKCHAND</t>
  </si>
  <si>
    <t>BHLPA9982Q</t>
  </si>
  <si>
    <t>21/VSL/24000037</t>
  </si>
  <si>
    <t>D43777</t>
  </si>
  <si>
    <t>164/546</t>
  </si>
  <si>
    <t>18 BALAWADA KHALGHAT TEH DHARMPURI DIST DHAR</t>
  </si>
  <si>
    <t>MA3JDT08WRFD43777</t>
  </si>
  <si>
    <t>TVDG4041388</t>
  </si>
  <si>
    <t>ANOKCHAND (2457260618)</t>
  </si>
  <si>
    <t>S.No.</t>
  </si>
  <si>
    <t xml:space="preserve">CUSTOMER </t>
  </si>
  <si>
    <t>Chesis No</t>
  </si>
  <si>
    <t>MOBILE NO</t>
  </si>
  <si>
    <t xml:space="preserve">Delivery Date </t>
  </si>
  <si>
    <t>DO RECEIVED DATE</t>
  </si>
  <si>
    <t>Location Team</t>
  </si>
  <si>
    <t>Location Delivery</t>
  </si>
  <si>
    <t>Delivery Status</t>
  </si>
  <si>
    <t>PEN CARD NO.</t>
  </si>
  <si>
    <t>Invoice Date</t>
  </si>
  <si>
    <t>Invoice No</t>
  </si>
  <si>
    <t>Variant Model</t>
  </si>
  <si>
    <t>ACTUAL FINANCE AMOUNT</t>
  </si>
  <si>
    <t xml:space="preserve">Financer Name </t>
  </si>
  <si>
    <t xml:space="preserve">BRANCH NAME </t>
  </si>
  <si>
    <t>DSE Name</t>
  </si>
  <si>
    <t>BM AND TL NAME</t>
  </si>
  <si>
    <t>Ex-Showroom Value</t>
  </si>
  <si>
    <t>RTO</t>
  </si>
  <si>
    <t>Insurance</t>
  </si>
  <si>
    <t>Extended Warranty</t>
  </si>
  <si>
    <t>Fastag</t>
  </si>
  <si>
    <t>Autocard</t>
  </si>
  <si>
    <t>TR</t>
  </si>
  <si>
    <t>CCP PLUS</t>
  </si>
  <si>
    <t xml:space="preserve"> TCS</t>
  </si>
  <si>
    <t>MGA Sale (before discount)</t>
  </si>
  <si>
    <t>CASH ACCESSORIES</t>
  </si>
  <si>
    <t>Teflon</t>
  </si>
  <si>
    <t>USED CAR PURCHASE PRICE</t>
  </si>
  <si>
    <t>Foreclose</t>
  </si>
  <si>
    <t>Consumer Offer Cash</t>
  </si>
  <si>
    <t>Consumer Offer MSGA</t>
  </si>
  <si>
    <t>ACCESSORIES FOC</t>
  </si>
  <si>
    <t>SAWAN MELA OFFER</t>
  </si>
  <si>
    <t>BOOKING BONANZA</t>
  </si>
  <si>
    <t xml:space="preserve">RETIAL OFFER </t>
  </si>
  <si>
    <t>ISL</t>
  </si>
  <si>
    <t>RMK</t>
  </si>
  <si>
    <t>RIPS Support</t>
  </si>
  <si>
    <t>MERI MARUTI MERI SHAAN</t>
  </si>
  <si>
    <t>Exchange Discount</t>
  </si>
  <si>
    <t>CASH        MSGA DISCOUNT</t>
  </si>
  <si>
    <t>TR.FILE DISCOUNT</t>
  </si>
  <si>
    <t>DREAM SERIES</t>
  </si>
  <si>
    <t>EXTRA DISCOUNT</t>
  </si>
  <si>
    <t>EXCHANGE BONUS DISCOUNT</t>
  </si>
  <si>
    <t>FLET DISCOUNT RTO</t>
  </si>
  <si>
    <t>BOOKING BOOSTER OFFER</t>
  </si>
  <si>
    <t>ACC.DISCOUNT AS PER DMS</t>
  </si>
  <si>
    <t>On Road Price</t>
  </si>
  <si>
    <t>Finance Amount</t>
  </si>
  <si>
    <t>Financer REMARK</t>
  </si>
  <si>
    <t>Payout Eligibility</t>
  </si>
  <si>
    <t>Payout Status</t>
  </si>
  <si>
    <t>MSSF.ID NO</t>
  </si>
  <si>
    <t>Amount Received</t>
  </si>
  <si>
    <t>Outstanding</t>
  </si>
  <si>
    <t>DUE DATE</t>
  </si>
  <si>
    <t>REFUND AMOUNT</t>
  </si>
  <si>
    <t>Exchange Status</t>
  </si>
  <si>
    <t>Exchange Remarks</t>
  </si>
  <si>
    <t>Exchange Value</t>
  </si>
  <si>
    <t>Evaluater Name</t>
  </si>
  <si>
    <t>Offers Scheme Amount to be receivable from MSIL</t>
  </si>
  <si>
    <t>Offers Scheme Amount received from MSIL</t>
  </si>
  <si>
    <t>MOHAN S/O KHUMAN SINGH 2457076988</t>
  </si>
  <si>
    <t>89649-33246</t>
  </si>
  <si>
    <t>SHOWROOM</t>
  </si>
  <si>
    <t>5 STR AC WHITE</t>
  </si>
  <si>
    <t>AU</t>
  </si>
  <si>
    <t>HUKUM ARYA</t>
  </si>
  <si>
    <t>YES</t>
  </si>
  <si>
    <t xml:space="preserve">VIVEK HIRALAL PATIL </t>
  </si>
  <si>
    <t>97305-05511</t>
  </si>
  <si>
    <t>5 STR AC SILVER</t>
  </si>
  <si>
    <t>SARASWATI CO-OP BANK LTD</t>
  </si>
  <si>
    <t>NIKHIL CHOUHAN</t>
  </si>
  <si>
    <t>VINOD RATHOD</t>
  </si>
  <si>
    <t>NO</t>
  </si>
  <si>
    <t xml:space="preserve">GAURAV S/O DIGAMBER PATIL </t>
  </si>
  <si>
    <t>72648-01080</t>
  </si>
  <si>
    <t xml:space="preserve">Ertiga </t>
  </si>
  <si>
    <t>VXI CNG WHITE</t>
  </si>
  <si>
    <t>MAHINDRA</t>
  </si>
  <si>
    <t xml:space="preserve">PUNE </t>
  </si>
  <si>
    <t>DEVDAS S/O SUKHLAL 2457071668</t>
  </si>
  <si>
    <t>88894-53309</t>
  </si>
  <si>
    <t>KASRAWAD</t>
  </si>
  <si>
    <t>7 STE  WHITE</t>
  </si>
  <si>
    <t>Cholamandalam</t>
  </si>
  <si>
    <t>VIRENDRA PATEL</t>
  </si>
  <si>
    <t xml:space="preserve">SADHNA C/O PRAVEEN  SHARMA </t>
  </si>
  <si>
    <t>62617-02797</t>
  </si>
  <si>
    <t>BREZZA</t>
  </si>
  <si>
    <t>LXI WHITE</t>
  </si>
  <si>
    <t>SBI</t>
  </si>
  <si>
    <t>ANAND NAGAR KHANDWA</t>
  </si>
  <si>
    <t>KRISHNA KASHYAP</t>
  </si>
  <si>
    <t xml:space="preserve">RAJESH KUMAR </t>
  </si>
  <si>
    <t xml:space="preserve">PRSHURAM S/O RATILAL RATHOD </t>
  </si>
  <si>
    <t>78690-06888</t>
  </si>
  <si>
    <t>THIKRI</t>
  </si>
  <si>
    <t>Madhya Pradesh Gramin Bank</t>
  </si>
  <si>
    <t>KHETIA</t>
  </si>
  <si>
    <t>NATWAR PATIDAR</t>
  </si>
  <si>
    <t>NOT IN MSSF</t>
  </si>
  <si>
    <t>BHUPENDRA S/O KAILASH GOSWAMI 2457001170</t>
  </si>
  <si>
    <t>97559-30682</t>
  </si>
  <si>
    <t>EXPG6104F</t>
  </si>
  <si>
    <t>7 STR STD GREY</t>
  </si>
  <si>
    <t>WASIM KHAN</t>
  </si>
  <si>
    <t>IRFAN KHAN</t>
  </si>
  <si>
    <t>DEEPAK S/O GIRDHARI 2457105180</t>
  </si>
  <si>
    <t>96918-59984</t>
  </si>
  <si>
    <t>CELERIO</t>
  </si>
  <si>
    <t>ZXI GREY</t>
  </si>
  <si>
    <t>Sundaram</t>
  </si>
  <si>
    <t>SOURABH YADAV</t>
  </si>
  <si>
    <t>EQ0255247219</t>
  </si>
  <si>
    <t>040-06-24</t>
  </si>
  <si>
    <t>HARSH S/MANOJ 2457068956</t>
  </si>
  <si>
    <t>90095-84900</t>
  </si>
  <si>
    <t>SWIFT</t>
  </si>
  <si>
    <t>VXI(O) WHITE NEW</t>
  </si>
  <si>
    <t>HDFC</t>
  </si>
  <si>
    <t>SAMROJ SHEIKH</t>
  </si>
  <si>
    <t>IMRAN MASURI</t>
  </si>
  <si>
    <t xml:space="preserve">BALRAM S/O SURBHAN 2457108222 </t>
  </si>
  <si>
    <t>77719-26588</t>
  </si>
  <si>
    <t>SHAILENDRA SHARMA</t>
  </si>
  <si>
    <t>NITIN MEHTA</t>
  </si>
  <si>
    <t xml:space="preserve">DHIRAJ KUSHWAH S/O BRALAL KUSHWAH </t>
  </si>
  <si>
    <t>90981-23933,91315-77488</t>
  </si>
  <si>
    <t>SANJAY GAUTAM</t>
  </si>
  <si>
    <t>SHIV TOMAR</t>
  </si>
  <si>
    <t>KRISHNA SAVLE S/O SAKHARAM SAVLE 2456928437</t>
  </si>
  <si>
    <t>C875816</t>
  </si>
  <si>
    <t>93991-85359</t>
  </si>
  <si>
    <t>BARWAH</t>
  </si>
  <si>
    <t>VXI WHITE</t>
  </si>
  <si>
    <t>NEETESH DALE</t>
  </si>
  <si>
    <t>AKASH MISHRA</t>
  </si>
  <si>
    <t>MUNAVVAR SHEIKH S/O ABDUL AJEEJ SHEIKH  2457118515</t>
  </si>
  <si>
    <t>62613-99189</t>
  </si>
  <si>
    <t>7 STR WHITE</t>
  </si>
  <si>
    <t>Indusind Bank</t>
  </si>
  <si>
    <t>DA0885527</t>
  </si>
  <si>
    <t xml:space="preserve">GATHIYA SOLANKI S/O CHINDYA SOLANKI </t>
  </si>
  <si>
    <t>99777-69573</t>
  </si>
  <si>
    <t>BABULAL JAMRE S/O KHAJAN JAMRE 2457106693</t>
  </si>
  <si>
    <t>94073-25797</t>
  </si>
  <si>
    <t>7 STR SILVER</t>
  </si>
  <si>
    <t>PANKAJ PATIDAR S/O MANSHARAM PATIDAR 2456708127</t>
  </si>
  <si>
    <t>99936-62309</t>
  </si>
  <si>
    <t>Bank of India</t>
  </si>
  <si>
    <t>SINGHANA</t>
  </si>
  <si>
    <t>ANIL KUMAR NARGAWEN S/O PRATAP SINGH NARGAWEN</t>
  </si>
  <si>
    <t>70471-74798</t>
  </si>
  <si>
    <t>BAFPN3855E</t>
  </si>
  <si>
    <t>LXI CNG WHITE</t>
  </si>
  <si>
    <t>KARAWAD</t>
  </si>
  <si>
    <t>SACHIN VERMA</t>
  </si>
  <si>
    <t xml:space="preserve">PRANEL NINA CHAVARE </t>
  </si>
  <si>
    <t>95790-11654</t>
  </si>
  <si>
    <t>CIZPC2247M</t>
  </si>
  <si>
    <t>7 STR STD WHITE</t>
  </si>
  <si>
    <t>TOOFAN SINGH GHALAWE S/O VISHRAM GHALAWE</t>
  </si>
  <si>
    <t>96305-74624</t>
  </si>
  <si>
    <t>ZXI WHITE</t>
  </si>
  <si>
    <t>VINOD MANGROLIYA</t>
  </si>
  <si>
    <t>MAHESH YADAV S/O TIKARAM YADAV 2457103078</t>
  </si>
  <si>
    <t>62614-41723</t>
  </si>
  <si>
    <t>SAVAN PATIDAR</t>
  </si>
  <si>
    <t xml:space="preserve">MUKESH S/O RAMCHANDRA </t>
  </si>
  <si>
    <t>99773-15243</t>
  </si>
  <si>
    <t>ELNPM4098D</t>
  </si>
  <si>
    <t>SHRIRAM FINANCE</t>
  </si>
  <si>
    <t>ROSHNI GUPTA</t>
  </si>
  <si>
    <t>BURHANUDDIN GANDHI S/O ABBAS GANDHI 2457128627</t>
  </si>
  <si>
    <t>91718-18591</t>
  </si>
  <si>
    <t>WagonR</t>
  </si>
  <si>
    <t>VXI SILVER</t>
  </si>
  <si>
    <t>NILESH KUSHWAH</t>
  </si>
  <si>
    <t xml:space="preserve">KUNDAN S/O WAMAN </t>
  </si>
  <si>
    <t>62651-82809</t>
  </si>
  <si>
    <t>OKDPK40610</t>
  </si>
  <si>
    <t xml:space="preserve">SK FINANCE </t>
  </si>
  <si>
    <t>ANIL CHOUDHARY</t>
  </si>
  <si>
    <t>PRIYA TOUR AND TRAVELS  2457145883 &amp; 2457155038</t>
  </si>
  <si>
    <t>84329-80707</t>
  </si>
  <si>
    <t>AFNPT3728F</t>
  </si>
  <si>
    <t xml:space="preserve">SHRIRAM FINANCE </t>
  </si>
  <si>
    <t>NARENDRA S/O BHAGGU SOLANKI 2457153999</t>
  </si>
  <si>
    <t>97541-54068</t>
  </si>
  <si>
    <t>BATWANI</t>
  </si>
  <si>
    <t>VXI 1.0L WHITE</t>
  </si>
  <si>
    <t>SHAILENDRA MUVADIYA</t>
  </si>
  <si>
    <t>SHIVRAM  S/O MOHAN MALVIYA 2456529557</t>
  </si>
  <si>
    <t>99819-72111</t>
  </si>
  <si>
    <t>EICPM5525C</t>
  </si>
  <si>
    <t xml:space="preserve">ZXI+ BLACK </t>
  </si>
  <si>
    <t>TRILOK SINGH S/O KALURAM 2457101080</t>
  </si>
  <si>
    <t>78985-71166</t>
  </si>
  <si>
    <t>MAHENDRA PRAJAPATI S/O GAJANAND PRAJAPATI</t>
  </si>
  <si>
    <t>84638-42462,97706-98109</t>
  </si>
  <si>
    <t>LOVEKUSH CHOUHAN S/O KALU</t>
  </si>
  <si>
    <t>70494-14267</t>
  </si>
  <si>
    <t>CAVPC7149A</t>
  </si>
  <si>
    <t xml:space="preserve">SADHNA TAYADE W/O KISHOR TAYADE </t>
  </si>
  <si>
    <t>88896-68933</t>
  </si>
  <si>
    <t>VXI GREY</t>
  </si>
  <si>
    <t>NAGEEN MEENA</t>
  </si>
  <si>
    <t xml:space="preserve">ABDUL KADIR ROUNAK S/O YUSUF ALI ROUNAK </t>
  </si>
  <si>
    <t>94795-98553</t>
  </si>
  <si>
    <t>BUPPRO794G</t>
  </si>
  <si>
    <t>5 STR AC GREY</t>
  </si>
  <si>
    <t xml:space="preserve">VINAYAK VISHWANATH MALI 2457092974 </t>
  </si>
  <si>
    <t>87884-37830</t>
  </si>
  <si>
    <t>ZXI + WHITE</t>
  </si>
  <si>
    <t>NILESH PRAKASH PAKATEKAR S/O PRAKASH PAKATEKAR</t>
  </si>
  <si>
    <t>99203-11458</t>
  </si>
  <si>
    <t>KOTAK MAHINDRA</t>
  </si>
  <si>
    <t xml:space="preserve">CHETAN PAWAR S/O AMRATLAL PAWAR </t>
  </si>
  <si>
    <t>73896-62266</t>
  </si>
  <si>
    <t>ELLPP5243N</t>
  </si>
  <si>
    <t>RANJEET BHAGAT</t>
  </si>
  <si>
    <t>ASHISH MOURYA</t>
  </si>
  <si>
    <t xml:space="preserve">DINESH CHOUHAN S/O HARI CHOUHAN </t>
  </si>
  <si>
    <t>73894-08767</t>
  </si>
  <si>
    <t>BGBC7529J</t>
  </si>
  <si>
    <t>FAIZAL MANSURI</t>
  </si>
  <si>
    <t>GOVIND CHAWADA S/O KHEMA CHAWADA</t>
  </si>
  <si>
    <t>88158-71991</t>
  </si>
  <si>
    <t>APC9290F</t>
  </si>
  <si>
    <t>MILAN MOURYA</t>
  </si>
  <si>
    <t>ABHISHEK UPADHAYAY</t>
  </si>
  <si>
    <t xml:space="preserve">VIJAY RATHOR S/O RATAN LAL </t>
  </si>
  <si>
    <t>87907-08455</t>
  </si>
  <si>
    <t>SHRIKANT YADAV</t>
  </si>
  <si>
    <t xml:space="preserve">ANKIT GUPTA S/O DEVEDNRA GUPTA 2354417885 </t>
  </si>
  <si>
    <t>97544-81111</t>
  </si>
  <si>
    <t>MAHESHWAR ROAD BARWAHA</t>
  </si>
  <si>
    <t>BALRAM JAT S/O SUGANCHAND JAT 2456663066</t>
  </si>
  <si>
    <t>99269-06574</t>
  </si>
  <si>
    <t>BARWAHA</t>
  </si>
  <si>
    <t>AXHPJ23151M</t>
  </si>
  <si>
    <t>KATKUT</t>
  </si>
  <si>
    <t xml:space="preserve">GANESH KEWAT S/O DOULAT 2457127039 </t>
  </si>
  <si>
    <t>74411-58008</t>
  </si>
  <si>
    <t>PANKAJ PANWAR</t>
  </si>
  <si>
    <t>ASHISH LAAD</t>
  </si>
  <si>
    <t>DA0885703</t>
  </si>
  <si>
    <t>RAJESH SHAH S/O JAGNNAT 2457139646</t>
  </si>
  <si>
    <t>99268--84558</t>
  </si>
  <si>
    <t>SANJAY SEN</t>
  </si>
  <si>
    <t>VIRENDRA VERMA S/O MANNALAL 2957099019</t>
  </si>
  <si>
    <t>91662-38267</t>
  </si>
  <si>
    <t>SANJAY NAYAK</t>
  </si>
  <si>
    <t>RAMESH PATIL S/O DHANSINGH PATIL 2456657723</t>
  </si>
  <si>
    <t>98260-42763</t>
  </si>
  <si>
    <t>VXI M.GREY</t>
  </si>
  <si>
    <t>RAKESH NIMBEKAR</t>
  </si>
  <si>
    <t>ALOK DONGRE S/O SHIVANARAYAN DONGRE 2457123917</t>
  </si>
  <si>
    <t>98264-96899</t>
  </si>
  <si>
    <t>HIMANSHU YADAV</t>
  </si>
  <si>
    <t>EQ0253247222</t>
  </si>
  <si>
    <t>SAGAR SOLANKI S/O BALIRAM SOLANKI 2457112437</t>
  </si>
  <si>
    <t>78690-84835</t>
  </si>
  <si>
    <t>DQCP59529E</t>
  </si>
  <si>
    <t>VXI WHTIE</t>
  </si>
  <si>
    <t>CIVIL LINES KHANDWA</t>
  </si>
  <si>
    <t xml:space="preserve">NITIN CHHOTU HIRE </t>
  </si>
  <si>
    <t>97672-15815</t>
  </si>
  <si>
    <t>SHAHPUR</t>
  </si>
  <si>
    <t xml:space="preserve">PUSHPA JOSHI W/O SANTOSH KUMAR </t>
  </si>
  <si>
    <t>99814-34349</t>
  </si>
  <si>
    <t>ALTO K-10</t>
  </si>
  <si>
    <t>VXI + GREY</t>
  </si>
  <si>
    <t>JAWAHAR MARG KHARGONE</t>
  </si>
  <si>
    <t xml:space="preserve">SHANTILAL YADAV S/O BHAGWAN YADAV </t>
  </si>
  <si>
    <t>99266-90190</t>
  </si>
  <si>
    <t>ABHISHEK UPADHYAY</t>
  </si>
  <si>
    <t>EQ0355245260</t>
  </si>
  <si>
    <t>SANTOSH ATUTE S/O NAR SINGH ATURE 24570204629</t>
  </si>
  <si>
    <t>88788-33238,MSSF ID MO.NO.87709-63291</t>
  </si>
  <si>
    <t>EQ0355245263</t>
  </si>
  <si>
    <t>PRADEEP PATEL S/O TI24570-93131</t>
  </si>
  <si>
    <t>90981-11848</t>
  </si>
  <si>
    <t>GURPREET BHATIYA</t>
  </si>
  <si>
    <t>DA0887659</t>
  </si>
  <si>
    <t>SADDAM KHAN</t>
  </si>
  <si>
    <t xml:space="preserve">SHAHRUKH KHAN S/O SALIM KHAN 2457122166 </t>
  </si>
  <si>
    <t>87703-13387</t>
  </si>
  <si>
    <t>AMIT SONI</t>
  </si>
  <si>
    <t>RINA CHANDEL S/O MADAN SINGH CHANDEL 2457156983</t>
  </si>
  <si>
    <t>87706-86740</t>
  </si>
  <si>
    <t>BCLPC3860</t>
  </si>
  <si>
    <t>VXI + WHITE</t>
  </si>
  <si>
    <t>DA0886420</t>
  </si>
  <si>
    <t xml:space="preserve">YOGESH S/O PUNJAJI CHAWARE </t>
  </si>
  <si>
    <t>77579-14671</t>
  </si>
  <si>
    <t>DA0887071</t>
  </si>
  <si>
    <t>LAXMAN SULYA S/O DAMATYA 2457223039</t>
  </si>
  <si>
    <t>88893-01516</t>
  </si>
  <si>
    <t>SHEETAL DAWANE S/O MANSHARAM DAWANE 2457224253</t>
  </si>
  <si>
    <t>62651-54453</t>
  </si>
  <si>
    <t>RAJKUMAR S/O GANPAT 2457113981</t>
  </si>
  <si>
    <t>88392-34918</t>
  </si>
  <si>
    <t xml:space="preserve">PRAMOD BHARGAV S/O RAM GOPAL BHARGAV </t>
  </si>
  <si>
    <t>98265-61004</t>
  </si>
  <si>
    <t>LAKHAN S/O RAGHUNATH KUSHWAH  2457218713</t>
  </si>
  <si>
    <t>88892-32960</t>
  </si>
  <si>
    <t>GANESH S/O MANNALAL 2457220918</t>
  </si>
  <si>
    <t>98850-66715</t>
  </si>
  <si>
    <t>EPNG4722R</t>
  </si>
  <si>
    <t>7 STR GREY</t>
  </si>
  <si>
    <t xml:space="preserve">KETAN KKATKAR S/O DEVIDAS KATKAR </t>
  </si>
  <si>
    <t>62636-54982</t>
  </si>
  <si>
    <t xml:space="preserve">AASHISH MISHRA  S/O BADRI PRASAD 2457243347 </t>
  </si>
  <si>
    <t>99775-52003</t>
  </si>
  <si>
    <t>HY2PM8300M</t>
  </si>
  <si>
    <t>S-Presso</t>
  </si>
  <si>
    <t>SUNIL BARDE S/O BANSHILAL BARDE 2457124271</t>
  </si>
  <si>
    <t>79701-59277</t>
  </si>
  <si>
    <t>LXI SILVER</t>
  </si>
  <si>
    <t>SANDEEP RAIKWAR</t>
  </si>
  <si>
    <t>DA0887146</t>
  </si>
  <si>
    <t>MOHAMMAD HAIDAR ALI S/O BADSHAH2457257882</t>
  </si>
  <si>
    <t>88275-68383</t>
  </si>
  <si>
    <t>PIPLIYA</t>
  </si>
  <si>
    <t xml:space="preserve">PRACHI SHARMA D/O SHASHI BHUSHAN SHARMA </t>
  </si>
  <si>
    <t>82249-71014</t>
  </si>
  <si>
    <t>VXI CNG SILVER</t>
  </si>
  <si>
    <t>CHINTAMAN BHASKAR PATIL 2457245047 *****</t>
  </si>
  <si>
    <t>96373-94914</t>
  </si>
  <si>
    <t>HOME DILVERY</t>
  </si>
  <si>
    <t>C2TPP5435J</t>
  </si>
  <si>
    <t xml:space="preserve">VIKESH BARDE S/O ROVAN BARDE </t>
  </si>
  <si>
    <t>93026-88469</t>
  </si>
  <si>
    <t>PANSEMAL</t>
  </si>
  <si>
    <t>RAVINDRA SONIS</t>
  </si>
  <si>
    <t>ROHIT SAVLE</t>
  </si>
  <si>
    <t>VYASHI TOURS AND TRAVELS 2457078512</t>
  </si>
  <si>
    <t>98907-61252</t>
  </si>
  <si>
    <t xml:space="preserve">RUPESH KUMAR CHOUKIKAR S/O BHAIRAJ CHOUKIKAR </t>
  </si>
  <si>
    <t>70002-81653</t>
  </si>
  <si>
    <t>ZXI + BLACK</t>
  </si>
  <si>
    <t>AMAR ATRE S/O RAVINDRA ATRE 2457262724</t>
  </si>
  <si>
    <t>93402-25196</t>
  </si>
  <si>
    <t>ERTPA5766B</t>
  </si>
  <si>
    <t>OMPRAKASH YADAV 2457196393</t>
  </si>
  <si>
    <t>95892-44572</t>
  </si>
  <si>
    <t>EQ1151241043</t>
  </si>
  <si>
    <t>FIROJ KHAN S/O MUNIR KHAN 2457168517</t>
  </si>
  <si>
    <t>84350-87800</t>
  </si>
  <si>
    <t>NXVPK07948</t>
  </si>
  <si>
    <t xml:space="preserve">MAHESHWAR  </t>
  </si>
  <si>
    <t>RAVI VERMA</t>
  </si>
  <si>
    <t>EQ0103245180</t>
  </si>
  <si>
    <t>CHETAN DINKAR PATIL 2457259089</t>
  </si>
  <si>
    <t>72137-52647</t>
  </si>
  <si>
    <t>TOUR S CNG WHITE</t>
  </si>
  <si>
    <t xml:space="preserve">HEENA DEVI JOSHI S/O ASHISH JOSHI </t>
  </si>
  <si>
    <t>98269-77155</t>
  </si>
  <si>
    <t>AGIPJO122E</t>
  </si>
  <si>
    <t>SHIVNARAYAN LOKRE S/O BADRI PRASAD LOKRE 2457246069</t>
  </si>
  <si>
    <t>97541-35369</t>
  </si>
  <si>
    <t xml:space="preserve">ANOKHILAL S/O DEVA JI </t>
  </si>
  <si>
    <t>96694-15181</t>
  </si>
  <si>
    <t xml:space="preserve">AAKASH VARMA S/O SURESH VARMA 2457184584 </t>
  </si>
  <si>
    <t>88897-62377</t>
  </si>
  <si>
    <t>HIMANSHU MOURYA</t>
  </si>
  <si>
    <t>EQ1151241042</t>
  </si>
  <si>
    <t>RAHUL S/O SUKRAM 2457196333</t>
  </si>
  <si>
    <t>62639-36810</t>
  </si>
  <si>
    <t>MONGARGAON</t>
  </si>
  <si>
    <t>SANGITA W/O KAMAL AMBULKAR 2457230537</t>
  </si>
  <si>
    <t>99933-53789</t>
  </si>
  <si>
    <t>VXI (O) WHITE</t>
  </si>
  <si>
    <t>IQBAL KHAN  S/O ARABAB KHAN 24457295226</t>
  </si>
  <si>
    <t>75667-46205</t>
  </si>
  <si>
    <t>ARVIND YADAV</t>
  </si>
  <si>
    <t>JITESH S/O DURGASHANKAR  2457186209</t>
  </si>
  <si>
    <t>72470-81842</t>
  </si>
  <si>
    <t>NARAYAN CHANDKE</t>
  </si>
  <si>
    <t>PRAKASH KUMAR S/O ASU RAM 2456962651</t>
  </si>
  <si>
    <t>78783-46280</t>
  </si>
  <si>
    <t>PUNE  ( M.H)</t>
  </si>
  <si>
    <t>MAHESH MOURYA</t>
  </si>
  <si>
    <t>BABALU KHODE S/O DHUNDHARIYA KHODE 2457314063,2457175617</t>
  </si>
  <si>
    <t>78285-58022</t>
  </si>
  <si>
    <t>BHAGWANPURA</t>
  </si>
  <si>
    <t>SHEKH NAFIS S/O SHEKH HAFIZ 2456810272</t>
  </si>
  <si>
    <t>62641-73143</t>
  </si>
  <si>
    <t>BLSPN3975I</t>
  </si>
  <si>
    <t>ARPAN SHARMA</t>
  </si>
  <si>
    <t>ABHISHEK S/O  NARAYAN JI PATIDAR 2457042907</t>
  </si>
  <si>
    <t>88898-27079</t>
  </si>
  <si>
    <t>EPRPP4041G</t>
  </si>
  <si>
    <t>SME BRANCH KHARGONE</t>
  </si>
  <si>
    <t>ANJALI YADAV</t>
  </si>
  <si>
    <t>NO MSSF</t>
  </si>
  <si>
    <t>RAJENDRA S/O GHISALAL MALVIYA 2457266740</t>
  </si>
  <si>
    <t>96307-99523</t>
  </si>
  <si>
    <t>IMRAN MANSURI</t>
  </si>
  <si>
    <t>MAYURI CHHABRA W/O KUNAL 2457065081</t>
  </si>
  <si>
    <t>98260-90807</t>
  </si>
  <si>
    <t>ZXI (D) CNG SILVER</t>
  </si>
  <si>
    <t>DA0888076</t>
  </si>
  <si>
    <t>NARENDRA SINGH S/O MOTI SINGH PANWAR 257312873</t>
  </si>
  <si>
    <t>78698-51470</t>
  </si>
  <si>
    <t>LXI  WHITE</t>
  </si>
  <si>
    <t>VIKASH KUSHWAH</t>
  </si>
  <si>
    <t xml:space="preserve">AAI TOURS AND TRAVELS PRO. RAVINDRA SHIREKAR </t>
  </si>
  <si>
    <t>83085-05270</t>
  </si>
  <si>
    <t xml:space="preserve">DAMODAR S/O MAHADEVLAL KHANDELWAL </t>
  </si>
  <si>
    <t>94430-56062</t>
  </si>
  <si>
    <t>ICICI Bank</t>
  </si>
  <si>
    <t xml:space="preserve">DASHRATH S/O DAGDIYA JAMRE </t>
  </si>
  <si>
    <t>95753-24403</t>
  </si>
  <si>
    <t>BXRPD10032L</t>
  </si>
  <si>
    <t>SANTOSH YADAV</t>
  </si>
  <si>
    <t xml:space="preserve">KAMLESH S/O HARERAM PATIL </t>
  </si>
  <si>
    <t>95899-99334</t>
  </si>
  <si>
    <t>MATA CHOWK KHANDWA</t>
  </si>
  <si>
    <t xml:space="preserve">VIJAY  KUMAR S/O GENDALA PURWAY </t>
  </si>
  <si>
    <t>94248-96351</t>
  </si>
  <si>
    <t>PADAWA BRANCH KHANDWA</t>
  </si>
  <si>
    <t>SUNIL MORYA S/O KUNWAR SINGH MORYA 2457257440</t>
  </si>
  <si>
    <t>96698-62432</t>
  </si>
  <si>
    <t>DA0889220</t>
  </si>
  <si>
    <t>SADHANA YADAV W/O MUKESH YADAV 2456745580</t>
  </si>
  <si>
    <t>88788-98331</t>
  </si>
  <si>
    <t>SANAWAD ROAD KHARGONE</t>
  </si>
  <si>
    <t>BAKUL VERMA S/O PRADIP VERMA 2457268993</t>
  </si>
  <si>
    <t>96917-17800</t>
  </si>
  <si>
    <t>LAL CHOUKY KHANDWA</t>
  </si>
  <si>
    <t>ANKIT TIROLE</t>
  </si>
  <si>
    <t>RAJESH BARI S/O PRAKASH BARI 2457261497</t>
  </si>
  <si>
    <t>95848-29222</t>
  </si>
  <si>
    <t>EHZPB8631L</t>
  </si>
  <si>
    <t>BHAGWAN DHANGAR</t>
  </si>
  <si>
    <t>DURGESH AMJARE S/O BHAGGU 2457223004</t>
  </si>
  <si>
    <t>98933-71584</t>
  </si>
  <si>
    <t>DA0887694</t>
  </si>
  <si>
    <t>SHAIKH IMRAN SHAIKHLAL PINJARI 2457162056</t>
  </si>
  <si>
    <t>95791-79082</t>
  </si>
  <si>
    <t>CHOPADA</t>
  </si>
  <si>
    <t>MAHENDRA MALIWAD S/O GAJU 2456843544</t>
  </si>
  <si>
    <t>79097-02332</t>
  </si>
  <si>
    <t xml:space="preserve">MANOJ UTTAM CHOUDHARY </t>
  </si>
  <si>
    <t>80073-18422</t>
  </si>
  <si>
    <t xml:space="preserve">SACHIN JADE S/O SHRIRAM JADE </t>
  </si>
  <si>
    <t>76919-36148</t>
  </si>
  <si>
    <t>AKPPJ4489H</t>
  </si>
  <si>
    <t>LXI GREY</t>
  </si>
  <si>
    <t>SANWARA BURHANPUR</t>
  </si>
  <si>
    <t xml:space="preserve">M/S S S GOUR PRO-SHAILENDRA SINGH GOUR </t>
  </si>
  <si>
    <t>98268-85889</t>
  </si>
  <si>
    <t>EQ0355245287</t>
  </si>
  <si>
    <t>NARENDRA MORE S/O SHANTILAL 2457320266</t>
  </si>
  <si>
    <t>78796-19479</t>
  </si>
  <si>
    <t>ARCHANA NIGOLE S/O GUMAN SINGH NIGOLE</t>
  </si>
  <si>
    <t>98934-28614</t>
  </si>
  <si>
    <t>SANTOSH PATEL S/O MUKESH PATEL 2457361011</t>
  </si>
  <si>
    <t>93994-66074</t>
  </si>
  <si>
    <t>RAJ KOCHALE</t>
  </si>
  <si>
    <t xml:space="preserve">MOHANLAL SAINI S/O RAMCHANDRA SAINI </t>
  </si>
  <si>
    <t>62621-56815</t>
  </si>
  <si>
    <t>EQ0355245285</t>
  </si>
  <si>
    <t xml:space="preserve">SANGITA PARIHAR W/O SUNIL PARIHAR </t>
  </si>
  <si>
    <t>70495-10910</t>
  </si>
  <si>
    <t xml:space="preserve">KRISHNADAS NATHU LOHAR  S/O NATHU LOHAR </t>
  </si>
  <si>
    <t>94240-31658</t>
  </si>
  <si>
    <t>CNG 5 STR  AC SILVER</t>
  </si>
  <si>
    <t>EQ0103245194</t>
  </si>
  <si>
    <t>31-06-2024</t>
  </si>
  <si>
    <t xml:space="preserve">YASH RAVINDRA AGRAWAL </t>
  </si>
  <si>
    <t>90112-29246</t>
  </si>
  <si>
    <t>DKJPA6711G</t>
  </si>
  <si>
    <t>IDBI BANK</t>
  </si>
  <si>
    <t>KARAN PRAJAPAT S/O BHAGWAN PRAJAPAT 2457188186</t>
  </si>
  <si>
    <t>93431-98394</t>
  </si>
  <si>
    <t>VXI CNG WHTIE</t>
  </si>
  <si>
    <t>PRINCIPAL  GRY INSTITUTE OF PHARMACY BOWAWAN</t>
  </si>
  <si>
    <t>62643-14099</t>
  </si>
  <si>
    <t>5 STR AC CNG WHITE</t>
  </si>
  <si>
    <t>RISHABH SONI</t>
  </si>
  <si>
    <t xml:space="preserve">JITEND SINGH RATHOUD S/O UMED SINGH RATHOUD </t>
  </si>
  <si>
    <t>99773-89549</t>
  </si>
  <si>
    <t>MUKESH DODE</t>
  </si>
  <si>
    <t>EQ0355245289</t>
  </si>
  <si>
    <t xml:space="preserve">ANAND KUMAR GAWADEKAR S/O SHRIKRISHNA </t>
  </si>
  <si>
    <t>82696-43266</t>
  </si>
  <si>
    <t>ALVPG7777M</t>
  </si>
  <si>
    <t>ZXI CNG SILVER</t>
  </si>
  <si>
    <t xml:space="preserve">AXIS BANK </t>
  </si>
  <si>
    <t xml:space="preserve">SUNITA JAIN S/O AJIT JAIN </t>
  </si>
  <si>
    <t>82519-39999</t>
  </si>
  <si>
    <t>ZXI AGS WHITE</t>
  </si>
  <si>
    <t>AKSHAY JAISWAL S/O JAY KISHAN 2457118302</t>
  </si>
  <si>
    <t>99266-70467</t>
  </si>
  <si>
    <t>AC CNG WHITE</t>
  </si>
  <si>
    <t>YOGESH PATEL</t>
  </si>
  <si>
    <t>HEMANT SONI S/O KANHAIYALAL SONI 2457350310</t>
  </si>
  <si>
    <t>79998-91720</t>
  </si>
  <si>
    <t>5 STR SILVER</t>
  </si>
  <si>
    <t>EQ0253247262</t>
  </si>
  <si>
    <t>VIKRAM SOLANKI S/O BILA 2457349793</t>
  </si>
  <si>
    <t>87708-23218</t>
  </si>
  <si>
    <t xml:space="preserve">RAJESH VERMA S/O SITARAM VERMA </t>
  </si>
  <si>
    <t>88717-86075</t>
  </si>
  <si>
    <t>EQ0939241483</t>
  </si>
  <si>
    <t>LILADHADAR S/O GABARU 2457007575</t>
  </si>
  <si>
    <t>70671-12654 MSSF MO.NO.</t>
  </si>
  <si>
    <t>5 STR AC CNG GREY</t>
  </si>
  <si>
    <t>EQ0253247245</t>
  </si>
  <si>
    <t xml:space="preserve">TRISHAENTERPRISES PRO.PRAVIN MUKATI DAUNDKAR </t>
  </si>
  <si>
    <t>99220-95007</t>
  </si>
  <si>
    <t>ZXI CNG GREY</t>
  </si>
  <si>
    <t>MAHESH S/O MOHAN 2457390790</t>
  </si>
  <si>
    <t>62650-66985</t>
  </si>
  <si>
    <t>EQ0253247267</t>
  </si>
  <si>
    <t xml:space="preserve">PAVAN PATEL S/O GOPAL PATEL </t>
  </si>
  <si>
    <t>90091-47534</t>
  </si>
  <si>
    <t>AYUSH  GANGRADE S/O KAILASH GANGRADE 2457404537</t>
  </si>
  <si>
    <t>94248-61189</t>
  </si>
  <si>
    <t>5 STR STD GREY</t>
  </si>
  <si>
    <t>ZIRNIYA BRANCH</t>
  </si>
  <si>
    <t>AJAY MANDLOI</t>
  </si>
  <si>
    <t xml:space="preserve">SUBHASH S/O RAGHORAM </t>
  </si>
  <si>
    <t>97548-02791</t>
  </si>
  <si>
    <t>AIAP42211K</t>
  </si>
  <si>
    <t>MULTHAN</t>
  </si>
  <si>
    <t>AJAY TOURS AND TRAVELS 2352659375</t>
  </si>
  <si>
    <t>VXI CNG GREY</t>
  </si>
  <si>
    <t xml:space="preserve">CANARA BANK </t>
  </si>
  <si>
    <t>THANE</t>
  </si>
  <si>
    <t xml:space="preserve">NARENDRA S/O RAJENDRA SONAR </t>
  </si>
  <si>
    <t>95618-40000</t>
  </si>
  <si>
    <t>YUSUF S/O BAKIR HUSEN 2457364819</t>
  </si>
  <si>
    <t>98936-86527</t>
  </si>
  <si>
    <t>SUMIT KUMAWAT</t>
  </si>
  <si>
    <t xml:space="preserve">KALU KIRADE S/O GULAB KIRADE </t>
  </si>
  <si>
    <t>88278-05174</t>
  </si>
  <si>
    <t xml:space="preserve">SHOBHIT S/O SHELENDRA </t>
  </si>
  <si>
    <t>96693-73504</t>
  </si>
  <si>
    <t xml:space="preserve">SHAILENDRA S/O RADHESHYAM 2457340756 </t>
  </si>
  <si>
    <t>99933-00680</t>
  </si>
  <si>
    <t>30-06-20224</t>
  </si>
  <si>
    <t>AMAR SINGH MANSARE S/O DEVRAM MANSARE CSD CUSTOMER</t>
  </si>
  <si>
    <t>78699-56552</t>
  </si>
  <si>
    <t>AWLPM8916A</t>
  </si>
  <si>
    <t>LXI CNG WHTIE</t>
  </si>
  <si>
    <t>LAL COWKI KHANDWA</t>
  </si>
  <si>
    <t>BHUPENDRA SINGH S/O HARI SINGH  2457283309</t>
  </si>
  <si>
    <t>98240-33849</t>
  </si>
  <si>
    <t>AMOL S/O KAILASH KASAT 2457134709</t>
  </si>
  <si>
    <t>96442-67777</t>
  </si>
  <si>
    <t>VXI EPIC WHITE</t>
  </si>
  <si>
    <t>EQ0103245198</t>
  </si>
  <si>
    <t>PRADEEP S/O HARAKCHAND LAAD 2457122586</t>
  </si>
  <si>
    <t>CNG VXI WHITE</t>
  </si>
  <si>
    <t>BORGAON BUZURG</t>
  </si>
  <si>
    <t>SANDEEP S/O PRAKASH YADAV 2456992125</t>
  </si>
  <si>
    <t>724709-52488</t>
  </si>
  <si>
    <t>BEIPY7427L</t>
  </si>
  <si>
    <t>SAINATH S/O RAVASAHEB KALE 24573150215 ADVANCE DC</t>
  </si>
  <si>
    <t>76940-11422</t>
  </si>
  <si>
    <t>BARAMATI (M.H.)</t>
  </si>
  <si>
    <t>AAKASH PATIL S/O KHUSHAL PATIL 2457418716</t>
  </si>
  <si>
    <t>83053-64180</t>
  </si>
  <si>
    <t>IMRAN SHEIKH S/O HABIB SHEIKH 2457421156</t>
  </si>
  <si>
    <t>79992-34136</t>
  </si>
  <si>
    <t>ZXI CNG BLACK</t>
  </si>
  <si>
    <t>EQ0253247277</t>
  </si>
  <si>
    <t xml:space="preserve">HEMANT KUMAR KESHARVANI S/O JAGDISH PRASAD KESHARVANI </t>
  </si>
  <si>
    <t>89595-88051</t>
  </si>
  <si>
    <t>LXI M GREY</t>
  </si>
  <si>
    <t>KHIRKIYA</t>
  </si>
  <si>
    <t>DILALMS114422116</t>
  </si>
  <si>
    <t xml:space="preserve">BALU S/O DHANIYA </t>
  </si>
  <si>
    <t>96301-70472</t>
  </si>
  <si>
    <t>KOLI CHHOTU NIMBA 2457163209</t>
  </si>
  <si>
    <t>85303-77353</t>
  </si>
  <si>
    <t>ROHIT SAWLE</t>
  </si>
  <si>
    <t>EQ0103245195</t>
  </si>
  <si>
    <t>VIKRAM RAWAT S/O REMSINGH RAWAT 2457407748</t>
  </si>
  <si>
    <t>94253-31728</t>
  </si>
  <si>
    <t>PREMLAL S/O ATAMARAM 2457388681</t>
  </si>
  <si>
    <t>97543-96849</t>
  </si>
  <si>
    <t xml:space="preserve">MANGAT VERMA S/O SHIVRAM VERMA </t>
  </si>
  <si>
    <t>70495-21946</t>
  </si>
  <si>
    <t>RATNAKAR LAXMAN CHOUDHARI</t>
  </si>
  <si>
    <t>96370-62299</t>
  </si>
  <si>
    <t>BEBPC6542L</t>
  </si>
  <si>
    <t>YOGESH RATHOD</t>
  </si>
  <si>
    <t>RAJESH SUDHAKAR SONONE 2457056848</t>
  </si>
  <si>
    <t>89759-46248</t>
  </si>
  <si>
    <t>DEVENDRA GOSAWI</t>
  </si>
  <si>
    <t>SURESH SOPAN NEWAL 2457446171</t>
  </si>
  <si>
    <t>99609-85140</t>
  </si>
  <si>
    <t>CCZPNO187N</t>
  </si>
  <si>
    <t>DA0888689</t>
  </si>
  <si>
    <t xml:space="preserve">BHAGVAT SHRIKRUSHAN WAGH 2457450869 </t>
  </si>
  <si>
    <t>97676-51875</t>
  </si>
  <si>
    <t xml:space="preserve">ANKIT WARD S/O SUNIL WARD 2457087536 </t>
  </si>
  <si>
    <t>97702-66118</t>
  </si>
  <si>
    <t>ACPPW4182N</t>
  </si>
  <si>
    <t xml:space="preserve">PATEL CHEMBER </t>
  </si>
  <si>
    <t>MRIDUL MANKANDAY</t>
  </si>
  <si>
    <t xml:space="preserve">YATINDRA KESHARWANI S/O KAMTA PRASAD KESHARWANI </t>
  </si>
  <si>
    <t>97526-20144</t>
  </si>
  <si>
    <t>DIGPK0272N</t>
  </si>
  <si>
    <t xml:space="preserve">MAHESH S/O BACHHULAL </t>
  </si>
  <si>
    <t>99930-56679</t>
  </si>
  <si>
    <t>RAVINDRA MEHTA S/O BIHARI MEHTA 2457421501</t>
  </si>
  <si>
    <t>96445-30106</t>
  </si>
  <si>
    <t>DA0892557</t>
  </si>
  <si>
    <t>KOMAL SINGH S/O AMAR SINGH 2457430907</t>
  </si>
  <si>
    <t>97542-20228</t>
  </si>
  <si>
    <t>PIPALGONE</t>
  </si>
  <si>
    <t>QAID JOHAR S/O SEFUDDIN JOHAR 2457370817</t>
  </si>
  <si>
    <t>99935-69121</t>
  </si>
  <si>
    <t>DA0891537</t>
  </si>
  <si>
    <t>JAY BAJARANG TOURS AND TRAVELS PRO-VIJAY BHANUDAS JADHAV 2457461103 *****</t>
  </si>
  <si>
    <t>92840-96739</t>
  </si>
  <si>
    <t>VXI CNG</t>
  </si>
  <si>
    <t>COUNTER</t>
  </si>
  <si>
    <t>AKSHAY JAISWAL S/O DINESH JAISWAL ADVANCE DC DELIVERY DATE 01-07-2024 APROBAL GM SIR</t>
  </si>
  <si>
    <t>97530-63570</t>
  </si>
  <si>
    <t>VXI CNG SILER</t>
  </si>
  <si>
    <t>PANDHANA</t>
  </si>
  <si>
    <t>LAKHAN KANADE</t>
  </si>
  <si>
    <t>MANGILAL S/O SITARAM DHANGAR 2456704931</t>
  </si>
  <si>
    <t>78981-41366</t>
  </si>
  <si>
    <t>JPIPD2173B</t>
  </si>
  <si>
    <t xml:space="preserve">KOGTA FINANCIAL INDIA LTD. </t>
  </si>
  <si>
    <t>ATISH MOYE</t>
  </si>
  <si>
    <t xml:space="preserve">BHIMSINGH AWASE S/O SURPAL AWASE </t>
  </si>
  <si>
    <t>90096-52642</t>
  </si>
  <si>
    <t>5 STR AC WHTIE</t>
  </si>
  <si>
    <t>RAKESH S/O DHANNALAL 2457425982</t>
  </si>
  <si>
    <t>D44339</t>
  </si>
  <si>
    <t>98265-28272</t>
  </si>
  <si>
    <t>AJAY VASUNIYA S/O KRISHNLAL VASUNIYA 2457469609</t>
  </si>
  <si>
    <t>96699-88713</t>
  </si>
  <si>
    <t>MANOJ KUMAR SINGH S/O PREM SINGH  2457465925</t>
  </si>
  <si>
    <t>74896-74745</t>
  </si>
  <si>
    <t>ABHISHEK TIWARI</t>
  </si>
  <si>
    <t>VINOD S/O NANURAM *****</t>
  </si>
  <si>
    <t>95750-11650</t>
  </si>
  <si>
    <t>TALWADA DEB</t>
  </si>
  <si>
    <t>ANOK CHAND S/O HIRDARAM ADVANCE DC</t>
  </si>
  <si>
    <t>96698-00387</t>
  </si>
  <si>
    <t>KHALGHAT</t>
  </si>
  <si>
    <t xml:space="preserve">ANIKET MOHANLAL </t>
  </si>
  <si>
    <t>97666-65770</t>
  </si>
  <si>
    <t xml:space="preserve">RAVINDRA SINGH CHOUHAN ADVANCE DC </t>
  </si>
  <si>
    <t>83191-81168</t>
  </si>
  <si>
    <t>CNG WHITE</t>
  </si>
  <si>
    <t xml:space="preserve">POOJA SOLANKI S/O GULABSINGH SOLANKI </t>
  </si>
  <si>
    <t>88892-16900</t>
  </si>
  <si>
    <t xml:space="preserve">PRATIBHA SINGH D/O V.K SINGH </t>
  </si>
  <si>
    <t>89897-34924</t>
  </si>
  <si>
    <t>ZXI + AGS WHITE</t>
  </si>
  <si>
    <t>91311-73498</t>
  </si>
  <si>
    <t>ARUN KAPADE S/O MADHUKAR</t>
  </si>
  <si>
    <t>96690-48957</t>
  </si>
  <si>
    <t>DMYPK3873D</t>
  </si>
  <si>
    <t>SME BRANCH BURHANPUR</t>
  </si>
  <si>
    <t>Location</t>
  </si>
  <si>
    <t>SHUBHAM SONI</t>
  </si>
  <si>
    <t xml:space="preserve">DANISH KHAN </t>
  </si>
  <si>
    <t>PAWAN YADAV</t>
  </si>
  <si>
    <t>MANGAL MURTI</t>
  </si>
  <si>
    <t>DEEPAK GUPTA</t>
  </si>
  <si>
    <t>AADITYA SOHNI</t>
  </si>
  <si>
    <t>DEEPAK AISHIKAR</t>
  </si>
  <si>
    <t>TOTAL</t>
  </si>
  <si>
    <t>SHOWROOM DSE</t>
  </si>
  <si>
    <t>FINAL INCENTIVE</t>
  </si>
  <si>
    <t>MSIL DEDUCTION</t>
  </si>
  <si>
    <t>MSIL Complain Nos</t>
  </si>
  <si>
    <t>INCENTIVE</t>
  </si>
  <si>
    <t>Focus Model Qualification</t>
  </si>
  <si>
    <t>Focus Model</t>
  </si>
  <si>
    <t>Avg Incentive</t>
  </si>
  <si>
    <t>DSE INCENTIVE</t>
  </si>
  <si>
    <t>No. of Team Members</t>
  </si>
  <si>
    <t>TL</t>
  </si>
  <si>
    <t>MAHESH GIRI</t>
  </si>
  <si>
    <t>KHARGONE TEAM A</t>
  </si>
  <si>
    <t>KHARGONE TEAM B</t>
  </si>
  <si>
    <t>OLD</t>
  </si>
  <si>
    <t>KHANDWA CITY TEAM</t>
  </si>
  <si>
    <t>KHARGONE SHOWROOM</t>
  </si>
  <si>
    <t>KHANDWA RURAL</t>
  </si>
  <si>
    <t>k-10 &amp; Wagon R Spot Incentive</t>
  </si>
  <si>
    <t xml:space="preserve">New Swift Booking Incentive </t>
  </si>
  <si>
    <t>TL Incentive</t>
  </si>
  <si>
    <t xml:space="preserve"> DSE Incentive</t>
  </si>
  <si>
    <t>MSIL Complain Dedution</t>
  </si>
  <si>
    <t>TOTAL Vehicle Incentive Amt. Slabwise</t>
  </si>
  <si>
    <t xml:space="preserve">Vehicle Incentive % Slabwise </t>
  </si>
  <si>
    <t>Avg Discount</t>
  </si>
  <si>
    <t>Total Discount</t>
  </si>
  <si>
    <t xml:space="preserve">CCP Incentive </t>
  </si>
  <si>
    <t>CCP %</t>
  </si>
  <si>
    <t>CCP Total</t>
  </si>
  <si>
    <t>Total EW Incentive</t>
  </si>
  <si>
    <t>EW %</t>
  </si>
  <si>
    <t>EW Nos.</t>
  </si>
  <si>
    <t>MSSF Incentive</t>
  </si>
  <si>
    <t xml:space="preserve">MSSF Nos. Total </t>
  </si>
  <si>
    <t>Exchange Incentive</t>
  </si>
  <si>
    <t>Exchange Nos.</t>
  </si>
  <si>
    <t>MGA Incentive</t>
  </si>
  <si>
    <t>Avg. MGA</t>
  </si>
  <si>
    <t>TOTAL MGA</t>
  </si>
  <si>
    <t>CDI Score Deduction</t>
  </si>
  <si>
    <t>CDI Score Incentive</t>
  </si>
  <si>
    <t>CDI Score</t>
  </si>
  <si>
    <t>TOTAL DSE VHEICLE INCENTICE</t>
  </si>
  <si>
    <t>ERTIGA INCENTIVE</t>
  </si>
  <si>
    <t>OLD DSE INCENTIVE</t>
  </si>
  <si>
    <t>NEW DSE INCENTIVV</t>
  </si>
  <si>
    <t>Focus Model Applicability</t>
  </si>
  <si>
    <t>EMP Type</t>
  </si>
  <si>
    <t>FOCUS MODEL</t>
  </si>
  <si>
    <t>TOAL  ERTIGA</t>
  </si>
  <si>
    <t>TOAL EXCLUDING ERTIGA</t>
  </si>
  <si>
    <t>Grand Total</t>
  </si>
  <si>
    <t>DSE</t>
  </si>
  <si>
    <t>Status</t>
  </si>
  <si>
    <t>Emp Code</t>
  </si>
  <si>
    <t>DOJ</t>
  </si>
  <si>
    <t>MONTH</t>
  </si>
  <si>
    <t>STATUS</t>
  </si>
  <si>
    <t>06/Jun/19</t>
  </si>
  <si>
    <t>15/Mar/18</t>
  </si>
  <si>
    <t>23/Nov/17</t>
  </si>
  <si>
    <t>23/May/17</t>
  </si>
  <si>
    <t>15/Jan/21</t>
  </si>
  <si>
    <t>01/Oct/16</t>
  </si>
  <si>
    <t>01/Apr/20</t>
  </si>
  <si>
    <t>08/Jan/24</t>
  </si>
  <si>
    <t>13/Jun/22</t>
  </si>
  <si>
    <t>01/Jun/22</t>
  </si>
  <si>
    <t>01/Jan/16</t>
  </si>
  <si>
    <t>08/Oct/19</t>
  </si>
  <si>
    <t>01/Dec/23</t>
  </si>
  <si>
    <t>14/Apr/17</t>
  </si>
  <si>
    <t>03/Dec/20</t>
  </si>
  <si>
    <t>01/Jul/21</t>
  </si>
  <si>
    <t>20/Jul/23</t>
  </si>
  <si>
    <t>ARBUR18</t>
  </si>
  <si>
    <t>02/Mar/17</t>
  </si>
  <si>
    <t>01/Jan/19</t>
  </si>
  <si>
    <t>02/04/24</t>
  </si>
  <si>
    <t>06/Apr/24</t>
  </si>
  <si>
    <t>09/May/24</t>
  </si>
  <si>
    <t>01/Nov/22</t>
  </si>
  <si>
    <t>03/Sep/22</t>
  </si>
  <si>
    <t>01/Aug/23</t>
  </si>
  <si>
    <t>25/Jul/18</t>
  </si>
  <si>
    <t>07/Apr/23</t>
  </si>
  <si>
    <t>11/Dec/23</t>
  </si>
  <si>
    <t>02/Dec/17</t>
  </si>
  <si>
    <t>10/May/23</t>
  </si>
  <si>
    <t>11/Apr/22</t>
  </si>
  <si>
    <t>26/Aug/19</t>
  </si>
  <si>
    <t>22/Jun/12</t>
  </si>
  <si>
    <t>15/Jun/17</t>
  </si>
  <si>
    <t>01/Jul/23</t>
  </si>
  <si>
    <t>01/Sep/21</t>
  </si>
  <si>
    <t>12/Jun/20</t>
  </si>
  <si>
    <t>25/Dec/23</t>
  </si>
  <si>
    <t>03/Jan/24</t>
  </si>
  <si>
    <t>19/Aug/19</t>
  </si>
  <si>
    <t>24/Apr/15</t>
  </si>
  <si>
    <t>01/Apr/23</t>
  </si>
  <si>
    <t>01/Aug/22</t>
  </si>
  <si>
    <t>20/Sep/23</t>
  </si>
  <si>
    <t>13/Jul/23</t>
  </si>
  <si>
    <t>10/Jul/19</t>
  </si>
  <si>
    <t>SAWAN PATIDAR</t>
  </si>
  <si>
    <t>06/Aug/21</t>
  </si>
  <si>
    <t>04/Jul/17</t>
  </si>
  <si>
    <t>20/Nov/16</t>
  </si>
  <si>
    <t>11/May/22</t>
  </si>
  <si>
    <t>17/Apr/23</t>
  </si>
  <si>
    <t>13/Aug/21</t>
  </si>
  <si>
    <t>08/Mar/24</t>
  </si>
  <si>
    <t>01/Oct/23</t>
  </si>
  <si>
    <t>18/Jul/21</t>
  </si>
  <si>
    <t>03/Feb/19</t>
  </si>
  <si>
    <t>02/Jan/21</t>
  </si>
  <si>
    <t>12/Aug/22</t>
  </si>
  <si>
    <t>12/Jun/18</t>
  </si>
  <si>
    <t>14/Aug/23</t>
  </si>
  <si>
    <t>19/Aug/23</t>
  </si>
  <si>
    <t>02/Oct/20</t>
  </si>
  <si>
    <t>15/Jun/23</t>
  </si>
  <si>
    <t>COMMEN MODEL</t>
  </si>
  <si>
    <t>ALTO K-10 (DREAM)</t>
  </si>
  <si>
    <t>S-Presso (DREAM)</t>
  </si>
  <si>
    <t>SWIFT NEW</t>
  </si>
  <si>
    <t>BREZZA PETROL</t>
  </si>
  <si>
    <t>BREZZA CNG</t>
  </si>
  <si>
    <t>SWIFT AGS</t>
  </si>
  <si>
    <t>CELERIO AGS</t>
  </si>
  <si>
    <t>Row Labels</t>
  </si>
  <si>
    <t>NIRAJ YADAV</t>
  </si>
  <si>
    <t>VIKAS PATEL</t>
  </si>
  <si>
    <t>PRAKASH SEN</t>
  </si>
  <si>
    <t>Count of Model Name</t>
  </si>
  <si>
    <t>Sum of Grand Total</t>
  </si>
  <si>
    <t>NA</t>
  </si>
  <si>
    <t>AGS MODEL</t>
  </si>
  <si>
    <t>15/Jan/09</t>
  </si>
  <si>
    <t>26/Apr/24</t>
  </si>
  <si>
    <t>03/Jun/24</t>
  </si>
  <si>
    <t>NEW</t>
  </si>
  <si>
    <t>16/maY/24</t>
  </si>
  <si>
    <t>MSSF %</t>
  </si>
  <si>
    <t>Unsold mssf</t>
  </si>
  <si>
    <t>MSSF Deduction</t>
  </si>
  <si>
    <t>Unsold EW Nos.</t>
  </si>
  <si>
    <t>Deduction' EW Incentive</t>
  </si>
  <si>
    <t>CCP unsold</t>
  </si>
  <si>
    <t>CCP Deduction</t>
  </si>
  <si>
    <t>supercar</t>
  </si>
  <si>
    <t>SUPER CAR NOS</t>
  </si>
  <si>
    <t>SUPER CAR INCENTIVE</t>
  </si>
  <si>
    <t>Ertiga CNG</t>
  </si>
  <si>
    <t>Nimar Motors Private Limited Khargone</t>
  </si>
  <si>
    <t xml:space="preserve">DSE WISE MSGA SALE REPORT </t>
  </si>
  <si>
    <t>JUNE. 2024</t>
  </si>
  <si>
    <t>S.no</t>
  </si>
  <si>
    <t>DSE NAME</t>
  </si>
  <si>
    <t xml:space="preserve">VEH. </t>
  </si>
  <si>
    <t>MGA SALE FOR DMS</t>
  </si>
  <si>
    <t>Last Month Pending Billing</t>
  </si>
  <si>
    <t>MGA/VEH</t>
  </si>
  <si>
    <t xml:space="preserve">ZERO VEH.MSGA </t>
  </si>
  <si>
    <t xml:space="preserve">DDL </t>
  </si>
  <si>
    <t xml:space="preserve">SLAB </t>
  </si>
  <si>
    <t>MSGA Incentive</t>
  </si>
  <si>
    <t>OTHER</t>
  </si>
  <si>
    <t xml:space="preserve">KHARGONE TEAM (HUKUM ARYA) </t>
  </si>
  <si>
    <t>KHARGONE TEAM (SOURABH YADAV)</t>
  </si>
  <si>
    <t>AADITYA SONHI</t>
  </si>
  <si>
    <t xml:space="preserve">KASRAWAD TEAM(SACHIN VERMA) </t>
  </si>
  <si>
    <t>MAHESWAR  TEAM (RAVI VERMA)</t>
  </si>
  <si>
    <t>GOURAV SEN</t>
  </si>
  <si>
    <t>KHANDWA TEAM (RAJESH KUMAR)</t>
  </si>
  <si>
    <t>KHANDWA TEAM (ABHISHEK UPADHYAY)</t>
  </si>
  <si>
    <t>RANJEET HATI</t>
  </si>
  <si>
    <t>ROHIT SHARDE</t>
  </si>
  <si>
    <t>CHHANERA (SHIV TOMAR)</t>
  </si>
  <si>
    <t>BARWANI T (NITIN MEHTA  )</t>
  </si>
  <si>
    <t>THIKRI (NATWAR PATIDAR)</t>
  </si>
  <si>
    <t>DEEPAK AESHI</t>
  </si>
  <si>
    <t>SENDHWA TEAM</t>
  </si>
  <si>
    <t>PANSEMAL TEAM</t>
  </si>
  <si>
    <t>BURHANPUR TEAM (ASHISH MORYA )</t>
  </si>
  <si>
    <t>BURHANPUR TEAM (VINOD RATHORE )</t>
  </si>
  <si>
    <t>BARWAH  (AKASH MISHRA)</t>
  </si>
  <si>
    <t>NARENDRA BALKE</t>
  </si>
  <si>
    <t xml:space="preserve">BHAVESH </t>
  </si>
  <si>
    <t>G.M Countor</t>
  </si>
  <si>
    <t xml:space="preserve"> Counter Sale</t>
  </si>
  <si>
    <t>TOTAL SALE</t>
  </si>
  <si>
    <t>k-10 &amp; Wagon R &amp;Dream Series nos</t>
  </si>
  <si>
    <t>Brezza petrol &amp; AGS Model</t>
  </si>
  <si>
    <t>Brezza petrol &amp; AGS Model Incentive</t>
  </si>
  <si>
    <t>New Swift Delevery Nos</t>
  </si>
  <si>
    <t>0694</t>
  </si>
  <si>
    <t>2249</t>
  </si>
  <si>
    <t>THI50</t>
  </si>
  <si>
    <t>BUR259</t>
  </si>
  <si>
    <t>1601</t>
  </si>
  <si>
    <t>0894</t>
  </si>
  <si>
    <t>0679</t>
  </si>
  <si>
    <t>1406</t>
  </si>
  <si>
    <t>2122</t>
  </si>
  <si>
    <t>SEN148</t>
  </si>
  <si>
    <t>BAD018</t>
  </si>
  <si>
    <t>BAD146</t>
  </si>
  <si>
    <t>2257</t>
  </si>
  <si>
    <t>1195</t>
  </si>
  <si>
    <t>0366</t>
  </si>
  <si>
    <t>1797</t>
  </si>
  <si>
    <t>2127</t>
  </si>
  <si>
    <t>2106</t>
  </si>
  <si>
    <t>2179</t>
  </si>
  <si>
    <t>1735</t>
  </si>
  <si>
    <t>2196</t>
  </si>
  <si>
    <t>BUR266</t>
  </si>
  <si>
    <t>1224</t>
  </si>
  <si>
    <t>0981</t>
  </si>
  <si>
    <t>1962</t>
  </si>
  <si>
    <t>2327</t>
  </si>
  <si>
    <t>BAD183</t>
  </si>
  <si>
    <t>1779</t>
  </si>
  <si>
    <t>2079</t>
  </si>
  <si>
    <t>2203</t>
  </si>
  <si>
    <t>0702</t>
  </si>
  <si>
    <t>1738</t>
  </si>
  <si>
    <t>1623</t>
  </si>
  <si>
    <t>2160</t>
  </si>
  <si>
    <t>THI45</t>
  </si>
  <si>
    <t>TOTAL DSE</t>
  </si>
  <si>
    <t>1980</t>
  </si>
  <si>
    <t>2167</t>
  </si>
  <si>
    <t>DSE ID</t>
  </si>
  <si>
    <t>ID</t>
  </si>
  <si>
    <t>FINAL DISCOUNT</t>
  </si>
  <si>
    <t>TOTAL MGA SALE DDL</t>
  </si>
  <si>
    <t>MGA SALE FOR ARGRIMENT</t>
  </si>
  <si>
    <t>Ertiga</t>
  </si>
  <si>
    <t>0679Q</t>
  </si>
  <si>
    <t>BAD018Q</t>
  </si>
  <si>
    <t>BAD018W</t>
  </si>
  <si>
    <t>BAR013Q</t>
  </si>
  <si>
    <t xml:space="preserve">SWIFT    </t>
  </si>
  <si>
    <t xml:space="preserve"> </t>
  </si>
  <si>
    <t>Model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</si>
</sst>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_(* #,##0_);_(* \(#,##0\);_(* &quot;-&quot;??_);_(@_)"/>
    <numFmt numFmtId="167" formatCode="#,##0_ "/>
    <numFmt numFmtId="168" formatCode="0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Book Antiqua"/>
      <family val="1"/>
    </font>
    <font>
      <sz val="12"/>
      <name val="Book Antiqua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sz val="10"/>
      <color theme="1"/>
      <name val="Book Antiqua"/>
      <family val="1"/>
    </font>
    <font>
      <sz val="11"/>
      <name val="Book Antiqua"/>
      <family val="1"/>
    </font>
    <font>
      <b/>
      <sz val="10"/>
      <color theme="1"/>
      <name val="Book Antiqua"/>
      <family val="1"/>
    </font>
    <font>
      <b/>
      <sz val="11"/>
      <name val="Book Antiqua"/>
      <family val="1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5">
    <xf numFmtId="0" fontId="0" fillId="0" borderId="0" xfId="0"/>
    <xf numFmtId="22" fontId="0" fillId="0" borderId="0" xfId="0" applyNumberFormat="1"/>
    <xf numFmtId="17" fontId="0" fillId="0" borderId="0" xfId="0" applyNumberFormat="1"/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/>
    <xf numFmtId="0" fontId="3" fillId="6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4" fontId="3" fillId="6" borderId="1" xfId="0" applyNumberFormat="1" applyFont="1" applyFill="1" applyBorder="1" applyAlignment="1">
      <alignment horizontal="left"/>
    </xf>
    <xf numFmtId="0" fontId="3" fillId="6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5" fillId="0" borderId="0" xfId="0" applyFont="1"/>
    <xf numFmtId="165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/>
    </xf>
    <xf numFmtId="166" fontId="9" fillId="0" borderId="1" xfId="0" applyNumberFormat="1" applyFont="1" applyBorder="1"/>
    <xf numFmtId="166" fontId="9" fillId="0" borderId="1" xfId="1" applyNumberFormat="1" applyFont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165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43" fontId="0" fillId="0" borderId="0" xfId="0" applyNumberFormat="1"/>
    <xf numFmtId="18" fontId="0" fillId="0" borderId="0" xfId="0" applyNumberFormat="1"/>
    <xf numFmtId="43" fontId="0" fillId="0" borderId="0" xfId="2" applyFont="1"/>
    <xf numFmtId="165" fontId="9" fillId="0" borderId="0" xfId="2" applyNumberFormat="1" applyFont="1" applyFill="1"/>
    <xf numFmtId="165" fontId="9" fillId="0" borderId="0" xfId="2" applyNumberFormat="1" applyFont="1" applyFill="1" applyAlignment="1">
      <alignment horizontal="center"/>
    </xf>
    <xf numFmtId="165" fontId="8" fillId="0" borderId="1" xfId="2" applyNumberFormat="1" applyFont="1" applyBorder="1"/>
    <xf numFmtId="166" fontId="8" fillId="0" borderId="1" xfId="2" applyNumberFormat="1" applyFont="1" applyBorder="1" applyAlignment="1">
      <alignment horizontal="center"/>
    </xf>
    <xf numFmtId="0" fontId="8" fillId="0" borderId="1" xfId="2" applyNumberFormat="1" applyFont="1" applyBorder="1" applyAlignment="1">
      <alignment horizontal="center"/>
    </xf>
    <xf numFmtId="166" fontId="8" fillId="0" borderId="1" xfId="2" applyNumberFormat="1" applyFont="1" applyBorder="1"/>
    <xf numFmtId="9" fontId="8" fillId="0" borderId="1" xfId="2" applyNumberFormat="1" applyFont="1" applyBorder="1" applyAlignment="1">
      <alignment horizontal="center"/>
    </xf>
    <xf numFmtId="0" fontId="8" fillId="0" borderId="1" xfId="2" applyNumberFormat="1" applyFont="1" applyBorder="1" applyAlignment="1">
      <alignment horizontal="center" vertical="center"/>
    </xf>
    <xf numFmtId="165" fontId="8" fillId="0" borderId="1" xfId="2" applyNumberFormat="1" applyFont="1" applyBorder="1" applyAlignment="1">
      <alignment horizontal="center"/>
    </xf>
    <xf numFmtId="166" fontId="8" fillId="0" borderId="1" xfId="2" applyNumberFormat="1" applyFont="1" applyFill="1" applyBorder="1" applyAlignment="1">
      <alignment horizontal="center"/>
    </xf>
    <xf numFmtId="43" fontId="9" fillId="0" borderId="1" xfId="2" applyFont="1" applyBorder="1" applyAlignment="1">
      <alignment horizontal="center" vertical="center"/>
    </xf>
    <xf numFmtId="43" fontId="9" fillId="0" borderId="1" xfId="2" applyFont="1" applyBorder="1"/>
    <xf numFmtId="43" fontId="9" fillId="0" borderId="1" xfId="2" applyFont="1" applyBorder="1" applyAlignment="1">
      <alignment horizontal="center"/>
    </xf>
    <xf numFmtId="165" fontId="9" fillId="0" borderId="0" xfId="0" applyNumberFormat="1" applyFont="1"/>
    <xf numFmtId="165" fontId="9" fillId="0" borderId="1" xfId="0" applyNumberFormat="1" applyFont="1" applyBorder="1"/>
    <xf numFmtId="166" fontId="9" fillId="0" borderId="1" xfId="2" applyNumberFormat="1" applyFont="1" applyBorder="1"/>
    <xf numFmtId="9" fontId="9" fillId="0" borderId="1" xfId="0" applyNumberFormat="1" applyFont="1" applyBorder="1" applyAlignment="1">
      <alignment horizontal="center"/>
    </xf>
    <xf numFmtId="166" fontId="9" fillId="0" borderId="1" xfId="1" applyNumberFormat="1" applyFont="1" applyBorder="1" applyAlignment="1">
      <alignment horizontal="center"/>
    </xf>
    <xf numFmtId="166" fontId="9" fillId="0" borderId="1" xfId="1" applyNumberFormat="1" applyFont="1" applyBorder="1" applyAlignment="1">
      <alignment horizontal="right"/>
    </xf>
    <xf numFmtId="166" fontId="9" fillId="0" borderId="1" xfId="2" applyNumberFormat="1" applyFont="1" applyFill="1" applyBorder="1" applyAlignment="1">
      <alignment horizontal="center"/>
    </xf>
    <xf numFmtId="0" fontId="9" fillId="0" borderId="1" xfId="2" applyNumberFormat="1" applyFont="1" applyFill="1" applyBorder="1" applyAlignment="1">
      <alignment horizontal="center"/>
    </xf>
    <xf numFmtId="0" fontId="11" fillId="0" borderId="1" xfId="2" applyNumberFormat="1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9" fillId="0" borderId="1" xfId="0" applyFont="1" applyBorder="1"/>
    <xf numFmtId="0" fontId="10" fillId="0" borderId="1" xfId="0" applyFont="1" applyBorder="1"/>
    <xf numFmtId="0" fontId="9" fillId="0" borderId="1" xfId="0" applyFont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165" fontId="8" fillId="8" borderId="1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166" fontId="8" fillId="9" borderId="1" xfId="0" applyNumberFormat="1" applyFont="1" applyFill="1" applyBorder="1" applyAlignment="1">
      <alignment horizontal="center" vertical="center" wrapText="1"/>
    </xf>
    <xf numFmtId="9" fontId="8" fillId="9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9" borderId="8" xfId="0" applyFont="1" applyFill="1" applyBorder="1" applyAlignment="1">
      <alignment horizontal="center" vertical="center" wrapText="1"/>
    </xf>
    <xf numFmtId="14" fontId="9" fillId="0" borderId="1" xfId="0" applyNumberFormat="1" applyFont="1" applyBorder="1"/>
    <xf numFmtId="1" fontId="9" fillId="0" borderId="1" xfId="0" applyNumberFormat="1" applyFont="1" applyBorder="1" applyAlignment="1">
      <alignment horizontal="center"/>
    </xf>
    <xf numFmtId="0" fontId="9" fillId="0" borderId="1" xfId="0" quotePrefix="1" applyFont="1" applyBorder="1"/>
    <xf numFmtId="0" fontId="10" fillId="10" borderId="1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/>
    </xf>
    <xf numFmtId="9" fontId="9" fillId="0" borderId="1" xfId="2" applyNumberFormat="1" applyFont="1" applyFill="1" applyBorder="1" applyAlignment="1">
      <alignment horizontal="center"/>
    </xf>
    <xf numFmtId="166" fontId="9" fillId="0" borderId="1" xfId="1" applyNumberFormat="1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65" fontId="17" fillId="0" borderId="0" xfId="3" applyNumberFormat="1" applyFont="1" applyAlignment="1">
      <alignment horizontal="center" vertical="center" wrapText="1"/>
    </xf>
    <xf numFmtId="0" fontId="18" fillId="6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1" fontId="0" fillId="0" borderId="1" xfId="0" applyNumberForma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/>
    </xf>
    <xf numFmtId="1" fontId="17" fillId="0" borderId="0" xfId="0" applyNumberFormat="1" applyFont="1" applyAlignment="1">
      <alignment horizontal="center"/>
    </xf>
    <xf numFmtId="10" fontId="17" fillId="0" borderId="0" xfId="0" applyNumberFormat="1" applyFont="1" applyAlignment="1">
      <alignment horizontal="center"/>
    </xf>
    <xf numFmtId="165" fontId="17" fillId="0" borderId="0" xfId="3" applyNumberFormat="1" applyFont="1" applyFill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17" fillId="0" borderId="0" xfId="3" applyNumberFormat="1" applyFont="1" applyAlignment="1">
      <alignment horizontal="center"/>
    </xf>
    <xf numFmtId="1" fontId="0" fillId="6" borderId="1" xfId="0" applyNumberFormat="1" applyFill="1" applyBorder="1" applyAlignment="1">
      <alignment horizontal="center" wrapText="1"/>
    </xf>
    <xf numFmtId="0" fontId="14" fillId="6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1" fontId="0" fillId="12" borderId="1" xfId="0" applyNumberFormat="1" applyFill="1" applyBorder="1" applyAlignment="1">
      <alignment horizontal="center" vertical="center"/>
    </xf>
    <xf numFmtId="1" fontId="17" fillId="12" borderId="1" xfId="0" applyNumberFormat="1" applyFont="1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9" fillId="12" borderId="1" xfId="0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5" fontId="17" fillId="13" borderId="0" xfId="3" applyNumberFormat="1" applyFont="1" applyFill="1" applyAlignment="1">
      <alignment horizontal="center"/>
    </xf>
    <xf numFmtId="0" fontId="0" fillId="12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8" fontId="0" fillId="6" borderId="1" xfId="0" applyNumberFormat="1" applyFill="1" applyBorder="1" applyAlignment="1">
      <alignment horizontal="center"/>
    </xf>
    <xf numFmtId="168" fontId="0" fillId="12" borderId="1" xfId="0" applyNumberForma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12" borderId="1" xfId="0" applyFill="1" applyBorder="1"/>
    <xf numFmtId="43" fontId="8" fillId="0" borderId="1" xfId="3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166" fontId="0" fillId="0" borderId="0" xfId="0" applyNumberFormat="1"/>
    <xf numFmtId="0" fontId="20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/>
    </xf>
    <xf numFmtId="0" fontId="3" fillId="0" borderId="8" xfId="0" applyFont="1" applyBorder="1" applyAlignment="1">
      <alignment horizontal="left" vertical="center" wrapText="1"/>
    </xf>
    <xf numFmtId="0" fontId="4" fillId="0" borderId="1" xfId="0" applyFont="1" applyBorder="1"/>
    <xf numFmtId="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1" xfId="2" applyNumberFormat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/>
    </xf>
    <xf numFmtId="0" fontId="9" fillId="0" borderId="1" xfId="2" applyNumberFormat="1" applyFont="1" applyFill="1" applyBorder="1" applyAlignment="1">
      <alignment horizontal="center" vertical="center"/>
    </xf>
    <xf numFmtId="9" fontId="9" fillId="0" borderId="1" xfId="2" applyNumberFormat="1" applyFont="1" applyFill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9" fillId="0" borderId="0" xfId="2" applyNumberFormat="1" applyFont="1" applyFill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6" xfId="0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0" fontId="3" fillId="2" borderId="1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left"/>
    </xf>
    <xf numFmtId="0" fontId="3" fillId="14" borderId="6" xfId="0" applyFont="1" applyFill="1" applyBorder="1" applyAlignment="1">
      <alignment horizontal="left"/>
    </xf>
    <xf numFmtId="14" fontId="3" fillId="14" borderId="1" xfId="0" applyNumberFormat="1" applyFont="1" applyFill="1" applyBorder="1" applyAlignment="1">
      <alignment horizontal="left"/>
    </xf>
    <xf numFmtId="0" fontId="3" fillId="14" borderId="3" xfId="0" applyFont="1" applyFill="1" applyBorder="1" applyAlignment="1">
      <alignment horizontal="left" vertical="center" wrapText="1"/>
    </xf>
    <xf numFmtId="0" fontId="3" fillId="14" borderId="0" xfId="0" applyFont="1" applyFill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14" borderId="0" xfId="0" applyFont="1" applyFill="1"/>
    <xf numFmtId="0" fontId="3" fillId="10" borderId="1" xfId="0" applyFont="1" applyFill="1" applyBorder="1" applyAlignment="1">
      <alignment horizontal="left"/>
    </xf>
    <xf numFmtId="0" fontId="3" fillId="10" borderId="6" xfId="0" applyFont="1" applyFill="1" applyBorder="1" applyAlignment="1">
      <alignment horizontal="left"/>
    </xf>
    <xf numFmtId="14" fontId="3" fillId="10" borderId="1" xfId="0" applyNumberFormat="1" applyFont="1" applyFill="1" applyBorder="1" applyAlignment="1">
      <alignment horizontal="left"/>
    </xf>
    <xf numFmtId="0" fontId="3" fillId="10" borderId="3" xfId="0" applyFont="1" applyFill="1" applyBorder="1" applyAlignment="1">
      <alignment horizontal="left" vertical="center" wrapText="1"/>
    </xf>
    <xf numFmtId="0" fontId="3" fillId="10" borderId="0" xfId="0" applyFont="1" applyFill="1" applyAlignment="1">
      <alignment horizontal="left"/>
    </xf>
    <xf numFmtId="0" fontId="4" fillId="10" borderId="1" xfId="0" applyFont="1" applyFill="1" applyBorder="1" applyAlignment="1">
      <alignment horizontal="left"/>
    </xf>
    <xf numFmtId="0" fontId="4" fillId="10" borderId="0" xfId="0" applyFont="1" applyFill="1"/>
    <xf numFmtId="0" fontId="15" fillId="11" borderId="1" xfId="0" applyFont="1" applyFill="1" applyBorder="1" applyAlignment="1">
      <alignment horizontal="center"/>
    </xf>
    <xf numFmtId="16" fontId="15" fillId="11" borderId="1" xfId="0" applyNumberFormat="1" applyFont="1" applyFill="1" applyBorder="1" applyAlignment="1">
      <alignment horizontal="center"/>
    </xf>
  </cellXfs>
  <cellStyles count="4">
    <cellStyle name="Comma" xfId="3" builtinId="3"/>
    <cellStyle name="Comma 2" xfId="1" xr:uid="{00000000-0005-0000-0000-000001000000}"/>
    <cellStyle name="Comma 2 2" xfId="2" xr:uid="{00000000-0005-0000-0000-000002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NITIN%20SEN/INCENTIVE/FY%2024-25/JUNE-24/ARENA/ARENA%20SALES%20INCENTIVE%20SHEET%20MONTH%20OF%20JUNE-24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NITIN%20SEN/INCENTIVE/FY%2024-25/JUNE-24/ARENA/ARENA%20SALES%20INCENTIVE%20SHEET%20MONTH%20OF%20JUNE-24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475.654142245374" createdVersion="5" refreshedVersion="5" minRefreshableVersion="3" recordCount="170" xr:uid="{00000000-000A-0000-FFFF-FFFF00000000}">
  <cacheSource type="worksheet">
    <worksheetSource ref="M1:S171" sheet="SALES" r:id="rId2"/>
  </cacheSource>
  <cacheFields count="7">
    <cacheField name="Model Name" numFmtId="14">
      <sharedItems count="9">
        <s v="EECO"/>
        <s v="Ertiga "/>
        <s v="BREZZA"/>
        <s v="CELERIO"/>
        <s v="SWIFT"/>
        <s v="DZIRE"/>
        <s v="WagonR"/>
        <s v="ALTO K-10"/>
        <s v="S-Presso"/>
      </sharedItems>
    </cacheField>
    <cacheField name="COMMEN MODEL" numFmtId="0">
      <sharedItems/>
    </cacheField>
    <cacheField name="Variant Model" numFmtId="0">
      <sharedItems/>
    </cacheField>
    <cacheField name="ACTUAL FINANCE AMOUNT" numFmtId="0">
      <sharedItems containsSemiMixedTypes="0" containsString="0" containsNumber="1" containsInteger="1" minValue="0" maxValue="10788885"/>
    </cacheField>
    <cacheField name="Financer Name " numFmtId="0">
      <sharedItems/>
    </cacheField>
    <cacheField name="BRANCH NAME " numFmtId="0">
      <sharedItems/>
    </cacheField>
    <cacheField name="DSE Name" numFmtId="0">
      <sharedItems count="63">
        <s v="SURENDRA MANDLOI "/>
        <s v="NIKHIL CHOUHAN"/>
        <s v="VINOD RATHOD"/>
        <s v="VIRENDRA PATEL"/>
        <s v="KRISHNA KASHYAP"/>
        <s v="NATWAR PATIDAR"/>
        <s v="WASIM KHAN"/>
        <s v="SACHIN YADAV "/>
        <s v="SAMROJ SHEIKH"/>
        <s v="SHAILENDRA SHARMA"/>
        <s v="SANJAY GAUTAM"/>
        <s v="NEETESH DALE"/>
        <s v="RAJESH KUMAR "/>
        <s v="SACHIN VERMA"/>
        <s v="VINOD MANGROLIYA"/>
        <s v="SAVAN PATIDAR"/>
        <s v="ROSHNI GUPTA"/>
        <s v="ANIL CHOUDHARY"/>
        <s v="HUKUM ARYA"/>
        <s v="SHAILENDRA MUVADIYA"/>
        <s v="NAGEEN MEENA"/>
        <s v="SOURABH YADAV"/>
        <s v="RANJEET BHAGAT"/>
        <s v="FAIZAL MANSURI"/>
        <s v="MILAN MOURYA"/>
        <s v="SHRIKANT YADAV"/>
        <s v="AKASH MISHRA"/>
        <s v="PANKAJ PANWAR"/>
        <s v="SANJAY SEN"/>
        <s v="HARISH PATIDAR "/>
        <s v="HIMANSHU YADAV"/>
        <s v="ABHISHEK UPADHYAY"/>
        <s v="GURPREET BHATIYA"/>
        <s v="AMIT SONI"/>
        <s v="SANDEEP RAIKWAR"/>
        <s v="RAVINDRA SONIS"/>
        <s v="ASHISH MOURYA"/>
        <s v="RAVI VERMA"/>
        <s v="HIMANSHU MOURYA"/>
        <s v="ARVIND YADAV"/>
        <s v="NARAYAN CHANDKE"/>
        <s v="MAHESH MOURYA"/>
        <s v="ARJUN KUSHWAH "/>
        <s v="ARPAN SHARMA"/>
        <s v="ANJALI YADAV"/>
        <s v="IMRAN MANSURI"/>
        <s v="VIKASH KUSHWAH"/>
        <s v="SANTOSH YADAV"/>
        <s v="ANKIT TIROLE"/>
        <s v="BHAGWAN DHANGAR"/>
        <s v="RAJ KOCHALE"/>
        <s v="RISHABH SONI"/>
        <s v="MUKESH DODE"/>
        <s v="AJAY MANDLOI"/>
        <s v="SUMIT KUMAWAT"/>
        <s v="ROHIT SAWLE"/>
        <s v="YOGESH RATHOD"/>
        <s v="DEVENDRA GOSAWI"/>
        <s v="MRIDUL MANKANDAY"/>
        <s v="COUNTER"/>
        <s v="LAKHAN KANADE"/>
        <s v="ATISH MOYE"/>
        <s v="ABHISHEK TIWAR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475.654989351853" createdVersion="5" refreshedVersion="5" minRefreshableVersion="3" recordCount="73" xr:uid="{00000000-000A-0000-FFFF-FFFF01000000}">
  <cacheSource type="worksheet">
    <worksheetSource ref="C6:V80" sheet="CALCULATION DSE" r:id="rId2"/>
  </cacheSource>
  <cacheFields count="19">
    <cacheField name="DSE" numFmtId="0">
      <sharedItems count="73">
        <s v="ABHISHEK UPADHYAY"/>
        <s v="ASHISH LAAD"/>
        <s v="AJAY MANDLOI"/>
        <s v="AKASH MISHRA"/>
        <s v="AMIT SONI"/>
        <s v="ANIL CHOUDHARY"/>
        <s v="ANKIT TIROLE"/>
        <s v="ARJUN KUSHWAH "/>
        <s v="ARPAN SHARMA"/>
        <s v="ARVIND YADAV"/>
        <s v="ASHISH MOURYA"/>
        <s v="BHAGWAN DHANGAR"/>
        <s v="DANISH KHAN "/>
        <s v="DEEPAK AISHIKAR"/>
        <s v="DEEPAK GUPTA"/>
        <s v="DEVENDRA GOSAWI"/>
        <s v="FAIZAL MANSURI"/>
        <s v="ABHISHEK TIWARI"/>
        <s v="GURPREET BHATIYA"/>
        <s v="HARISH PATIDAR "/>
        <s v="HIMANSHU MOURYA"/>
        <s v="HIMANSHU YADAV"/>
        <s v="HUKUM ARYA"/>
        <s v="IMRAN MANSURI"/>
        <s v="KRISHNA KASHYAP"/>
        <s v="LAKHAN KANADE"/>
        <s v="MANGAL MURTI"/>
        <s v="MILAN MOURYA"/>
        <s v="MRIDUL MANKANDAY"/>
        <s v="MUKESH DODE"/>
        <s v="NITIN MEHTA"/>
        <s v="NARAYAN CHANDKE"/>
        <s v="NATWAR PATIDAR"/>
        <s v="NEETESH DALE"/>
        <s v="NIKHIL CHOUHAN"/>
        <s v="PANKAJ PANWAR"/>
        <s v="RAJ KOCHALE"/>
        <s v="RAJESH KUMAR "/>
        <s v="RANJEET BHAGAT"/>
        <s v="MAHESH MOURYA"/>
        <s v="RAVI VERMA"/>
        <s v="ANJALI YADAV"/>
        <s v="NIRAJ YADAV"/>
        <s v="VIKAS PATEL"/>
        <s v="PRAKASH SEN"/>
        <s v="RISHABH SONI"/>
        <s v="ROHIT SAWLE"/>
        <s v="ROSHNI GUPTA"/>
        <s v="SACHIN VERMA"/>
        <s v="SACHIN YADAV "/>
        <s v="SAMROJ SHEIKH"/>
        <s v="SANDEEP RAIKWAR"/>
        <s v="NAGEEN MEENA"/>
        <s v="YOGESH RATHOD"/>
        <s v="SANJAY GAUTAM"/>
        <s v="SANJAY SEN"/>
        <s v="SANTOSH YADAV"/>
        <s v="SAVAN PATIDAR"/>
        <s v="SHAILENDRA MUVADIYA"/>
        <s v="SHAILENDRA SHARMA"/>
        <s v="SHRIKANT YADAV"/>
        <s v="RAVINDRA SONIS"/>
        <s v="SHUBHAM SONI"/>
        <s v="SOURABH YADAV"/>
        <s v="SUMIT KUMAWAT"/>
        <s v="SURENDRA MANDLOI "/>
        <s v="VIKASH KUSHWAH"/>
        <s v="VINOD MANGROLIYA"/>
        <s v="MAHESH GIRI"/>
        <s v="VINOD RATHOD"/>
        <s v="VIRENDRA PATEL"/>
        <s v="ATISH MOYE"/>
        <s v="WASIM KHAN"/>
      </sharedItems>
    </cacheField>
    <cacheField name="TL" numFmtId="0">
      <sharedItems/>
    </cacheField>
    <cacheField name="Location" numFmtId="0">
      <sharedItems/>
    </cacheField>
    <cacheField name="ALTO K-10" numFmtId="0">
      <sharedItems containsSemiMixedTypes="0" containsString="0" containsNumber="1" containsInteger="1" minValue="0" maxValue="1"/>
    </cacheField>
    <cacheField name="ALTO K-10 (DREAM)" numFmtId="0">
      <sharedItems containsSemiMixedTypes="0" containsString="0" containsNumber="1" containsInteger="1" minValue="0" maxValue="1"/>
    </cacheField>
    <cacheField name="CELERIO" numFmtId="0">
      <sharedItems containsSemiMixedTypes="0" containsString="0" containsNumber="1" containsInteger="1" minValue="0" maxValue="1"/>
    </cacheField>
    <cacheField name="CELERIO AGS" numFmtId="0">
      <sharedItems containsSemiMixedTypes="0" containsString="0" containsNumber="1" containsInteger="1" minValue="0" maxValue="1"/>
    </cacheField>
    <cacheField name="S-Presso" numFmtId="0">
      <sharedItems containsSemiMixedTypes="0" containsString="0" containsNumber="1" containsInteger="1" minValue="0" maxValue="1"/>
    </cacheField>
    <cacheField name="S-Presso (DREAM)" numFmtId="0">
      <sharedItems containsSemiMixedTypes="0" containsString="0" containsNumber="1" containsInteger="1" minValue="0" maxValue="1"/>
    </cacheField>
    <cacheField name="WagonR" numFmtId="0">
      <sharedItems containsSemiMixedTypes="0" containsString="0" containsNumber="1" containsInteger="1" minValue="0" maxValue="2"/>
    </cacheField>
    <cacheField name="BREZZA CNG" numFmtId="0">
      <sharedItems containsSemiMixedTypes="0" containsString="0" containsNumber="1" containsInteger="1" minValue="0" maxValue="1"/>
    </cacheField>
    <cacheField name="BREZZA PETROL" numFmtId="0">
      <sharedItems containsSemiMixedTypes="0" containsString="0" containsNumber="1" containsInteger="1" minValue="0" maxValue="2"/>
    </cacheField>
    <cacheField name="DZIRE" numFmtId="0">
      <sharedItems containsSemiMixedTypes="0" containsString="0" containsNumber="1" containsInteger="1" minValue="0" maxValue="3"/>
    </cacheField>
    <cacheField name="EECO" numFmtId="0">
      <sharedItems containsSemiMixedTypes="0" containsString="0" containsNumber="1" containsInteger="1" minValue="0" maxValue="4"/>
    </cacheField>
    <cacheField name="Ertiga " numFmtId="0">
      <sharedItems containsSemiMixedTypes="0" containsString="0" containsNumber="1" containsInteger="1" minValue="0" maxValue="3"/>
    </cacheField>
    <cacheField name="SWIFT" numFmtId="0">
      <sharedItems containsSemiMixedTypes="0" containsString="0" containsNumber="1" containsInteger="1" minValue="0" maxValue="2"/>
    </cacheField>
    <cacheField name="SWIFT AGS" numFmtId="0">
      <sharedItems containsSemiMixedTypes="0" containsString="0" containsNumber="1" containsInteger="1" minValue="0" maxValue="1"/>
    </cacheField>
    <cacheField name="SWIFT NEW" numFmtId="0">
      <sharedItems containsSemiMixedTypes="0" containsString="0" containsNumber="1" containsInteger="1" minValue="0" maxValue="1"/>
    </cacheField>
    <cacheField name="Grand Total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x v="0"/>
    <s v="EECO"/>
    <s v="5 STR AC WHITE"/>
    <n v="560000"/>
    <s v="AU"/>
    <s v="SANAWAD"/>
    <x v="0"/>
  </r>
  <r>
    <x v="0"/>
    <s v="EECO"/>
    <s v="5 STR AC SILVER"/>
    <n v="800000"/>
    <s v="SARASWATI CO-OP BANK LTD"/>
    <s v="JALGAON"/>
    <x v="1"/>
  </r>
  <r>
    <x v="1"/>
    <s v="Ertiga "/>
    <s v="VXI CNG WHITE"/>
    <n v="900000"/>
    <s v="MAHINDRA"/>
    <s v="PUNE "/>
    <x v="2"/>
  </r>
  <r>
    <x v="0"/>
    <s v="EECO"/>
    <s v="7 STE  WHITE"/>
    <n v="595000"/>
    <s v="Cholamandalam"/>
    <s v="KHARGONE"/>
    <x v="3"/>
  </r>
  <r>
    <x v="2"/>
    <s v="BREZZA PETROL"/>
    <s v="LXI WHITE"/>
    <n v="834000"/>
    <s v="SBI"/>
    <s v="ANAND NAGAR KHANDWA"/>
    <x v="4"/>
  </r>
  <r>
    <x v="0"/>
    <s v="EECO"/>
    <s v="5 STR AC WHITE"/>
    <n v="630000"/>
    <s v="Madhya Pradesh Gramin Bank"/>
    <s v="KHETIA"/>
    <x v="5"/>
  </r>
  <r>
    <x v="0"/>
    <s v="EECO"/>
    <s v="7 STR STD GREY"/>
    <n v="582000"/>
    <s v="Cholamandalam"/>
    <s v="DHAMNOD"/>
    <x v="6"/>
  </r>
  <r>
    <x v="3"/>
    <s v="CELERIO"/>
    <s v="ZXI GREY"/>
    <n v="290000"/>
    <s v="Sundaram"/>
    <s v="KHARGONE"/>
    <x v="7"/>
  </r>
  <r>
    <x v="4"/>
    <s v="SWIFT NEW"/>
    <s v="VXI(O) WHITE NEW"/>
    <n v="770508"/>
    <s v="HDFC"/>
    <s v="SENDHWA"/>
    <x v="8"/>
  </r>
  <r>
    <x v="0"/>
    <s v="EECO"/>
    <s v="5 STR AC WHITE"/>
    <n v="500000"/>
    <s v="MAHINDRA"/>
    <s v="BARWANI"/>
    <x v="9"/>
  </r>
  <r>
    <x v="0"/>
    <s v="EECO"/>
    <s v="5 STR AC WHITE"/>
    <n v="506115"/>
    <s v="Cholamandalam"/>
    <s v="CHHANERA"/>
    <x v="10"/>
  </r>
  <r>
    <x v="5"/>
    <s v="DZIRE"/>
    <s v="VXI WHITE"/>
    <n v="760000"/>
    <s v="Cholamandalam"/>
    <s v="BARWAH"/>
    <x v="11"/>
  </r>
  <r>
    <x v="0"/>
    <s v="EECO"/>
    <s v="7 STR WHITE"/>
    <n v="425000"/>
    <s v="Indusind Bank"/>
    <s v="KHARGONE"/>
    <x v="0"/>
  </r>
  <r>
    <x v="0"/>
    <s v="EECO"/>
    <s v="7 STR WHITE"/>
    <n v="500000"/>
    <s v="MAHINDRA"/>
    <s v="BARWANI"/>
    <x v="9"/>
  </r>
  <r>
    <x v="0"/>
    <s v="EECO"/>
    <s v="7 STR SILVER"/>
    <n v="552000"/>
    <s v="Cholamandalam"/>
    <s v="KHANDWA"/>
    <x v="12"/>
  </r>
  <r>
    <x v="1"/>
    <s v="Ertiga "/>
    <s v="VXI WHITE"/>
    <n v="950000"/>
    <s v="Bank of India"/>
    <s v="SINGHANA"/>
    <x v="9"/>
  </r>
  <r>
    <x v="2"/>
    <s v="BREZZA CNG"/>
    <s v="LXI CNG WHITE"/>
    <n v="700000"/>
    <s v="SBI"/>
    <s v="KARAWAD"/>
    <x v="13"/>
  </r>
  <r>
    <x v="0"/>
    <s v="EECO"/>
    <s v="7 STR STD WHITE"/>
    <n v="0"/>
    <s v="CASH"/>
    <s v="BURHANPUR"/>
    <x v="2"/>
  </r>
  <r>
    <x v="2"/>
    <s v="BREZZA PETROL"/>
    <s v="ZXI WHITE"/>
    <n v="700000"/>
    <s v="SBI"/>
    <s v="BARWANI"/>
    <x v="14"/>
  </r>
  <r>
    <x v="0"/>
    <s v="EECO"/>
    <s v="5 STR AC WHITE"/>
    <n v="580000"/>
    <s v="Cholamandalam"/>
    <s v="KHARGONE"/>
    <x v="15"/>
  </r>
  <r>
    <x v="0"/>
    <s v="EECO"/>
    <s v="7 STR WHITE"/>
    <n v="530000"/>
    <s v="SHRIRAM FINANCE"/>
    <s v="SENDHWA"/>
    <x v="16"/>
  </r>
  <r>
    <x v="6"/>
    <s v="WagonR"/>
    <s v="VXI SILVER"/>
    <n v="400000"/>
    <s v="MAHINDRA"/>
    <s v="BARWANI"/>
    <x v="14"/>
  </r>
  <r>
    <x v="0"/>
    <s v="EECO"/>
    <s v="7 STR WHITE"/>
    <n v="514456"/>
    <s v="SK FINANCE "/>
    <s v="BURHANPUR"/>
    <x v="17"/>
  </r>
  <r>
    <x v="1"/>
    <s v="Ertiga "/>
    <s v="VXI CNG WHITE"/>
    <n v="10788885"/>
    <s v="SHRIRAM FINANCE "/>
    <s v="PUNE "/>
    <x v="18"/>
  </r>
  <r>
    <x v="6"/>
    <s v="WagonR"/>
    <s v="VXI 1.0L WHITE"/>
    <n v="580000"/>
    <s v="AU"/>
    <s v="BARWANI"/>
    <x v="19"/>
  </r>
  <r>
    <x v="6"/>
    <s v="WagonR"/>
    <s v="ZXI+ BLACK "/>
    <n v="620000"/>
    <s v="AU"/>
    <s v="SENDHWA"/>
    <x v="8"/>
  </r>
  <r>
    <x v="0"/>
    <s v="EECO"/>
    <s v="5 STR AC WHITE"/>
    <n v="580000"/>
    <s v="Cholamandalam"/>
    <s v="BARWANI"/>
    <x v="14"/>
  </r>
  <r>
    <x v="4"/>
    <s v="SWIFT"/>
    <s v="VXI WHITE"/>
    <n v="644000"/>
    <s v="AU"/>
    <s v="KHARGONE"/>
    <x v="13"/>
  </r>
  <r>
    <x v="0"/>
    <s v="EECO"/>
    <s v="5 STR AC WHITE"/>
    <n v="590000"/>
    <s v="Cholamandalam"/>
    <s v="KHARGONE"/>
    <x v="0"/>
  </r>
  <r>
    <x v="2"/>
    <s v="BREZZA PETROL"/>
    <s v="VXI GREY"/>
    <n v="600000"/>
    <s v="MAHINDRA"/>
    <s v="KHANDWA"/>
    <x v="20"/>
  </r>
  <r>
    <x v="0"/>
    <s v="EECO"/>
    <s v="5 STR AC GREY"/>
    <n v="0"/>
    <s v="CASH"/>
    <s v="BARWANI"/>
    <x v="14"/>
  </r>
  <r>
    <x v="6"/>
    <s v="WagonR"/>
    <s v="ZXI + WHITE"/>
    <n v="605000"/>
    <s v="MAHINDRA"/>
    <s v="BURHANPUR"/>
    <x v="17"/>
  </r>
  <r>
    <x v="1"/>
    <s v="Ertiga "/>
    <s v="VXI CNG WHITE"/>
    <n v="917100"/>
    <s v="KOTAK MAHINDRA"/>
    <s v="KHARGONE"/>
    <x v="21"/>
  </r>
  <r>
    <x v="3"/>
    <s v="CELERIO"/>
    <s v="ZXI + WHITE"/>
    <n v="350000"/>
    <s v="AU"/>
    <s v="BURHANPUR"/>
    <x v="22"/>
  </r>
  <r>
    <x v="6"/>
    <s v="WagonR"/>
    <s v="VXI WHITE"/>
    <n v="590000"/>
    <s v="Cholamandalam"/>
    <s v="BARWANI"/>
    <x v="23"/>
  </r>
  <r>
    <x v="0"/>
    <s v="EECO"/>
    <s v="7 STR WHITE"/>
    <n v="365000"/>
    <s v="Cholamandalam"/>
    <s v="KHANDWA"/>
    <x v="24"/>
  </r>
  <r>
    <x v="0"/>
    <s v="EECO"/>
    <s v="7 STR SILVER"/>
    <n v="570000"/>
    <s v="Cholamandalam"/>
    <s v="THIKRI"/>
    <x v="25"/>
  </r>
  <r>
    <x v="5"/>
    <s v="DZIRE"/>
    <s v="VXI CNG WHITE"/>
    <n v="700000"/>
    <s v="SBI"/>
    <s v="MAHESHWAR ROAD BARWAHA"/>
    <x v="26"/>
  </r>
  <r>
    <x v="4"/>
    <s v="SWIFT"/>
    <s v="VXI GREY"/>
    <n v="600000"/>
    <s v="Madhya Pradesh Gramin Bank"/>
    <s v="KATKUT"/>
    <x v="11"/>
  </r>
  <r>
    <x v="0"/>
    <s v="EECO"/>
    <s v="7 STR WHITE"/>
    <n v="560000"/>
    <s v="Indusind Bank"/>
    <s v="KHARGONE"/>
    <x v="27"/>
  </r>
  <r>
    <x v="6"/>
    <s v="WagonR"/>
    <s v="VXI CNG WHITE"/>
    <n v="400000"/>
    <s v="Cholamandalam"/>
    <s v="KHARGONE"/>
    <x v="28"/>
  </r>
  <r>
    <x v="1"/>
    <s v="Ertiga "/>
    <s v="VXI WHITE"/>
    <n v="990000"/>
    <s v="Cholamandalam"/>
    <s v="KHARGONE"/>
    <x v="15"/>
  </r>
  <r>
    <x v="4"/>
    <s v="SWIFT"/>
    <s v="VXI M.GREY"/>
    <n v="0"/>
    <s v="CASH"/>
    <s v="KHANDWA"/>
    <x v="29"/>
  </r>
  <r>
    <x v="5"/>
    <s v="DZIRE"/>
    <s v="VXI CNG WHITE"/>
    <n v="650000"/>
    <s v="Sundaram"/>
    <s v="KHARGONE"/>
    <x v="30"/>
  </r>
  <r>
    <x v="1"/>
    <s v="Ertiga "/>
    <s v="VXI WHTIE"/>
    <n v="900000"/>
    <s v="SBI"/>
    <s v="CIVIL LINES KHANDWA"/>
    <x v="29"/>
  </r>
  <r>
    <x v="0"/>
    <s v="EECO"/>
    <s v="7 STR WHITE"/>
    <n v="500000"/>
    <s v="Bank of India"/>
    <s v="SHAHPUR"/>
    <x v="17"/>
  </r>
  <r>
    <x v="7"/>
    <s v="ALTO K-10 (DREAM)"/>
    <s v="VXI + GREY"/>
    <n v="400000"/>
    <s v="SBI"/>
    <s v="JAWAHAR MARG KHARGONE"/>
    <x v="30"/>
  </r>
  <r>
    <x v="1"/>
    <s v="Ertiga "/>
    <s v="VXI WHITE"/>
    <n v="900000"/>
    <s v="Sundaram"/>
    <s v="KHANDWA"/>
    <x v="31"/>
  </r>
  <r>
    <x v="6"/>
    <s v="WagonR"/>
    <s v="VXI WHITE"/>
    <n v="420000"/>
    <s v="Sundaram"/>
    <s v="KHANDWA"/>
    <x v="24"/>
  </r>
  <r>
    <x v="2"/>
    <s v="BREZZA PETROL"/>
    <s v="VXI WHITE"/>
    <n v="900000"/>
    <s v="Indusind Bank"/>
    <s v="KHARGONE"/>
    <x v="32"/>
  </r>
  <r>
    <x v="6"/>
    <s v="WagonR"/>
    <s v="VXI WHITE"/>
    <n v="300000"/>
    <s v="Bank of India"/>
    <s v="THIKRI"/>
    <x v="33"/>
  </r>
  <r>
    <x v="7"/>
    <s v="ALTO K-10 (DREAM)"/>
    <s v="VXI + WHITE"/>
    <n v="535000"/>
    <s v="Indusind Bank"/>
    <s v="KHARGONE"/>
    <x v="26"/>
  </r>
  <r>
    <x v="5"/>
    <s v="DZIRE"/>
    <s v="VXI CNG WHITE"/>
    <n v="760000"/>
    <s v="Indusind Bank"/>
    <s v="PUNE "/>
    <x v="2"/>
  </r>
  <r>
    <x v="0"/>
    <s v="EECO"/>
    <s v="7 STR WHITE"/>
    <n v="515000"/>
    <s v="Cholamandalam"/>
    <s v="KHARGONE"/>
    <x v="7"/>
  </r>
  <r>
    <x v="4"/>
    <s v="SWIFT"/>
    <s v="VXI WHITE"/>
    <n v="750000"/>
    <s v="SHRIRAM FINANCE "/>
    <s v="KHARGONE"/>
    <x v="21"/>
  </r>
  <r>
    <x v="6"/>
    <s v="WagonR"/>
    <s v="VXI WHITE"/>
    <n v="582000"/>
    <s v="Cholamandalam"/>
    <s v="SANAWAD"/>
    <x v="11"/>
  </r>
  <r>
    <x v="6"/>
    <s v="WagonR"/>
    <s v="VXI WHITE"/>
    <n v="391000"/>
    <s v="Cholamandalam"/>
    <s v="KHANDWA"/>
    <x v="29"/>
  </r>
  <r>
    <x v="0"/>
    <s v="EECO"/>
    <s v="7 STR SILVER"/>
    <n v="550000"/>
    <s v="AU"/>
    <s v="KHARGONE"/>
    <x v="7"/>
  </r>
  <r>
    <x v="0"/>
    <s v="EECO"/>
    <s v="7 STR GREY"/>
    <n v="520000"/>
    <s v="AU"/>
    <s v="BARWANI"/>
    <x v="19"/>
  </r>
  <r>
    <x v="6"/>
    <s v="WagonR"/>
    <s v="VXI WHITE"/>
    <n v="540000"/>
    <s v="SK FINANCE "/>
    <s v="BURHANPUR"/>
    <x v="22"/>
  </r>
  <r>
    <x v="8"/>
    <s v="S-Presso"/>
    <s v="VXI + GREY"/>
    <n v="400000"/>
    <s v="Cholamandalam"/>
    <s v="KHARGONE"/>
    <x v="21"/>
  </r>
  <r>
    <x v="5"/>
    <s v="DZIRE"/>
    <s v="LXI SILVER"/>
    <n v="558000"/>
    <s v="Indusind Bank"/>
    <s v="KHANDWA"/>
    <x v="34"/>
  </r>
  <r>
    <x v="0"/>
    <s v="EECO"/>
    <s v="7 STR WHITE"/>
    <n v="550000"/>
    <s v="Madhya Pradesh Gramin Bank"/>
    <s v="PIPLIYA"/>
    <x v="14"/>
  </r>
  <r>
    <x v="6"/>
    <s v="WagonR"/>
    <s v="VXI CNG SILVER"/>
    <n v="500000"/>
    <s v="SBI"/>
    <s v="ANAND NAGAR KHANDWA"/>
    <x v="4"/>
  </r>
  <r>
    <x v="6"/>
    <s v="WagonR"/>
    <s v="VXI WHITE"/>
    <n v="0"/>
    <s v="CASH"/>
    <s v="BURHANPUR"/>
    <x v="2"/>
  </r>
  <r>
    <x v="0"/>
    <s v="EECO"/>
    <s v="7 STR WHITE"/>
    <n v="450000"/>
    <s v="Cholamandalam"/>
    <s v="PANSEMAL"/>
    <x v="35"/>
  </r>
  <r>
    <x v="1"/>
    <s v="Ertiga "/>
    <s v="VXI CNG WHITE"/>
    <n v="934662"/>
    <s v="AU"/>
    <s v="PUNE "/>
    <x v="36"/>
  </r>
  <r>
    <x v="1"/>
    <s v="Ertiga "/>
    <s v="ZXI + BLACK"/>
    <n v="1194000"/>
    <s v="Madhya Pradesh Gramin Bank"/>
    <s v="BETUL"/>
    <x v="34"/>
  </r>
  <r>
    <x v="8"/>
    <s v="S-Presso (DREAM)"/>
    <s v="VXI SILVER"/>
    <n v="525000"/>
    <s v="Cholamandalam"/>
    <s v="KHANDWA"/>
    <x v="29"/>
  </r>
  <r>
    <x v="1"/>
    <s v="Ertiga "/>
    <s v="VXI WHITE"/>
    <n v="800000"/>
    <s v="Sundaram"/>
    <s v="BARWANI"/>
    <x v="23"/>
  </r>
  <r>
    <x v="0"/>
    <s v="EECO"/>
    <s v="7 STR WHITE"/>
    <n v="532000"/>
    <s v="Sundaram"/>
    <s v="MAHESHWAR  "/>
    <x v="37"/>
  </r>
  <r>
    <x v="5"/>
    <s v="DZIRE"/>
    <s v="TOUR S CNG WHITE"/>
    <n v="700000"/>
    <s v="MAHINDRA"/>
    <s v="BURHANPUR"/>
    <x v="17"/>
  </r>
  <r>
    <x v="1"/>
    <s v="Ertiga "/>
    <s v="VXI WHITE"/>
    <n v="0"/>
    <s v="CASH"/>
    <s v="BURHANPUR"/>
    <x v="2"/>
  </r>
  <r>
    <x v="8"/>
    <s v="S-Presso"/>
    <s v="VXI + WHITE"/>
    <n v="0"/>
    <s v="CASH"/>
    <s v="CHHANERA"/>
    <x v="10"/>
  </r>
  <r>
    <x v="1"/>
    <s v="Ertiga "/>
    <s v="VXI WHITE"/>
    <n v="800000"/>
    <s v="Cholamandalam"/>
    <s v="DHAMNOD"/>
    <x v="5"/>
  </r>
  <r>
    <x v="0"/>
    <s v="EECO"/>
    <s v="7 STR WHITE"/>
    <n v="497000"/>
    <s v="Sundaram"/>
    <s v="KHARGONE"/>
    <x v="38"/>
  </r>
  <r>
    <x v="0"/>
    <s v="EECO"/>
    <s v="7 STR SILVER"/>
    <n v="550000"/>
    <s v="Madhya Pradesh Gramin Bank"/>
    <s v="MONGARGAON"/>
    <x v="7"/>
  </r>
  <r>
    <x v="1"/>
    <s v="Ertiga "/>
    <s v="VXI (O) WHITE"/>
    <n v="983000"/>
    <s v="Madhya Pradesh Gramin Bank"/>
    <s v="MAHESHWAR"/>
    <x v="32"/>
  </r>
  <r>
    <x v="1"/>
    <s v="Ertiga "/>
    <s v="VXI WHITE"/>
    <n v="983000"/>
    <s v="AU"/>
    <s v="KHARGONE"/>
    <x v="39"/>
  </r>
  <r>
    <x v="0"/>
    <s v="EECO"/>
    <s v="7 STR WHITE"/>
    <n v="500000"/>
    <s v="SHRIRAM FINANCE "/>
    <s v="SENDHWA"/>
    <x v="40"/>
  </r>
  <r>
    <x v="0"/>
    <s v="EECO"/>
    <s v="5 STR AC WHITE"/>
    <n v="480000"/>
    <s v="MAHINDRA"/>
    <s v="PUNE  ( M.H)"/>
    <x v="41"/>
  </r>
  <r>
    <x v="8"/>
    <s v="S-Presso (DREAM)"/>
    <s v="VXI GREY"/>
    <n v="475000"/>
    <s v="Madhya Pradesh Gramin Bank"/>
    <s v="BHAGWANPURA"/>
    <x v="42"/>
  </r>
  <r>
    <x v="1"/>
    <s v="Ertiga "/>
    <s v="VXI CNG WHITE"/>
    <n v="970000"/>
    <s v="Madhya Pradesh Gramin Bank"/>
    <s v="SANAWAD"/>
    <x v="43"/>
  </r>
  <r>
    <x v="2"/>
    <s v="BREZZA CNG"/>
    <s v="LXI CNG WHITE"/>
    <n v="900000"/>
    <s v="Bank of India"/>
    <s v="SME BRANCH KHARGONE"/>
    <x v="44"/>
  </r>
  <r>
    <x v="0"/>
    <s v="EECO"/>
    <s v="7 STR STD WHITE"/>
    <n v="561000"/>
    <s v="AU"/>
    <s v="SENDHWA"/>
    <x v="45"/>
  </r>
  <r>
    <x v="2"/>
    <s v="BREZZA CNG"/>
    <s v="ZXI (D) CNG SILVER"/>
    <n v="1226385"/>
    <s v="Indusind Bank"/>
    <s v="KHARGONE"/>
    <x v="32"/>
  </r>
  <r>
    <x v="5"/>
    <s v="DZIRE"/>
    <s v="LXI  WHITE"/>
    <n v="657127"/>
    <s v="Cholamandalam"/>
    <s v="KHARGONE"/>
    <x v="46"/>
  </r>
  <r>
    <x v="1"/>
    <s v="Ertiga "/>
    <s v="VXI CNG WHITE"/>
    <n v="932761"/>
    <s v="Cholamandalam"/>
    <s v="PUNE"/>
    <x v="17"/>
  </r>
  <r>
    <x v="6"/>
    <s v="WagonR"/>
    <s v="ZXI WHITE"/>
    <n v="628000"/>
    <s v="ICICI Bank"/>
    <s v="BURHANPUR"/>
    <x v="36"/>
  </r>
  <r>
    <x v="1"/>
    <s v="Ertiga "/>
    <s v="VXI WHITE"/>
    <n v="930000"/>
    <s v="AU"/>
    <s v="BARWANI"/>
    <x v="47"/>
  </r>
  <r>
    <x v="2"/>
    <s v="BREZZA CNG"/>
    <s v="VXI CNG WHITE"/>
    <n v="950000"/>
    <s v="Bank of India"/>
    <s v="MATA CHOWK KHANDWA"/>
    <x v="34"/>
  </r>
  <r>
    <x v="2"/>
    <s v="BREZZA PETROL"/>
    <s v="VXI WHITE"/>
    <n v="1116308"/>
    <s v="BANK OF BARODA"/>
    <s v="PADAWA BRANCH KHANDWA"/>
    <x v="31"/>
  </r>
  <r>
    <x v="6"/>
    <s v="WagonR"/>
    <s v="VXI SILVER"/>
    <n v="570000"/>
    <s v="Indusind Bank"/>
    <s v="KHARGONE"/>
    <x v="27"/>
  </r>
  <r>
    <x v="6"/>
    <s v="WagonR"/>
    <s v="VXI CNG WHITE"/>
    <n v="400000"/>
    <s v="Bank of India"/>
    <s v="SANAWAD ROAD KHARGONE"/>
    <x v="30"/>
  </r>
  <r>
    <x v="1"/>
    <s v="Ertiga "/>
    <s v="VXI WHITE"/>
    <n v="1025000"/>
    <s v="Bank of India"/>
    <s v="LAL CHOUKY KHANDWA"/>
    <x v="48"/>
  </r>
  <r>
    <x v="1"/>
    <s v="Ertiga "/>
    <s v="VXI WHITE"/>
    <n v="1000000"/>
    <s v="INDIAN BANK"/>
    <s v="BURHANPUR"/>
    <x v="49"/>
  </r>
  <r>
    <x v="0"/>
    <s v="EECO"/>
    <s v="7 STR SILVER"/>
    <n v="350000"/>
    <s v="Indusind Bank"/>
    <s v="BARWANI"/>
    <x v="13"/>
  </r>
  <r>
    <x v="1"/>
    <s v="Ertiga "/>
    <s v="VXI WHITE"/>
    <n v="700000"/>
    <s v="SBI"/>
    <s v="CHOPADA"/>
    <x v="1"/>
  </r>
  <r>
    <x v="0"/>
    <s v="EECO"/>
    <s v="7 STR WHITE"/>
    <n v="570000"/>
    <s v="Cholamandalam"/>
    <s v="MAHESHWAR"/>
    <x v="37"/>
  </r>
  <r>
    <x v="5"/>
    <s v="DZIRE"/>
    <s v="TOUR S CNG WHITE"/>
    <n v="0"/>
    <s v="CASH"/>
    <s v="BURHANPUR"/>
    <x v="17"/>
  </r>
  <r>
    <x v="4"/>
    <s v="SWIFT"/>
    <s v="LXI GREY"/>
    <n v="660000"/>
    <s v="Bank of India"/>
    <s v="SANWARA BURHANPUR"/>
    <x v="2"/>
  </r>
  <r>
    <x v="5"/>
    <s v="DZIRE"/>
    <s v="ZXI + WHITE"/>
    <n v="400000"/>
    <s v="Sundaram"/>
    <s v="KHANDWA"/>
    <x v="24"/>
  </r>
  <r>
    <x v="6"/>
    <s v="WagonR"/>
    <s v="VXI WHITE"/>
    <n v="540000"/>
    <s v="AU"/>
    <s v="BARWANI"/>
    <x v="25"/>
  </r>
  <r>
    <x v="0"/>
    <s v="EECO"/>
    <s v="5 STR AC WHITE"/>
    <n v="568000"/>
    <s v="SBI"/>
    <s v="LAL CHOUKY KHANDWA"/>
    <x v="34"/>
  </r>
  <r>
    <x v="0"/>
    <s v="EECO"/>
    <s v="7 STR GREY"/>
    <n v="570000"/>
    <s v="Cholamandalam"/>
    <s v="KHARGONE"/>
    <x v="50"/>
  </r>
  <r>
    <x v="0"/>
    <s v="EECO"/>
    <s v="5 STR AC WHITE"/>
    <n v="520000"/>
    <s v="Sundaram"/>
    <s v="KHANDWA"/>
    <x v="29"/>
  </r>
  <r>
    <x v="1"/>
    <s v="Ertiga "/>
    <s v="VXI WHITE"/>
    <n v="933000"/>
    <s v="AU"/>
    <s v="BARWANI"/>
    <x v="19"/>
  </r>
  <r>
    <x v="0"/>
    <s v="EECO"/>
    <s v="CNG 5 STR  AC SILVER"/>
    <n v="625000"/>
    <s v="Sundaram"/>
    <s v="SENDHWA"/>
    <x v="45"/>
  </r>
  <r>
    <x v="0"/>
    <s v="EECO"/>
    <s v="5 STR AC WHITE"/>
    <n v="610000"/>
    <s v="IDBI BANK"/>
    <s v="PUNE"/>
    <x v="49"/>
  </r>
  <r>
    <x v="5"/>
    <s v="DZIRE"/>
    <s v="VXI CNG WHTIE"/>
    <n v="718000"/>
    <s v="AU"/>
    <s v="BARWAH"/>
    <x v="11"/>
  </r>
  <r>
    <x v="0"/>
    <s v="EECO"/>
    <s v="5 STR AC CNG WHITE"/>
    <n v="0"/>
    <s v="CASH"/>
    <s v="KHARGONE"/>
    <x v="51"/>
  </r>
  <r>
    <x v="7"/>
    <s v="ALTO K-10"/>
    <s v="VXI WHITE"/>
    <n v="442000"/>
    <s v="Sundaram"/>
    <s v="KHANDWA"/>
    <x v="52"/>
  </r>
  <r>
    <x v="1"/>
    <s v="Ertiga "/>
    <s v="ZXI CNG SILVER"/>
    <n v="1353211"/>
    <s v="AXIS BANK "/>
    <s v="THIKRI"/>
    <x v="25"/>
  </r>
  <r>
    <x v="4"/>
    <s v="SWIFT AGS"/>
    <s v="ZXI AGS WHITE"/>
    <n v="700000"/>
    <s v="Bank of India"/>
    <s v="PADAWA BRANCH KHANDWA"/>
    <x v="12"/>
  </r>
  <r>
    <x v="0"/>
    <s v="EECO"/>
    <s v="AC CNG WHITE"/>
    <n v="640000"/>
    <s v="Cholamandalam"/>
    <s v="BARWAH"/>
    <x v="28"/>
  </r>
  <r>
    <x v="0"/>
    <s v="EECO"/>
    <s v="5 STR SILVER"/>
    <n v="505000"/>
    <s v="Sundaram"/>
    <s v="KHARGONE"/>
    <x v="30"/>
  </r>
  <r>
    <x v="0"/>
    <s v="EECO"/>
    <s v="7 STR WHITE"/>
    <n v="520000"/>
    <s v="Cholamandalam"/>
    <s v="BARWANI"/>
    <x v="9"/>
  </r>
  <r>
    <x v="1"/>
    <s v="Ertiga "/>
    <s v="VXI WHTIE"/>
    <n v="700000"/>
    <s v="Sundaram"/>
    <s v="MAHESHWAR"/>
    <x v="27"/>
  </r>
  <r>
    <x v="0"/>
    <s v="EECO"/>
    <s v="5 STR AC CNG GREY"/>
    <n v="600000"/>
    <s v="Sundaram"/>
    <s v="KHARGONE"/>
    <x v="30"/>
  </r>
  <r>
    <x v="5"/>
    <s v="DZIRE"/>
    <s v="ZXI CNG GREY"/>
    <n v="730000"/>
    <s v="SHRIRAM FINANCE "/>
    <s v="KHANDWA"/>
    <x v="12"/>
  </r>
  <r>
    <x v="0"/>
    <s v="EECO"/>
    <s v="7 STR WHITE"/>
    <n v="475000"/>
    <s v="Sundaram"/>
    <s v="KHARGONE"/>
    <x v="51"/>
  </r>
  <r>
    <x v="7"/>
    <s v="ALTO K-10"/>
    <s v="VXI CNG WHITE"/>
    <n v="608000"/>
    <s v="BANK OF BARODA"/>
    <s v="KHANDWA"/>
    <x v="34"/>
  </r>
  <r>
    <x v="0"/>
    <s v="EECO"/>
    <s v="5 STR STD GREY"/>
    <n v="550000"/>
    <s v="Bank of India"/>
    <s v="ZIRNIYA BRANCH"/>
    <x v="53"/>
  </r>
  <r>
    <x v="0"/>
    <s v="EECO"/>
    <s v="7 STR WHITE"/>
    <n v="630000"/>
    <s v="Madhya Pradesh Gramin Bank"/>
    <s v="MULTHAN"/>
    <x v="21"/>
  </r>
  <r>
    <x v="1"/>
    <s v="Ertiga "/>
    <s v="VXI CNG GREY"/>
    <n v="880000"/>
    <s v="CANARA BANK "/>
    <s v="THANE"/>
    <x v="21"/>
  </r>
  <r>
    <x v="1"/>
    <s v="Ertiga "/>
    <s v="VXI CNG WHITE"/>
    <n v="1000000"/>
    <s v="CENTRAL BANK OF INDIA"/>
    <s v="JALGAON"/>
    <x v="1"/>
  </r>
  <r>
    <x v="0"/>
    <s v="EECO"/>
    <s v="5 STR AC WHITE"/>
    <n v="540000"/>
    <s v="MAHINDRA"/>
    <s v="BARWANI"/>
    <x v="54"/>
  </r>
  <r>
    <x v="0"/>
    <s v="EECO"/>
    <s v="7 STR WHITE"/>
    <n v="520000"/>
    <s v="AU"/>
    <s v="BARWANI"/>
    <x v="54"/>
  </r>
  <r>
    <x v="2"/>
    <s v="BREZZA PETROL"/>
    <s v="VXI WHITE"/>
    <n v="900000"/>
    <s v="AU"/>
    <s v="BARWAH"/>
    <x v="11"/>
  </r>
  <r>
    <x v="6"/>
    <s v="WagonR"/>
    <s v="VXI WHITE"/>
    <n v="609000"/>
    <s v="Madhya Pradesh Gramin Bank"/>
    <s v="ANJAD"/>
    <x v="19"/>
  </r>
  <r>
    <x v="2"/>
    <s v="BREZZA CNG"/>
    <s v="LXI CNG WHTIE"/>
    <n v="555000"/>
    <s v="SBI"/>
    <s v="LAL COWKI KHANDWA"/>
    <x v="12"/>
  </r>
  <r>
    <x v="6"/>
    <s v="WagonR"/>
    <s v="VXI WHITE"/>
    <n v="0"/>
    <s v="CASH"/>
    <s v="BARWAH"/>
    <x v="11"/>
  </r>
  <r>
    <x v="4"/>
    <s v="SWIFT NEW"/>
    <s v="VXI EPIC WHITE"/>
    <n v="400000"/>
    <s v="Sundaram"/>
    <s v="SENDHWA"/>
    <x v="45"/>
  </r>
  <r>
    <x v="1"/>
    <s v="Ertiga "/>
    <s v="CNG VXI WHITE"/>
    <n v="800000"/>
    <s v="Bank of India"/>
    <s v="BORGAON BUZURG"/>
    <x v="29"/>
  </r>
  <r>
    <x v="5"/>
    <s v="DZIRE"/>
    <s v="VXI CNG GREY"/>
    <n v="600000"/>
    <s v="AU"/>
    <s v="BARWAH"/>
    <x v="11"/>
  </r>
  <r>
    <x v="1"/>
    <s v="Ertiga "/>
    <s v="VXI CNG WHITE"/>
    <n v="940734"/>
    <s v="HDFC"/>
    <s v="BARAMATI (M.H.)"/>
    <x v="21"/>
  </r>
  <r>
    <x v="7"/>
    <s v="ALTO K-10"/>
    <s v="VXI WHITE"/>
    <n v="480000"/>
    <s v="Cholamandalam"/>
    <s v="BURHANPUR"/>
    <x v="49"/>
  </r>
  <r>
    <x v="1"/>
    <s v="Ertiga "/>
    <s v="ZXI CNG BLACK"/>
    <n v="1120000"/>
    <s v="Sundaram"/>
    <s v="KHARGONE"/>
    <x v="42"/>
  </r>
  <r>
    <x v="2"/>
    <s v="BREZZA PETROL"/>
    <s v="LXI M GREY"/>
    <n v="620000"/>
    <s v="BANK OF BARODA"/>
    <s v="KHIRKIYA"/>
    <x v="34"/>
  </r>
  <r>
    <x v="0"/>
    <s v="EECO"/>
    <s v="7 STR SILVER"/>
    <n v="550000"/>
    <s v="Cholamandalam"/>
    <s v="DHAMNOD"/>
    <x v="43"/>
  </r>
  <r>
    <x v="1"/>
    <s v="Ertiga "/>
    <s v="VXI CNG WHITE"/>
    <n v="1000000"/>
    <s v="Sundaram"/>
    <s v="PANSEMAL"/>
    <x v="55"/>
  </r>
  <r>
    <x v="0"/>
    <s v="EECO"/>
    <s v="7 STR GREY"/>
    <n v="550000"/>
    <s v="MAHINDRA"/>
    <s v="KHARGONE"/>
    <x v="0"/>
  </r>
  <r>
    <x v="0"/>
    <s v="EECO"/>
    <s v="5 STR AC WHITE"/>
    <n v="589000"/>
    <s v="Cholamandalam"/>
    <s v="KHANDWA"/>
    <x v="52"/>
  </r>
  <r>
    <x v="0"/>
    <s v="EECO"/>
    <s v="7 STR WHITE"/>
    <n v="548000"/>
    <s v="Cholamandalam"/>
    <s v="KASRAWAD"/>
    <x v="13"/>
  </r>
  <r>
    <x v="1"/>
    <s v="Ertiga "/>
    <s v="VXI CNG WHITE"/>
    <n v="982706"/>
    <s v="HDFC"/>
    <s v="JALGAON"/>
    <x v="56"/>
  </r>
  <r>
    <x v="1"/>
    <s v="Ertiga "/>
    <s v="VXI CNG WHITE"/>
    <n v="10000000"/>
    <s v="SBI"/>
    <s v="JALGAON"/>
    <x v="57"/>
  </r>
  <r>
    <x v="0"/>
    <s v="EECO"/>
    <s v="7 STR STD WHITE"/>
    <n v="425000"/>
    <s v="Indusind Bank"/>
    <s v="PUNE"/>
    <x v="2"/>
  </r>
  <r>
    <x v="0"/>
    <s v="EECO"/>
    <s v="7 STR WHITE"/>
    <n v="400000"/>
    <s v="AU"/>
    <s v="PUNE"/>
    <x v="20"/>
  </r>
  <r>
    <x v="5"/>
    <s v="DZIRE"/>
    <s v="VXI WHTIE"/>
    <n v="749000"/>
    <s v="SBI"/>
    <s v="PATEL CHEMBER "/>
    <x v="58"/>
  </r>
  <r>
    <x v="2"/>
    <s v="BREZZA PETROL"/>
    <s v="VXI WHITE"/>
    <n v="0"/>
    <s v="CASH"/>
    <s v="KHANDWA"/>
    <x v="34"/>
  </r>
  <r>
    <x v="7"/>
    <s v="ALTO K-10"/>
    <s v="VXI GREY"/>
    <n v="500000"/>
    <s v="Cholamandalam"/>
    <s v="MAHESHWAR"/>
    <x v="32"/>
  </r>
  <r>
    <x v="4"/>
    <s v="SWIFT"/>
    <s v="LXI SILVER"/>
    <n v="500000"/>
    <s v="Indusind Bank"/>
    <s v="KHARGONE"/>
    <x v="21"/>
  </r>
  <r>
    <x v="0"/>
    <s v="EECO"/>
    <s v="7 STR GREY"/>
    <n v="500000"/>
    <s v="Madhya Pradesh Gramin Bank"/>
    <s v="PIPALGONE"/>
    <x v="13"/>
  </r>
  <r>
    <x v="0"/>
    <s v="EECO"/>
    <s v="5 STR AC GREY"/>
    <n v="307000"/>
    <s v="Indusind Bank"/>
    <s v="KHARGONE"/>
    <x v="32"/>
  </r>
  <r>
    <x v="1"/>
    <s v="Ertiga "/>
    <s v="VXI CNG"/>
    <n v="1078000"/>
    <s v="SHRIRAM FINANCE "/>
    <s v="PUNE"/>
    <x v="18"/>
  </r>
  <r>
    <x v="0"/>
    <s v="EECO"/>
    <s v="5 STR AC WHITE"/>
    <n v="0"/>
    <s v="CASH"/>
    <s v="KHARGONE"/>
    <x v="59"/>
  </r>
  <r>
    <x v="1"/>
    <s v="Ertiga "/>
    <s v="VXI CNG SILER"/>
    <n v="1078800"/>
    <s v="SBI"/>
    <s v="PANDHANA"/>
    <x v="60"/>
  </r>
  <r>
    <x v="0"/>
    <s v="EECO"/>
    <s v="7 STR WHITE"/>
    <n v="532023"/>
    <s v="KOGTA FINANCIAL INDIA LTD. "/>
    <s v="THIKRI"/>
    <x v="61"/>
  </r>
  <r>
    <x v="0"/>
    <s v="EECO"/>
    <s v="5 STR AC WHTIE"/>
    <n v="585000"/>
    <s v="Cholamandalam"/>
    <s v="SANAWAD"/>
    <x v="43"/>
  </r>
  <r>
    <x v="0"/>
    <s v="EECO"/>
    <s v="5 STR AC WHITE"/>
    <n v="407231"/>
    <s v="BANK OF BARODA"/>
    <s v="BARWANI"/>
    <x v="54"/>
  </r>
  <r>
    <x v="0"/>
    <s v="EECO"/>
    <s v="7 STR WHITE"/>
    <n v="450000"/>
    <s v="Bank of India"/>
    <s v="MAHESHWAR"/>
    <x v="27"/>
  </r>
  <r>
    <x v="0"/>
    <s v="EECO"/>
    <s v="7 STR WHITE"/>
    <n v="593000"/>
    <s v="Cholamandalam"/>
    <s v="KHANDWA"/>
    <x v="62"/>
  </r>
  <r>
    <x v="0"/>
    <s v="EECO"/>
    <s v="7 STR WHITE"/>
    <n v="626484"/>
    <s v="Madhya Pradesh Gramin Bank"/>
    <s v="TALWADA DEB"/>
    <x v="6"/>
  </r>
  <r>
    <x v="0"/>
    <s v="EECO"/>
    <s v="7 STR GREY"/>
    <n v="600000"/>
    <s v="Madhya Pradesh Gramin Bank"/>
    <s v="KHALGHAT"/>
    <x v="6"/>
  </r>
  <r>
    <x v="1"/>
    <s v="Ertiga "/>
    <s v="VXI WHTIE"/>
    <n v="800000"/>
    <s v="CENTRAL BANK OF INDIA"/>
    <s v="CENTRAL BANK OF INDIA"/>
    <x v="2"/>
  </r>
  <r>
    <x v="6"/>
    <s v="WagonR"/>
    <s v="CNG WHITE"/>
    <n v="620000"/>
    <s v="SBI"/>
    <s v="PATEL CHEMBER "/>
    <x v="41"/>
  </r>
  <r>
    <x v="2"/>
    <s v="BREZZA PETROL"/>
    <s v="VXI WHITE"/>
    <n v="970000"/>
    <s v="MAHINDRA"/>
    <s v="BARWANI"/>
    <x v="14"/>
  </r>
  <r>
    <x v="3"/>
    <s v="CELERIO AGS"/>
    <s v="ZXI + AGS WHITE"/>
    <n v="0"/>
    <s v="CASH"/>
    <s v="KHARGONE"/>
    <x v="21"/>
  </r>
  <r>
    <x v="7"/>
    <s v="ALTO K-10 (DREAM)"/>
    <s v="VXI + GREY"/>
    <n v="500000"/>
    <s v="SBI"/>
    <s v="PATEL CHEMBER "/>
    <x v="12"/>
  </r>
  <r>
    <x v="7"/>
    <s v="ALTO K-10 (DREAM)"/>
    <s v="VXI + WHITE"/>
    <n v="530000"/>
    <s v="SBI"/>
    <s v="SME BRANCH BURHANPUR"/>
    <x v="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3">
  <r>
    <x v="0"/>
    <s v="ABHISHEK UPADHYAY"/>
    <s v="KHANDWA RURAL"/>
    <n v="0"/>
    <n v="0"/>
    <n v="0"/>
    <n v="0"/>
    <n v="0"/>
    <n v="0"/>
    <n v="0"/>
    <n v="0"/>
    <n v="1"/>
    <n v="0"/>
    <n v="0"/>
    <n v="1"/>
    <n v="0"/>
    <n v="0"/>
    <n v="0"/>
    <n v="2"/>
  </r>
  <r>
    <x v="1"/>
    <s v="ASHISH LAAD"/>
    <s v="MAHESHWAR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HUKUM ARYA"/>
    <s v="KHARGONE TEAM A"/>
    <n v="0"/>
    <n v="0"/>
    <n v="0"/>
    <n v="0"/>
    <n v="0"/>
    <n v="0"/>
    <n v="0"/>
    <n v="0"/>
    <n v="0"/>
    <n v="0"/>
    <n v="1"/>
    <n v="0"/>
    <n v="0"/>
    <n v="0"/>
    <n v="0"/>
    <n v="1"/>
  </r>
  <r>
    <x v="3"/>
    <s v="AKASH MISHRA"/>
    <s v="BARWAH"/>
    <n v="0"/>
    <n v="1"/>
    <n v="0"/>
    <n v="0"/>
    <n v="0"/>
    <n v="0"/>
    <n v="0"/>
    <n v="0"/>
    <n v="0"/>
    <n v="1"/>
    <n v="0"/>
    <n v="0"/>
    <n v="0"/>
    <n v="0"/>
    <n v="0"/>
    <n v="2"/>
  </r>
  <r>
    <x v="4"/>
    <s v="NATWAR PATIDAR"/>
    <s v="THIKRI"/>
    <n v="0"/>
    <n v="0"/>
    <n v="0"/>
    <n v="0"/>
    <n v="0"/>
    <n v="0"/>
    <n v="1"/>
    <n v="0"/>
    <n v="0"/>
    <n v="0"/>
    <n v="0"/>
    <n v="0"/>
    <n v="0"/>
    <n v="0"/>
    <n v="0"/>
    <n v="1"/>
  </r>
  <r>
    <x v="5"/>
    <s v="RANJEET BHAGAT"/>
    <s v="BURHANPUR"/>
    <n v="0"/>
    <n v="0"/>
    <n v="0"/>
    <n v="0"/>
    <n v="0"/>
    <n v="0"/>
    <n v="1"/>
    <n v="0"/>
    <n v="0"/>
    <n v="2"/>
    <n v="2"/>
    <n v="1"/>
    <n v="0"/>
    <n v="0"/>
    <n v="0"/>
    <n v="6"/>
  </r>
  <r>
    <x v="6"/>
    <s v="ABHISHEK UPADHYAY"/>
    <s v="KHANDWA RURAL"/>
    <n v="0"/>
    <n v="0"/>
    <n v="0"/>
    <n v="0"/>
    <n v="0"/>
    <n v="0"/>
    <n v="0"/>
    <n v="0"/>
    <n v="0"/>
    <n v="0"/>
    <n v="0"/>
    <n v="1"/>
    <n v="0"/>
    <n v="0"/>
    <n v="0"/>
    <n v="1"/>
  </r>
  <r>
    <x v="7"/>
    <s v="SOURABH YADAV"/>
    <s v="KHARGONE TEAM B"/>
    <n v="0"/>
    <n v="0"/>
    <n v="0"/>
    <n v="0"/>
    <n v="0"/>
    <n v="1"/>
    <n v="0"/>
    <n v="0"/>
    <n v="0"/>
    <n v="0"/>
    <n v="0"/>
    <n v="1"/>
    <n v="0"/>
    <n v="0"/>
    <n v="0"/>
    <n v="2"/>
  </r>
  <r>
    <x v="8"/>
    <s v="AKASH MISHRA"/>
    <s v="BARWAH"/>
    <n v="0"/>
    <n v="0"/>
    <n v="0"/>
    <n v="0"/>
    <n v="0"/>
    <n v="0"/>
    <n v="0"/>
    <n v="0"/>
    <n v="0"/>
    <n v="0"/>
    <n v="2"/>
    <n v="1"/>
    <n v="0"/>
    <n v="0"/>
    <n v="0"/>
    <n v="3"/>
  </r>
  <r>
    <x v="9"/>
    <s v="SOURABH YADAV"/>
    <s v="KHARGONE TEAM B"/>
    <n v="0"/>
    <n v="0"/>
    <n v="0"/>
    <n v="0"/>
    <n v="0"/>
    <n v="0"/>
    <n v="0"/>
    <n v="0"/>
    <n v="0"/>
    <n v="0"/>
    <n v="0"/>
    <n v="1"/>
    <n v="0"/>
    <n v="0"/>
    <n v="0"/>
    <n v="1"/>
  </r>
  <r>
    <x v="10"/>
    <s v="RANJEET BHAGAT"/>
    <s v="BURHANPUR"/>
    <n v="0"/>
    <n v="0"/>
    <n v="0"/>
    <n v="0"/>
    <n v="0"/>
    <n v="0"/>
    <n v="1"/>
    <n v="0"/>
    <n v="0"/>
    <n v="0"/>
    <n v="0"/>
    <n v="1"/>
    <n v="0"/>
    <n v="0"/>
    <n v="0"/>
    <n v="2"/>
  </r>
  <r>
    <x v="11"/>
    <s v="RANJEET BHAGAT"/>
    <s v="BURHANPUR"/>
    <n v="1"/>
    <n v="0"/>
    <n v="0"/>
    <n v="0"/>
    <n v="0"/>
    <n v="0"/>
    <n v="0"/>
    <n v="0"/>
    <n v="0"/>
    <n v="0"/>
    <n v="1"/>
    <n v="1"/>
    <n v="0"/>
    <n v="0"/>
    <n v="0"/>
    <n v="3"/>
  </r>
  <r>
    <x v="12"/>
    <s v="IMRAN MANSURI"/>
    <s v="SENDHWA"/>
    <n v="0"/>
    <n v="0"/>
    <n v="0"/>
    <n v="0"/>
    <n v="0"/>
    <n v="0"/>
    <n v="0"/>
    <n v="0"/>
    <n v="0"/>
    <n v="0"/>
    <n v="0"/>
    <n v="0"/>
    <n v="0"/>
    <n v="0"/>
    <n v="0"/>
    <n v="0"/>
  </r>
  <r>
    <x v="13"/>
    <s v="ROHIT SAWLE"/>
    <s v="PANSEMAL"/>
    <n v="0"/>
    <n v="0"/>
    <n v="0"/>
    <n v="0"/>
    <n v="0"/>
    <n v="0"/>
    <n v="0"/>
    <n v="0"/>
    <n v="0"/>
    <n v="0"/>
    <n v="0"/>
    <n v="0"/>
    <n v="0"/>
    <n v="0"/>
    <n v="0"/>
    <n v="0"/>
  </r>
  <r>
    <x v="14"/>
    <s v="IMRAN MANSURI"/>
    <s v="SENDHWA"/>
    <n v="0"/>
    <n v="0"/>
    <n v="0"/>
    <n v="0"/>
    <n v="0"/>
    <n v="0"/>
    <n v="0"/>
    <n v="0"/>
    <n v="0"/>
    <n v="0"/>
    <n v="0"/>
    <n v="0"/>
    <n v="0"/>
    <n v="0"/>
    <n v="0"/>
    <n v="0"/>
  </r>
  <r>
    <x v="15"/>
    <s v="RANJEET BHAGAT"/>
    <s v="BURHANPUR"/>
    <n v="0"/>
    <n v="1"/>
    <n v="0"/>
    <n v="0"/>
    <n v="0"/>
    <n v="0"/>
    <n v="0"/>
    <n v="0"/>
    <n v="0"/>
    <n v="0"/>
    <n v="0"/>
    <n v="1"/>
    <n v="0"/>
    <n v="0"/>
    <n v="0"/>
    <n v="2"/>
  </r>
  <r>
    <x v="16"/>
    <s v="NITIN MEHTA"/>
    <s v="BARWANI"/>
    <n v="0"/>
    <n v="0"/>
    <n v="0"/>
    <n v="0"/>
    <n v="0"/>
    <n v="0"/>
    <n v="1"/>
    <n v="0"/>
    <n v="0"/>
    <n v="0"/>
    <n v="0"/>
    <n v="1"/>
    <n v="0"/>
    <n v="0"/>
    <n v="0"/>
    <n v="2"/>
  </r>
  <r>
    <x v="17"/>
    <s v="RAJESH KUMAR "/>
    <s v="KHANDWA CITY TEAM"/>
    <n v="0"/>
    <n v="0"/>
    <n v="0"/>
    <n v="0"/>
    <n v="0"/>
    <n v="0"/>
    <n v="0"/>
    <n v="0"/>
    <n v="0"/>
    <n v="0"/>
    <n v="1"/>
    <n v="0"/>
    <n v="0"/>
    <n v="0"/>
    <n v="0"/>
    <n v="1"/>
  </r>
  <r>
    <x v="18"/>
    <s v="ASHISH LAAD"/>
    <s v="MAHESHWAR"/>
    <n v="1"/>
    <n v="0"/>
    <n v="0"/>
    <n v="0"/>
    <n v="0"/>
    <n v="0"/>
    <n v="0"/>
    <n v="1"/>
    <n v="1"/>
    <n v="0"/>
    <n v="1"/>
    <n v="1"/>
    <n v="0"/>
    <n v="0"/>
    <n v="0"/>
    <n v="5"/>
  </r>
  <r>
    <x v="19"/>
    <s v="RAJESH KUMAR "/>
    <s v="KHANDWA CITY TEAM"/>
    <n v="0"/>
    <n v="0"/>
    <n v="0"/>
    <n v="0"/>
    <n v="0"/>
    <n v="1"/>
    <n v="1"/>
    <n v="0"/>
    <n v="0"/>
    <n v="0"/>
    <n v="1"/>
    <n v="2"/>
    <n v="1"/>
    <n v="0"/>
    <n v="0"/>
    <n v="6"/>
  </r>
  <r>
    <x v="20"/>
    <s v="SHOWROOM DSE"/>
    <s v="KHARGONE SHOWROOM"/>
    <n v="0"/>
    <n v="0"/>
    <n v="0"/>
    <n v="0"/>
    <n v="0"/>
    <n v="0"/>
    <n v="0"/>
    <n v="0"/>
    <n v="0"/>
    <n v="0"/>
    <n v="1"/>
    <n v="0"/>
    <n v="0"/>
    <n v="0"/>
    <n v="0"/>
    <n v="1"/>
  </r>
  <r>
    <x v="21"/>
    <s v="SOURABH YADAV"/>
    <s v="KHARGONE TEAM B"/>
    <n v="0"/>
    <n v="1"/>
    <n v="0"/>
    <n v="0"/>
    <n v="0"/>
    <n v="0"/>
    <n v="1"/>
    <n v="0"/>
    <n v="0"/>
    <n v="1"/>
    <n v="2"/>
    <n v="0"/>
    <n v="0"/>
    <n v="0"/>
    <n v="0"/>
    <n v="5"/>
  </r>
  <r>
    <x v="22"/>
    <s v="HUKUM ARYA"/>
    <s v="KHARGONE TEAM A"/>
    <n v="0"/>
    <n v="0"/>
    <n v="0"/>
    <n v="0"/>
    <n v="0"/>
    <n v="0"/>
    <n v="0"/>
    <n v="0"/>
    <n v="0"/>
    <n v="0"/>
    <n v="0"/>
    <n v="2"/>
    <n v="0"/>
    <n v="0"/>
    <n v="0"/>
    <n v="2"/>
  </r>
  <r>
    <x v="23"/>
    <s v="IMRAN MANSURI"/>
    <s v="SENDHWA"/>
    <n v="0"/>
    <n v="0"/>
    <n v="0"/>
    <n v="0"/>
    <n v="0"/>
    <n v="0"/>
    <n v="0"/>
    <n v="0"/>
    <n v="0"/>
    <n v="0"/>
    <n v="2"/>
    <n v="0"/>
    <n v="0"/>
    <n v="0"/>
    <n v="1"/>
    <n v="3"/>
  </r>
  <r>
    <x v="24"/>
    <s v="RAJESH KUMAR "/>
    <s v="KHANDWA CITY TEAM"/>
    <n v="0"/>
    <n v="0"/>
    <n v="0"/>
    <n v="0"/>
    <n v="0"/>
    <n v="0"/>
    <n v="1"/>
    <n v="0"/>
    <n v="1"/>
    <n v="0"/>
    <n v="0"/>
    <n v="0"/>
    <n v="0"/>
    <n v="0"/>
    <n v="0"/>
    <n v="2"/>
  </r>
  <r>
    <x v="25"/>
    <s v="ABHISHEK UPADHYAY"/>
    <s v="KHANDWA RURAL"/>
    <n v="0"/>
    <n v="0"/>
    <n v="0"/>
    <n v="0"/>
    <n v="0"/>
    <n v="0"/>
    <n v="0"/>
    <n v="0"/>
    <n v="0"/>
    <n v="0"/>
    <n v="0"/>
    <n v="1"/>
    <n v="0"/>
    <n v="0"/>
    <n v="0"/>
    <n v="1"/>
  </r>
  <r>
    <x v="26"/>
    <s v="RAJESH KUMAR "/>
    <s v="KHANDWA CITY TEAM"/>
    <n v="0"/>
    <n v="0"/>
    <n v="0"/>
    <n v="0"/>
    <n v="0"/>
    <n v="0"/>
    <n v="0"/>
    <n v="0"/>
    <n v="0"/>
    <n v="0"/>
    <n v="0"/>
    <n v="0"/>
    <n v="0"/>
    <n v="0"/>
    <n v="0"/>
    <n v="0"/>
  </r>
  <r>
    <x v="27"/>
    <s v="ABHISHEK UPADHYAY"/>
    <s v="KHANDWA RURAL"/>
    <n v="0"/>
    <n v="0"/>
    <n v="0"/>
    <n v="0"/>
    <n v="0"/>
    <n v="0"/>
    <n v="1"/>
    <n v="0"/>
    <n v="0"/>
    <n v="1"/>
    <n v="1"/>
    <n v="0"/>
    <n v="0"/>
    <n v="0"/>
    <n v="0"/>
    <n v="3"/>
  </r>
  <r>
    <x v="28"/>
    <s v="RAJESH KUMAR "/>
    <s v="KHANDWA CITY TEAM"/>
    <n v="0"/>
    <n v="0"/>
    <n v="0"/>
    <n v="0"/>
    <n v="0"/>
    <n v="0"/>
    <n v="0"/>
    <n v="0"/>
    <n v="0"/>
    <n v="1"/>
    <n v="0"/>
    <n v="0"/>
    <n v="0"/>
    <n v="0"/>
    <n v="0"/>
    <n v="1"/>
  </r>
  <r>
    <x v="29"/>
    <s v="ABHISHEK UPADHYAY"/>
    <s v="KHANDWA RURAL"/>
    <n v="1"/>
    <n v="0"/>
    <n v="0"/>
    <n v="0"/>
    <n v="0"/>
    <n v="0"/>
    <n v="0"/>
    <n v="0"/>
    <n v="0"/>
    <n v="0"/>
    <n v="1"/>
    <n v="0"/>
    <n v="0"/>
    <n v="0"/>
    <n v="0"/>
    <n v="2"/>
  </r>
  <r>
    <x v="30"/>
    <s v="NITIN MEHTA"/>
    <s v="BARWANI"/>
    <n v="0"/>
    <n v="0"/>
    <n v="0"/>
    <n v="0"/>
    <n v="0"/>
    <n v="0"/>
    <n v="0"/>
    <n v="0"/>
    <n v="0"/>
    <n v="0"/>
    <n v="0"/>
    <n v="0"/>
    <n v="0"/>
    <n v="0"/>
    <n v="0"/>
    <n v="0"/>
  </r>
  <r>
    <x v="31"/>
    <s v="HUKUM ARYA"/>
    <s v="KHARGONE TEAM A"/>
    <n v="0"/>
    <n v="0"/>
    <n v="0"/>
    <n v="0"/>
    <n v="0"/>
    <n v="0"/>
    <n v="0"/>
    <n v="0"/>
    <n v="0"/>
    <n v="0"/>
    <n v="1"/>
    <n v="0"/>
    <n v="0"/>
    <n v="0"/>
    <n v="0"/>
    <n v="1"/>
  </r>
  <r>
    <x v="32"/>
    <s v="NATWAR PATIDAR"/>
    <s v="THIKRI"/>
    <n v="0"/>
    <n v="0"/>
    <n v="0"/>
    <n v="0"/>
    <n v="0"/>
    <n v="0"/>
    <n v="0"/>
    <n v="0"/>
    <n v="0"/>
    <n v="0"/>
    <n v="1"/>
    <n v="1"/>
    <n v="0"/>
    <n v="0"/>
    <n v="0"/>
    <n v="2"/>
  </r>
  <r>
    <x v="33"/>
    <s v="AKASH MISHRA"/>
    <s v="BARWAH"/>
    <n v="0"/>
    <n v="0"/>
    <n v="0"/>
    <n v="0"/>
    <n v="0"/>
    <n v="0"/>
    <n v="2"/>
    <n v="0"/>
    <n v="1"/>
    <n v="3"/>
    <n v="0"/>
    <n v="0"/>
    <n v="1"/>
    <n v="0"/>
    <n v="0"/>
    <n v="7"/>
  </r>
  <r>
    <x v="34"/>
    <s v="RANJEET BHAGAT"/>
    <s v="BURHANPUR"/>
    <n v="0"/>
    <n v="0"/>
    <n v="0"/>
    <n v="0"/>
    <n v="0"/>
    <n v="0"/>
    <n v="0"/>
    <n v="0"/>
    <n v="0"/>
    <n v="0"/>
    <n v="1"/>
    <n v="2"/>
    <n v="0"/>
    <n v="0"/>
    <n v="0"/>
    <n v="3"/>
  </r>
  <r>
    <x v="35"/>
    <s v="ASHISH LAAD"/>
    <s v="MAHESHWAR"/>
    <n v="0"/>
    <n v="0"/>
    <n v="0"/>
    <n v="0"/>
    <n v="0"/>
    <n v="0"/>
    <n v="1"/>
    <n v="0"/>
    <n v="0"/>
    <n v="0"/>
    <n v="2"/>
    <n v="1"/>
    <n v="0"/>
    <n v="0"/>
    <n v="0"/>
    <n v="4"/>
  </r>
  <r>
    <x v="36"/>
    <s v="SHOWROOM DSE"/>
    <s v="KHARGONE SHOWROOM"/>
    <n v="0"/>
    <n v="0"/>
    <n v="0"/>
    <n v="0"/>
    <n v="0"/>
    <n v="0"/>
    <n v="0"/>
    <n v="0"/>
    <n v="0"/>
    <n v="0"/>
    <n v="1"/>
    <n v="0"/>
    <n v="0"/>
    <n v="0"/>
    <n v="0"/>
    <n v="1"/>
  </r>
  <r>
    <x v="37"/>
    <s v="RAJESH KUMAR "/>
    <s v="KHANDWA CITY TEAM"/>
    <n v="0"/>
    <n v="1"/>
    <n v="0"/>
    <n v="0"/>
    <n v="0"/>
    <n v="0"/>
    <n v="0"/>
    <n v="1"/>
    <n v="0"/>
    <n v="1"/>
    <n v="1"/>
    <n v="0"/>
    <n v="0"/>
    <n v="1"/>
    <n v="0"/>
    <n v="5"/>
  </r>
  <r>
    <x v="38"/>
    <s v="RANJEET BHAGAT"/>
    <s v="BURHANPUR"/>
    <n v="0"/>
    <n v="0"/>
    <n v="1"/>
    <n v="0"/>
    <n v="0"/>
    <n v="0"/>
    <n v="1"/>
    <n v="0"/>
    <n v="0"/>
    <n v="0"/>
    <n v="0"/>
    <n v="0"/>
    <n v="0"/>
    <n v="0"/>
    <n v="0"/>
    <n v="2"/>
  </r>
  <r>
    <x v="39"/>
    <s v="CHHANERA"/>
    <s v="CHHANERA"/>
    <n v="0"/>
    <n v="0"/>
    <n v="0"/>
    <n v="0"/>
    <n v="0"/>
    <n v="0"/>
    <n v="1"/>
    <n v="0"/>
    <n v="0"/>
    <n v="0"/>
    <n v="1"/>
    <n v="0"/>
    <n v="0"/>
    <n v="0"/>
    <n v="0"/>
    <n v="2"/>
  </r>
  <r>
    <x v="40"/>
    <s v="ASHISH LAAD"/>
    <s v="MAHESHWAR"/>
    <n v="0"/>
    <n v="0"/>
    <n v="0"/>
    <n v="0"/>
    <n v="0"/>
    <n v="0"/>
    <n v="0"/>
    <n v="0"/>
    <n v="0"/>
    <n v="0"/>
    <n v="2"/>
    <n v="0"/>
    <n v="0"/>
    <n v="0"/>
    <n v="0"/>
    <n v="2"/>
  </r>
  <r>
    <x v="41"/>
    <s v="SHOWROOM DSE"/>
    <s v="KHARGONE SHOWROOM"/>
    <n v="0"/>
    <n v="0"/>
    <n v="0"/>
    <n v="0"/>
    <n v="0"/>
    <n v="0"/>
    <n v="0"/>
    <n v="1"/>
    <n v="0"/>
    <n v="0"/>
    <n v="0"/>
    <n v="0"/>
    <n v="0"/>
    <n v="0"/>
    <n v="0"/>
    <n v="1"/>
  </r>
  <r>
    <x v="42"/>
    <s v="SHOWROOM DSE"/>
    <s v="KHARGONE SHOWROOM"/>
    <n v="0"/>
    <n v="0"/>
    <n v="0"/>
    <n v="0"/>
    <n v="0"/>
    <n v="0"/>
    <n v="0"/>
    <n v="0"/>
    <n v="0"/>
    <n v="0"/>
    <n v="0"/>
    <n v="0"/>
    <n v="0"/>
    <n v="0"/>
    <n v="0"/>
    <n v="0"/>
  </r>
  <r>
    <x v="43"/>
    <s v="SHOWROOM DSE"/>
    <s v="KHARGONE SHOWROOM"/>
    <n v="0"/>
    <n v="0"/>
    <n v="0"/>
    <n v="0"/>
    <n v="0"/>
    <n v="0"/>
    <n v="0"/>
    <n v="0"/>
    <n v="0"/>
    <n v="0"/>
    <n v="0"/>
    <n v="0"/>
    <n v="0"/>
    <n v="0"/>
    <n v="0"/>
    <n v="0"/>
  </r>
  <r>
    <x v="44"/>
    <s v="SHOWROOM DSE"/>
    <s v="KHARGONE SHOWROOM"/>
    <n v="0"/>
    <n v="0"/>
    <n v="0"/>
    <n v="0"/>
    <n v="0"/>
    <n v="0"/>
    <n v="0"/>
    <n v="0"/>
    <n v="0"/>
    <n v="0"/>
    <n v="0"/>
    <n v="0"/>
    <n v="0"/>
    <n v="0"/>
    <n v="0"/>
    <n v="0"/>
  </r>
  <r>
    <x v="45"/>
    <s v="SHOWROOM DSE"/>
    <s v="KHARGONE SHOWROOM"/>
    <n v="0"/>
    <n v="0"/>
    <n v="0"/>
    <n v="0"/>
    <n v="0"/>
    <n v="0"/>
    <n v="0"/>
    <n v="0"/>
    <n v="0"/>
    <n v="0"/>
    <n v="2"/>
    <n v="0"/>
    <n v="0"/>
    <n v="0"/>
    <n v="0"/>
    <n v="2"/>
  </r>
  <r>
    <x v="46"/>
    <s v="ROHIT SAWLE"/>
    <s v="PANSEMAL"/>
    <n v="0"/>
    <n v="0"/>
    <n v="0"/>
    <n v="0"/>
    <n v="0"/>
    <n v="0"/>
    <n v="0"/>
    <n v="0"/>
    <n v="0"/>
    <n v="0"/>
    <n v="0"/>
    <n v="1"/>
    <n v="0"/>
    <n v="0"/>
    <n v="0"/>
    <n v="1"/>
  </r>
  <r>
    <x v="47"/>
    <s v="IMRAN MANSURI"/>
    <s v="SENDHWA"/>
    <n v="0"/>
    <n v="0"/>
    <n v="0"/>
    <n v="0"/>
    <n v="0"/>
    <n v="0"/>
    <n v="0"/>
    <n v="0"/>
    <n v="0"/>
    <n v="0"/>
    <n v="1"/>
    <n v="0"/>
    <n v="0"/>
    <n v="0"/>
    <n v="0"/>
    <n v="1"/>
  </r>
  <r>
    <x v="48"/>
    <s v="KASRAWAD"/>
    <s v="KASRAWAD"/>
    <n v="0"/>
    <n v="0"/>
    <n v="0"/>
    <n v="0"/>
    <n v="0"/>
    <n v="0"/>
    <n v="0"/>
    <n v="1"/>
    <n v="0"/>
    <n v="0"/>
    <n v="3"/>
    <n v="0"/>
    <n v="1"/>
    <n v="0"/>
    <n v="0"/>
    <n v="5"/>
  </r>
  <r>
    <x v="49"/>
    <s v="SOURABH YADAV"/>
    <s v="KHARGONE TEAM B"/>
    <n v="0"/>
    <n v="0"/>
    <n v="1"/>
    <n v="0"/>
    <n v="0"/>
    <n v="0"/>
    <n v="0"/>
    <n v="0"/>
    <n v="0"/>
    <n v="0"/>
    <n v="3"/>
    <n v="0"/>
    <n v="0"/>
    <n v="0"/>
    <n v="0"/>
    <n v="4"/>
  </r>
  <r>
    <x v="50"/>
    <s v="IMRAN MANSURI"/>
    <s v="SENDHWA"/>
    <n v="0"/>
    <n v="0"/>
    <n v="0"/>
    <n v="0"/>
    <n v="0"/>
    <n v="0"/>
    <n v="1"/>
    <n v="0"/>
    <n v="0"/>
    <n v="0"/>
    <n v="0"/>
    <n v="0"/>
    <n v="0"/>
    <n v="0"/>
    <n v="1"/>
    <n v="2"/>
  </r>
  <r>
    <x v="51"/>
    <s v="RAJESH KUMAR "/>
    <s v="KHANDWA CITY TEAM"/>
    <n v="1"/>
    <n v="0"/>
    <n v="0"/>
    <n v="0"/>
    <n v="0"/>
    <n v="0"/>
    <n v="0"/>
    <n v="1"/>
    <n v="2"/>
    <n v="1"/>
    <n v="1"/>
    <n v="1"/>
    <n v="0"/>
    <n v="0"/>
    <n v="0"/>
    <n v="7"/>
  </r>
  <r>
    <x v="52"/>
    <s v="CHHANERA"/>
    <s v="CHHANERA"/>
    <n v="0"/>
    <n v="0"/>
    <n v="0"/>
    <n v="0"/>
    <n v="0"/>
    <n v="0"/>
    <n v="0"/>
    <n v="0"/>
    <n v="1"/>
    <n v="0"/>
    <n v="1"/>
    <n v="0"/>
    <n v="0"/>
    <n v="0"/>
    <n v="0"/>
    <n v="2"/>
  </r>
  <r>
    <x v="53"/>
    <s v="CHHANERA"/>
    <s v="CHHANERA"/>
    <n v="0"/>
    <n v="0"/>
    <n v="0"/>
    <n v="0"/>
    <n v="0"/>
    <n v="0"/>
    <n v="0"/>
    <n v="0"/>
    <n v="0"/>
    <n v="0"/>
    <n v="0"/>
    <n v="1"/>
    <n v="0"/>
    <n v="0"/>
    <n v="0"/>
    <n v="1"/>
  </r>
  <r>
    <x v="54"/>
    <s v="CHHANERA"/>
    <s v="CHHANERA"/>
    <n v="0"/>
    <n v="0"/>
    <n v="0"/>
    <n v="0"/>
    <n v="1"/>
    <n v="0"/>
    <n v="0"/>
    <n v="0"/>
    <n v="0"/>
    <n v="0"/>
    <n v="1"/>
    <n v="0"/>
    <n v="0"/>
    <n v="0"/>
    <n v="0"/>
    <n v="2"/>
  </r>
  <r>
    <x v="55"/>
    <s v="AKASH MISHRA"/>
    <s v="BARWAH"/>
    <n v="0"/>
    <n v="0"/>
    <n v="0"/>
    <n v="0"/>
    <n v="0"/>
    <n v="0"/>
    <n v="1"/>
    <n v="0"/>
    <n v="0"/>
    <n v="0"/>
    <n v="1"/>
    <n v="0"/>
    <n v="0"/>
    <n v="0"/>
    <n v="0"/>
    <n v="2"/>
  </r>
  <r>
    <x v="56"/>
    <s v="NITIN MEHTA"/>
    <s v="BARWANI"/>
    <n v="0"/>
    <n v="0"/>
    <n v="0"/>
    <n v="0"/>
    <n v="0"/>
    <n v="0"/>
    <n v="0"/>
    <n v="0"/>
    <n v="0"/>
    <n v="0"/>
    <n v="0"/>
    <n v="1"/>
    <n v="0"/>
    <n v="0"/>
    <n v="0"/>
    <n v="1"/>
  </r>
  <r>
    <x v="57"/>
    <s v="SOURABH YADAV"/>
    <s v="KHARGONE TEAM B"/>
    <n v="0"/>
    <n v="0"/>
    <n v="0"/>
    <n v="0"/>
    <n v="0"/>
    <n v="0"/>
    <n v="0"/>
    <n v="0"/>
    <n v="0"/>
    <n v="0"/>
    <n v="1"/>
    <n v="1"/>
    <n v="0"/>
    <n v="0"/>
    <n v="0"/>
    <n v="2"/>
  </r>
  <r>
    <x v="58"/>
    <s v="NITIN MEHTA"/>
    <s v="BARWANI"/>
    <n v="0"/>
    <n v="0"/>
    <n v="0"/>
    <n v="0"/>
    <n v="0"/>
    <n v="0"/>
    <n v="2"/>
    <n v="0"/>
    <n v="0"/>
    <n v="0"/>
    <n v="1"/>
    <n v="1"/>
    <n v="0"/>
    <n v="0"/>
    <n v="0"/>
    <n v="4"/>
  </r>
  <r>
    <x v="59"/>
    <s v="NITIN MEHTA"/>
    <s v="BARWANI"/>
    <n v="0"/>
    <n v="0"/>
    <n v="0"/>
    <n v="0"/>
    <n v="0"/>
    <n v="0"/>
    <n v="0"/>
    <n v="0"/>
    <n v="0"/>
    <n v="0"/>
    <n v="3"/>
    <n v="1"/>
    <n v="0"/>
    <n v="0"/>
    <n v="0"/>
    <n v="4"/>
  </r>
  <r>
    <x v="60"/>
    <s v="NATWAR PATIDAR"/>
    <s v="THIKRI"/>
    <n v="0"/>
    <n v="0"/>
    <n v="0"/>
    <n v="0"/>
    <n v="0"/>
    <n v="0"/>
    <n v="1"/>
    <n v="0"/>
    <n v="0"/>
    <n v="0"/>
    <n v="1"/>
    <n v="1"/>
    <n v="0"/>
    <n v="0"/>
    <n v="0"/>
    <n v="3"/>
  </r>
  <r>
    <x v="61"/>
    <s v="ROHIT SAWLE"/>
    <s v="PANSEMAL"/>
    <n v="0"/>
    <n v="0"/>
    <n v="0"/>
    <n v="0"/>
    <n v="0"/>
    <n v="0"/>
    <n v="0"/>
    <n v="0"/>
    <n v="0"/>
    <n v="0"/>
    <n v="1"/>
    <n v="0"/>
    <n v="0"/>
    <n v="0"/>
    <n v="0"/>
    <n v="1"/>
  </r>
  <r>
    <x v="62"/>
    <s v="ROHIT SAWLE"/>
    <s v="PANSEMAL"/>
    <n v="0"/>
    <n v="0"/>
    <n v="0"/>
    <n v="0"/>
    <n v="0"/>
    <n v="0"/>
    <n v="0"/>
    <n v="0"/>
    <n v="0"/>
    <n v="0"/>
    <n v="0"/>
    <n v="0"/>
    <n v="0"/>
    <n v="0"/>
    <n v="0"/>
    <n v="0"/>
  </r>
  <r>
    <x v="63"/>
    <s v="SOURABH YADAV"/>
    <s v="KHARGONE TEAM B"/>
    <n v="0"/>
    <n v="0"/>
    <n v="0"/>
    <n v="1"/>
    <n v="1"/>
    <n v="0"/>
    <n v="0"/>
    <n v="0"/>
    <n v="0"/>
    <n v="0"/>
    <n v="1"/>
    <n v="3"/>
    <n v="2"/>
    <n v="0"/>
    <n v="0"/>
    <n v="8"/>
  </r>
  <r>
    <x v="64"/>
    <s v="NITIN MEHTA"/>
    <s v="BARWANI"/>
    <n v="0"/>
    <n v="0"/>
    <n v="0"/>
    <n v="0"/>
    <n v="0"/>
    <n v="0"/>
    <n v="0"/>
    <n v="0"/>
    <n v="0"/>
    <n v="0"/>
    <n v="3"/>
    <n v="0"/>
    <n v="0"/>
    <n v="0"/>
    <n v="0"/>
    <n v="3"/>
  </r>
  <r>
    <x v="65"/>
    <s v="HUKUM ARYA"/>
    <s v="KHARGONE TEAM A"/>
    <n v="0"/>
    <n v="0"/>
    <n v="0"/>
    <n v="0"/>
    <n v="0"/>
    <n v="0"/>
    <n v="0"/>
    <n v="0"/>
    <n v="0"/>
    <n v="0"/>
    <n v="4"/>
    <n v="0"/>
    <n v="0"/>
    <n v="0"/>
    <n v="0"/>
    <n v="4"/>
  </r>
  <r>
    <x v="66"/>
    <s v="HUKUM ARYA"/>
    <s v="KHARGONE TEAM A"/>
    <n v="0"/>
    <n v="0"/>
    <n v="0"/>
    <n v="0"/>
    <n v="0"/>
    <n v="0"/>
    <n v="0"/>
    <n v="0"/>
    <n v="0"/>
    <n v="1"/>
    <n v="0"/>
    <n v="0"/>
    <n v="0"/>
    <n v="0"/>
    <n v="0"/>
    <n v="1"/>
  </r>
  <r>
    <x v="67"/>
    <s v="NITIN MEHTA"/>
    <s v="BARWANI"/>
    <n v="0"/>
    <n v="0"/>
    <n v="0"/>
    <n v="0"/>
    <n v="0"/>
    <n v="0"/>
    <n v="1"/>
    <n v="0"/>
    <n v="2"/>
    <n v="0"/>
    <n v="3"/>
    <n v="0"/>
    <n v="0"/>
    <n v="0"/>
    <n v="0"/>
    <n v="6"/>
  </r>
  <r>
    <x v="68"/>
    <s v="RANJEET BHAGAT"/>
    <s v="BURHANPUR"/>
    <n v="0"/>
    <n v="0"/>
    <n v="0"/>
    <n v="0"/>
    <n v="0"/>
    <n v="0"/>
    <n v="0"/>
    <n v="0"/>
    <n v="0"/>
    <n v="0"/>
    <n v="0"/>
    <n v="0"/>
    <n v="0"/>
    <n v="0"/>
    <n v="0"/>
    <n v="0"/>
  </r>
  <r>
    <x v="69"/>
    <s v="RANJEET BHAGAT"/>
    <s v="BURHANPUR"/>
    <n v="0"/>
    <n v="0"/>
    <n v="0"/>
    <n v="0"/>
    <n v="0"/>
    <n v="0"/>
    <n v="1"/>
    <n v="0"/>
    <n v="0"/>
    <n v="1"/>
    <n v="2"/>
    <n v="3"/>
    <n v="1"/>
    <n v="0"/>
    <n v="0"/>
    <n v="8"/>
  </r>
  <r>
    <x v="70"/>
    <s v="KASRAWAD"/>
    <s v="KASRAWAD"/>
    <n v="0"/>
    <n v="0"/>
    <n v="0"/>
    <n v="0"/>
    <n v="0"/>
    <n v="0"/>
    <n v="0"/>
    <n v="0"/>
    <n v="0"/>
    <n v="0"/>
    <n v="1"/>
    <n v="0"/>
    <n v="0"/>
    <n v="0"/>
    <n v="0"/>
    <n v="1"/>
  </r>
  <r>
    <x v="71"/>
    <s v="NATWAR PATIDAR"/>
    <s v="THIKRI"/>
    <n v="0"/>
    <n v="0"/>
    <n v="0"/>
    <n v="0"/>
    <n v="0"/>
    <n v="0"/>
    <n v="0"/>
    <n v="0"/>
    <n v="0"/>
    <n v="0"/>
    <n v="1"/>
    <n v="0"/>
    <n v="0"/>
    <n v="0"/>
    <n v="0"/>
    <n v="1"/>
  </r>
  <r>
    <x v="72"/>
    <s v="NATWAR PATIDAR"/>
    <s v="THIKRI"/>
    <n v="0"/>
    <n v="0"/>
    <n v="0"/>
    <n v="0"/>
    <n v="0"/>
    <n v="0"/>
    <n v="0"/>
    <n v="0"/>
    <n v="0"/>
    <n v="0"/>
    <n v="3"/>
    <n v="0"/>
    <n v="0"/>
    <n v="0"/>
    <n v="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7" firstHeaderRow="1" firstDataRow="1" firstDataCol="1"/>
  <pivotFields count="7">
    <pivotField dataField="1" showAll="0">
      <items count="10">
        <item x="7"/>
        <item x="2"/>
        <item x="3"/>
        <item x="5"/>
        <item x="0"/>
        <item x="1"/>
        <item x="8"/>
        <item x="4"/>
        <item x="6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4">
        <item x="62"/>
        <item x="31"/>
        <item x="53"/>
        <item x="26"/>
        <item x="33"/>
        <item x="17"/>
        <item x="44"/>
        <item x="48"/>
        <item x="42"/>
        <item x="43"/>
        <item x="39"/>
        <item x="36"/>
        <item x="61"/>
        <item x="49"/>
        <item x="59"/>
        <item x="57"/>
        <item x="23"/>
        <item x="32"/>
        <item x="29"/>
        <item x="38"/>
        <item x="30"/>
        <item x="18"/>
        <item x="45"/>
        <item x="4"/>
        <item x="60"/>
        <item x="41"/>
        <item x="24"/>
        <item x="58"/>
        <item x="52"/>
        <item x="20"/>
        <item x="40"/>
        <item x="5"/>
        <item x="11"/>
        <item x="1"/>
        <item x="27"/>
        <item x="50"/>
        <item x="12"/>
        <item x="22"/>
        <item x="37"/>
        <item x="35"/>
        <item x="51"/>
        <item x="55"/>
        <item x="16"/>
        <item x="13"/>
        <item x="7"/>
        <item x="8"/>
        <item x="34"/>
        <item x="10"/>
        <item x="28"/>
        <item x="47"/>
        <item x="15"/>
        <item x="19"/>
        <item x="9"/>
        <item x="25"/>
        <item x="21"/>
        <item x="54"/>
        <item x="0"/>
        <item x="46"/>
        <item x="14"/>
        <item x="2"/>
        <item x="3"/>
        <item x="6"/>
        <item x="56"/>
        <item t="default"/>
      </items>
    </pivotField>
  </pivotFields>
  <rowFields count="1">
    <field x="6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Count of Model Name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7" firstHeaderRow="1" firstDataRow="1" firstDataCol="1"/>
  <pivotFields count="19">
    <pivotField axis="axisRow" showAll="0">
      <items count="74">
        <item x="17"/>
        <item x="0"/>
        <item x="2"/>
        <item x="3"/>
        <item x="4"/>
        <item x="5"/>
        <item x="41"/>
        <item x="6"/>
        <item x="7"/>
        <item x="8"/>
        <item x="9"/>
        <item x="1"/>
        <item x="10"/>
        <item x="71"/>
        <item x="11"/>
        <item x="12"/>
        <item x="13"/>
        <item x="14"/>
        <item x="15"/>
        <item x="16"/>
        <item x="18"/>
        <item x="19"/>
        <item x="20"/>
        <item x="21"/>
        <item x="22"/>
        <item x="23"/>
        <item x="24"/>
        <item x="25"/>
        <item x="68"/>
        <item x="39"/>
        <item x="26"/>
        <item x="27"/>
        <item x="28"/>
        <item x="29"/>
        <item x="52"/>
        <item x="31"/>
        <item x="32"/>
        <item x="33"/>
        <item x="34"/>
        <item x="42"/>
        <item x="30"/>
        <item x="35"/>
        <item x="44"/>
        <item x="36"/>
        <item x="37"/>
        <item x="38"/>
        <item x="40"/>
        <item x="61"/>
        <item x="45"/>
        <item x="46"/>
        <item x="47"/>
        <item x="48"/>
        <item x="49"/>
        <item x="50"/>
        <item x="51"/>
        <item x="54"/>
        <item x="55"/>
        <item x="56"/>
        <item x="57"/>
        <item x="58"/>
        <item x="59"/>
        <item x="60"/>
        <item x="62"/>
        <item x="63"/>
        <item x="64"/>
        <item x="65"/>
        <item x="43"/>
        <item x="66"/>
        <item x="67"/>
        <item x="69"/>
        <item x="70"/>
        <item x="72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Sum of Grand Total" fld="1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M181"/>
  <sheetViews>
    <sheetView tabSelected="1" topLeftCell="S1" zoomScale="78" zoomScaleNormal="78" workbookViewId="0">
      <pane ySplit="1" topLeftCell="A2" activePane="bottomLeft" state="frozen"/>
      <selection pane="bottomLeft" activeCell="T1" sqref="T1"/>
    </sheetView>
  </sheetViews>
  <sheetFormatPr defaultColWidth="9.109375" defaultRowHeight="14.4" x14ac:dyDescent="0.3"/>
  <cols>
    <col min="1" max="1" width="6.6640625" style="31" customWidth="1"/>
    <col min="2" max="2" width="115.5546875" style="31" customWidth="1"/>
    <col min="3" max="3" width="9.44140625" style="31" bestFit="1" customWidth="1"/>
    <col min="4" max="4" width="45.109375" style="31" bestFit="1" customWidth="1"/>
    <col min="5" max="6" width="11.5546875" style="31" bestFit="1" customWidth="1"/>
    <col min="7" max="8" width="16.88671875" style="31" bestFit="1" customWidth="1"/>
    <col min="9" max="9" width="19.33203125" style="31" bestFit="1" customWidth="1"/>
    <col min="10" max="10" width="16.6640625" style="31" bestFit="1" customWidth="1"/>
    <col min="11" max="11" width="14.88671875" style="31" customWidth="1"/>
    <col min="12" max="12" width="7.5546875" style="31" customWidth="1"/>
    <col min="13" max="13" width="25.5546875" style="31" customWidth="1"/>
    <col min="14" max="14" width="23.6640625" style="31" customWidth="1"/>
    <col min="15" max="15" width="31.6640625" style="31" bestFit="1" customWidth="1"/>
    <col min="16" max="16" width="10.88671875" style="31" bestFit="1" customWidth="1"/>
    <col min="17" max="17" width="57.44140625" style="31" customWidth="1"/>
    <col min="18" max="18" width="38" style="31" customWidth="1"/>
    <col min="19" max="20" width="31.33203125" style="31" customWidth="1"/>
    <col min="21" max="21" width="29" style="31" bestFit="1" customWidth="1"/>
    <col min="22" max="22" width="9.109375" style="31"/>
    <col min="23" max="23" width="7.88671875" style="31" customWidth="1"/>
    <col min="24" max="24" width="9.109375" style="31"/>
    <col min="25" max="25" width="27.21875" style="31" customWidth="1"/>
    <col min="26" max="26" width="7.5546875" style="31" customWidth="1"/>
    <col min="27" max="27" width="16.33203125" style="31" customWidth="1"/>
    <col min="28" max="28" width="5.5546875" style="31" customWidth="1"/>
    <col min="29" max="29" width="5.77734375" style="31" customWidth="1"/>
    <col min="30" max="30" width="7.88671875" style="31" hidden="1" customWidth="1"/>
    <col min="31" max="31" width="8.44140625" style="31" hidden="1" customWidth="1"/>
    <col min="32" max="32" width="48.33203125" style="31" customWidth="1"/>
    <col min="33" max="33" width="8" style="31" customWidth="1"/>
    <col min="34" max="34" width="8.109375" style="31" customWidth="1"/>
    <col min="35" max="35" width="8.5546875" style="31" customWidth="1"/>
    <col min="36" max="36" width="7.88671875" style="31" customWidth="1"/>
    <col min="37" max="37" width="8.33203125" style="31" customWidth="1"/>
    <col min="38" max="38" width="9" style="31" customWidth="1"/>
    <col min="39" max="39" width="8.5546875" style="31" customWidth="1"/>
    <col min="40" max="40" width="8.88671875" style="31" customWidth="1"/>
    <col min="41" max="41" width="8.5546875" style="31" customWidth="1"/>
    <col min="42" max="42" width="5.5546875" style="31" customWidth="1"/>
    <col min="43" max="43" width="6.6640625" style="31" customWidth="1"/>
    <col min="44" max="44" width="8.88671875" style="31" customWidth="1"/>
    <col min="45" max="45" width="9.5546875" style="31" bestFit="1" customWidth="1"/>
    <col min="46" max="46" width="19.5546875" style="31" customWidth="1"/>
    <col min="47" max="48" width="8.6640625" style="31" customWidth="1"/>
    <col min="49" max="49" width="7.88671875" style="31" customWidth="1"/>
    <col min="50" max="50" width="9" style="31" customWidth="1"/>
    <col min="51" max="51" width="25.88671875" style="31" customWidth="1"/>
    <col min="52" max="53" width="11" style="31" customWidth="1"/>
    <col min="54" max="54" width="19.88671875" style="31" customWidth="1"/>
    <col min="55" max="55" width="26.21875" style="31" customWidth="1"/>
    <col min="56" max="56" width="8.88671875" style="31" customWidth="1"/>
    <col min="57" max="57" width="8.5546875" style="31" customWidth="1"/>
    <col min="58" max="58" width="9" style="31" customWidth="1"/>
    <col min="59" max="59" width="9.109375" style="31"/>
    <col min="60" max="60" width="15.6640625" style="31" bestFit="1" customWidth="1"/>
    <col min="61" max="61" width="8.6640625" style="31" customWidth="1"/>
    <col min="62" max="62" width="8.33203125" style="31" customWidth="1"/>
    <col min="63" max="63" width="22" style="31" customWidth="1"/>
    <col min="64" max="64" width="9.5546875" style="31" bestFit="1" customWidth="1"/>
    <col min="65" max="65" width="8.5546875" style="31" customWidth="1"/>
    <col min="66" max="66" width="12.6640625" style="31" bestFit="1" customWidth="1"/>
    <col min="67" max="67" width="9" style="31" customWidth="1"/>
    <col min="68" max="68" width="20.88671875" style="31" customWidth="1"/>
    <col min="69" max="70" width="8.5546875" style="31" customWidth="1"/>
    <col min="71" max="71" width="24" style="31" bestFit="1" customWidth="1"/>
    <col min="72" max="72" width="14.88671875" style="31" bestFit="1" customWidth="1"/>
    <col min="73" max="16384" width="9.109375" style="31"/>
  </cols>
  <sheetData>
    <row r="1" spans="1:91" s="20" customFormat="1" ht="94.5" customHeight="1" x14ac:dyDescent="0.3">
      <c r="A1" s="3" t="s">
        <v>2180</v>
      </c>
      <c r="B1" s="4" t="s">
        <v>2181</v>
      </c>
      <c r="C1" s="4" t="s">
        <v>2182</v>
      </c>
      <c r="D1" s="5" t="s">
        <v>2183</v>
      </c>
      <c r="E1" s="6" t="s">
        <v>2184</v>
      </c>
      <c r="F1" s="7" t="s">
        <v>2185</v>
      </c>
      <c r="G1" s="6" t="s">
        <v>2186</v>
      </c>
      <c r="H1" s="6" t="s">
        <v>2187</v>
      </c>
      <c r="I1" s="6" t="s">
        <v>2188</v>
      </c>
      <c r="J1" s="7" t="s">
        <v>2189</v>
      </c>
      <c r="K1" s="6" t="s">
        <v>2190</v>
      </c>
      <c r="L1" s="6" t="s">
        <v>2191</v>
      </c>
      <c r="M1" s="6" t="s">
        <v>3110</v>
      </c>
      <c r="N1" s="6" t="s">
        <v>2986</v>
      </c>
      <c r="O1" s="6" t="s">
        <v>2192</v>
      </c>
      <c r="P1" s="6" t="s">
        <v>2193</v>
      </c>
      <c r="Q1" s="6" t="s">
        <v>2194</v>
      </c>
      <c r="R1" s="6" t="s">
        <v>2195</v>
      </c>
      <c r="S1" s="6" t="s">
        <v>2196</v>
      </c>
      <c r="T1" s="6" t="s">
        <v>3098</v>
      </c>
      <c r="U1" s="8" t="s">
        <v>2197</v>
      </c>
      <c r="V1" s="6" t="s">
        <v>2198</v>
      </c>
      <c r="W1" s="6" t="s">
        <v>2199</v>
      </c>
      <c r="X1" s="6" t="s">
        <v>2200</v>
      </c>
      <c r="Y1" s="6" t="s">
        <v>2201</v>
      </c>
      <c r="Z1" s="6" t="s">
        <v>2202</v>
      </c>
      <c r="AA1" s="6" t="s">
        <v>2203</v>
      </c>
      <c r="AB1" s="6" t="s">
        <v>2204</v>
      </c>
      <c r="AC1" s="7" t="s">
        <v>2205</v>
      </c>
      <c r="AD1" s="7" t="s">
        <v>2206</v>
      </c>
      <c r="AE1" s="6" t="s">
        <v>2207</v>
      </c>
      <c r="AF1" s="7" t="s">
        <v>2208</v>
      </c>
      <c r="AG1" s="6" t="s">
        <v>2209</v>
      </c>
      <c r="AH1" s="7" t="s">
        <v>2210</v>
      </c>
      <c r="AI1" s="6" t="s">
        <v>2211</v>
      </c>
      <c r="AJ1" s="7" t="s">
        <v>2212</v>
      </c>
      <c r="AK1" s="7" t="s">
        <v>2213</v>
      </c>
      <c r="AL1" s="6" t="s">
        <v>2214</v>
      </c>
      <c r="AM1" s="7" t="s">
        <v>2215</v>
      </c>
      <c r="AN1" s="7" t="s">
        <v>2216</v>
      </c>
      <c r="AO1" s="6" t="s">
        <v>2217</v>
      </c>
      <c r="AP1" s="6" t="s">
        <v>2218</v>
      </c>
      <c r="AQ1" s="6" t="s">
        <v>2219</v>
      </c>
      <c r="AR1" s="6" t="s">
        <v>2220</v>
      </c>
      <c r="AS1" s="9" t="s">
        <v>2221</v>
      </c>
      <c r="AT1" s="6" t="s">
        <v>2222</v>
      </c>
      <c r="AU1" s="10" t="s">
        <v>2223</v>
      </c>
      <c r="AV1" s="11" t="s">
        <v>2224</v>
      </c>
      <c r="AW1" s="11" t="s">
        <v>2225</v>
      </c>
      <c r="AX1" s="7" t="s">
        <v>2226</v>
      </c>
      <c r="AY1" s="7" t="s">
        <v>3100</v>
      </c>
      <c r="AZ1" s="7"/>
      <c r="BA1" s="7"/>
      <c r="BB1" s="12" t="s">
        <v>2227</v>
      </c>
      <c r="BC1" s="7" t="s">
        <v>2228</v>
      </c>
      <c r="BD1" s="13" t="s">
        <v>2229</v>
      </c>
      <c r="BE1" s="13" t="s">
        <v>2230</v>
      </c>
      <c r="BF1" s="7" t="s">
        <v>2231</v>
      </c>
      <c r="BG1" s="6" t="s">
        <v>2232</v>
      </c>
      <c r="BH1" s="6" t="s">
        <v>2233</v>
      </c>
      <c r="BI1" s="6" t="s">
        <v>2234</v>
      </c>
      <c r="BJ1" s="6" t="s">
        <v>2235</v>
      </c>
      <c r="BK1" s="6" t="s">
        <v>2236</v>
      </c>
      <c r="BL1" s="6" t="s">
        <v>2237</v>
      </c>
      <c r="BM1" s="6" t="s">
        <v>2238</v>
      </c>
      <c r="BN1" s="6" t="s">
        <v>2239</v>
      </c>
      <c r="BO1" s="7" t="s">
        <v>2240</v>
      </c>
      <c r="BP1" s="6" t="s">
        <v>2241</v>
      </c>
      <c r="BQ1" s="6" t="s">
        <v>2242</v>
      </c>
      <c r="BR1" s="6" t="s">
        <v>2243</v>
      </c>
      <c r="BS1" s="6" t="s">
        <v>2244</v>
      </c>
      <c r="BT1" s="14" t="s">
        <v>2245</v>
      </c>
      <c r="BU1" s="15"/>
      <c r="BV1" s="15"/>
      <c r="BW1" s="15"/>
      <c r="BX1" s="15"/>
      <c r="BY1" s="16"/>
      <c r="BZ1" s="17" t="s">
        <v>2246</v>
      </c>
      <c r="CA1" s="15" t="s">
        <v>3014</v>
      </c>
      <c r="CB1" s="15"/>
      <c r="CC1" s="15"/>
      <c r="CD1" s="15"/>
      <c r="CE1" s="16"/>
      <c r="CF1" s="18"/>
      <c r="CG1" s="19"/>
      <c r="CH1" s="19"/>
      <c r="CI1" s="19"/>
      <c r="CJ1" s="19"/>
      <c r="CK1" s="19"/>
      <c r="CL1" s="19"/>
      <c r="CM1" s="19"/>
    </row>
    <row r="2" spans="1:91" s="167" customFormat="1" ht="15.75" hidden="1" customHeight="1" x14ac:dyDescent="0.3">
      <c r="A2" s="29">
        <v>84</v>
      </c>
      <c r="B2" s="29" t="s">
        <v>2578</v>
      </c>
      <c r="C2" s="29">
        <v>435952</v>
      </c>
      <c r="D2" s="161" t="s">
        <v>2579</v>
      </c>
      <c r="E2" s="162">
        <v>45462</v>
      </c>
      <c r="F2" s="162">
        <v>45463</v>
      </c>
      <c r="G2" s="29" t="s">
        <v>260</v>
      </c>
      <c r="H2" s="29" t="s">
        <v>260</v>
      </c>
      <c r="I2" s="29" t="s">
        <v>2249</v>
      </c>
      <c r="J2" s="29" t="s">
        <v>2580</v>
      </c>
      <c r="K2" s="29"/>
      <c r="L2" s="29"/>
      <c r="M2" s="162" t="s">
        <v>2275</v>
      </c>
      <c r="N2" s="162" t="s">
        <v>2991</v>
      </c>
      <c r="O2" s="29" t="s">
        <v>2341</v>
      </c>
      <c r="P2" s="29">
        <v>900000</v>
      </c>
      <c r="Q2" s="29" t="s">
        <v>406</v>
      </c>
      <c r="R2" s="29" t="s">
        <v>2581</v>
      </c>
      <c r="S2" s="29" t="s">
        <v>2582</v>
      </c>
      <c r="T2" s="163">
        <v>2231</v>
      </c>
      <c r="U2" s="164" t="s">
        <v>2582</v>
      </c>
      <c r="V2" s="29">
        <v>929885</v>
      </c>
      <c r="W2" s="29">
        <v>82091</v>
      </c>
      <c r="X2" s="29">
        <v>32426</v>
      </c>
      <c r="Y2" s="29">
        <v>15788</v>
      </c>
      <c r="Z2" s="29">
        <v>500</v>
      </c>
      <c r="AA2" s="29" t="s">
        <v>2253</v>
      </c>
      <c r="AB2" s="29">
        <v>0</v>
      </c>
      <c r="AC2" s="29">
        <v>4809</v>
      </c>
      <c r="AD2" s="29">
        <v>0</v>
      </c>
      <c r="AE2" s="29">
        <v>0</v>
      </c>
      <c r="AF2" s="29">
        <v>0</v>
      </c>
      <c r="AG2" s="29">
        <v>0</v>
      </c>
      <c r="AH2" s="29">
        <v>0</v>
      </c>
      <c r="AI2" s="29">
        <v>0</v>
      </c>
      <c r="AJ2" s="29">
        <v>0</v>
      </c>
      <c r="AK2" s="29">
        <v>0</v>
      </c>
      <c r="AL2" s="29">
        <v>0</v>
      </c>
      <c r="AM2" s="29">
        <v>0</v>
      </c>
      <c r="AN2" s="29">
        <v>0</v>
      </c>
      <c r="AO2" s="29">
        <v>0</v>
      </c>
      <c r="AP2" s="29">
        <v>0</v>
      </c>
      <c r="AQ2" s="29">
        <v>0</v>
      </c>
      <c r="AR2" s="29">
        <v>0</v>
      </c>
      <c r="AS2" s="29">
        <v>0</v>
      </c>
      <c r="AT2" s="29">
        <v>0</v>
      </c>
      <c r="AU2" s="29">
        <v>0</v>
      </c>
      <c r="AV2" s="29">
        <v>0</v>
      </c>
      <c r="AW2" s="29"/>
      <c r="AX2" s="29">
        <v>5499</v>
      </c>
      <c r="AY2" s="29">
        <f t="shared" ref="AY2:AY33" si="0">+AU2+AV2+AW2+AX2-BC2</f>
        <v>3499</v>
      </c>
      <c r="AZ2" s="29">
        <f t="shared" ref="AZ2:AZ33" si="1">+SUM(AU2:AX2)</f>
        <v>5499</v>
      </c>
      <c r="BA2" s="29">
        <f t="shared" ref="BA2:BA33" si="2">+IF(AZ2&gt;=BC2,AZ2-BC2,0)</f>
        <v>3499</v>
      </c>
      <c r="BB2" s="29">
        <v>0</v>
      </c>
      <c r="BC2" s="29">
        <v>2000</v>
      </c>
      <c r="BD2" s="29">
        <v>0</v>
      </c>
      <c r="BE2" s="29">
        <v>0</v>
      </c>
      <c r="BF2" s="29">
        <f t="shared" ref="BF2:BF33" si="3">V2+W2+X2+Y2+Z2+AB2+AE2+AF2+AG2+AI2-AJ2-AO2-AP2-AQ2-AR2-AS2-AT2-AX2-BB2-BD2-BE2-AW2-AU2+AD2-AV2-AN2+AC2</f>
        <v>1060000</v>
      </c>
      <c r="BG2" s="29">
        <v>900000</v>
      </c>
      <c r="BH2" s="29" t="s">
        <v>2583</v>
      </c>
      <c r="BI2" s="29" t="s">
        <v>2260</v>
      </c>
      <c r="BJ2" s="29" t="s">
        <v>2260</v>
      </c>
      <c r="BK2" s="29">
        <v>0</v>
      </c>
      <c r="BL2" s="29">
        <f>5100+50000+104900</f>
        <v>160000</v>
      </c>
      <c r="BM2" s="29">
        <f t="shared" ref="BM2:BM33" si="4">BF2-BG2-BL2-AH2</f>
        <v>0</v>
      </c>
      <c r="BN2" s="162"/>
      <c r="BO2" s="29"/>
      <c r="BP2" s="29"/>
      <c r="BQ2" s="29"/>
      <c r="BR2" s="29"/>
      <c r="BS2" s="29"/>
      <c r="BT2" s="29"/>
      <c r="BU2" s="165"/>
      <c r="BV2" s="165"/>
      <c r="BW2" s="165"/>
      <c r="BX2" s="165">
        <v>0</v>
      </c>
      <c r="BY2" s="165">
        <v>0</v>
      </c>
      <c r="BZ2" s="165">
        <v>0</v>
      </c>
      <c r="CA2" s="165" t="str">
        <f>+IF(M2="Ertiga CNG","NO",IF(AND(AY2&lt;=0,AF2&gt;=30000,Y2&gt;0,X2&gt;0,AC2&gt;0),"YES","NO"))</f>
        <v>NO</v>
      </c>
      <c r="CB2" s="165"/>
      <c r="CC2" s="165"/>
      <c r="CD2" s="165"/>
      <c r="CE2" s="165"/>
      <c r="CF2" s="165"/>
      <c r="CG2" s="166"/>
    </row>
    <row r="3" spans="1:91" s="167" customFormat="1" ht="15.75" hidden="1" customHeight="1" x14ac:dyDescent="0.3">
      <c r="A3" s="29">
        <v>81</v>
      </c>
      <c r="B3" s="29" t="s">
        <v>2567</v>
      </c>
      <c r="C3" s="29" t="s">
        <v>910</v>
      </c>
      <c r="D3" s="161" t="s">
        <v>2568</v>
      </c>
      <c r="E3" s="162">
        <v>45461</v>
      </c>
      <c r="F3" s="162">
        <v>45462</v>
      </c>
      <c r="G3" s="29" t="s">
        <v>871</v>
      </c>
      <c r="H3" s="29" t="s">
        <v>646</v>
      </c>
      <c r="I3" s="29" t="s">
        <v>2249</v>
      </c>
      <c r="J3" s="29" t="s">
        <v>908</v>
      </c>
      <c r="K3" s="29"/>
      <c r="L3" s="29"/>
      <c r="M3" s="162" t="s">
        <v>310</v>
      </c>
      <c r="N3" s="162" t="s">
        <v>310</v>
      </c>
      <c r="O3" s="29" t="s">
        <v>2250</v>
      </c>
      <c r="P3" s="29">
        <v>480000</v>
      </c>
      <c r="Q3" s="29" t="s">
        <v>2265</v>
      </c>
      <c r="R3" s="29" t="s">
        <v>2569</v>
      </c>
      <c r="S3" s="29" t="s">
        <v>2570</v>
      </c>
      <c r="T3" s="163">
        <v>2298</v>
      </c>
      <c r="U3" s="163" t="s">
        <v>2259</v>
      </c>
      <c r="V3" s="29">
        <v>568885</v>
      </c>
      <c r="W3" s="29">
        <v>0</v>
      </c>
      <c r="X3" s="29">
        <v>26500</v>
      </c>
      <c r="Y3" s="29">
        <v>0</v>
      </c>
      <c r="Z3" s="29">
        <v>500</v>
      </c>
      <c r="AA3" s="29" t="s">
        <v>2253</v>
      </c>
      <c r="AB3" s="29">
        <v>4500</v>
      </c>
      <c r="AC3" s="29">
        <v>0</v>
      </c>
      <c r="AD3" s="29">
        <v>0</v>
      </c>
      <c r="AE3" s="29">
        <v>0</v>
      </c>
      <c r="AF3" s="29">
        <v>1200</v>
      </c>
      <c r="AG3" s="29">
        <v>0</v>
      </c>
      <c r="AH3" s="29">
        <v>0</v>
      </c>
      <c r="AI3" s="29">
        <v>0</v>
      </c>
      <c r="AJ3" s="29">
        <v>10000</v>
      </c>
      <c r="AK3" s="29">
        <v>0</v>
      </c>
      <c r="AL3" s="29">
        <v>0</v>
      </c>
      <c r="AM3" s="29">
        <v>0</v>
      </c>
      <c r="AN3" s="29">
        <v>0</v>
      </c>
      <c r="AO3" s="29">
        <v>0</v>
      </c>
      <c r="AP3" s="29">
        <v>0</v>
      </c>
      <c r="AQ3" s="29">
        <v>3100</v>
      </c>
      <c r="AR3" s="29">
        <v>15000</v>
      </c>
      <c r="AS3" s="29">
        <v>0</v>
      </c>
      <c r="AT3" s="29">
        <v>0</v>
      </c>
      <c r="AU3" s="29">
        <v>0</v>
      </c>
      <c r="AV3" s="29">
        <v>4500</v>
      </c>
      <c r="AW3" s="29"/>
      <c r="AX3" s="29">
        <v>1000</v>
      </c>
      <c r="AY3" s="29">
        <f t="shared" si="0"/>
        <v>5500</v>
      </c>
      <c r="AZ3" s="29">
        <f t="shared" si="1"/>
        <v>5500</v>
      </c>
      <c r="BA3" s="29">
        <f t="shared" si="2"/>
        <v>5500</v>
      </c>
      <c r="BB3" s="29">
        <v>0</v>
      </c>
      <c r="BC3" s="29">
        <v>0</v>
      </c>
      <c r="BD3" s="29">
        <v>0</v>
      </c>
      <c r="BE3" s="29">
        <v>0</v>
      </c>
      <c r="BF3" s="29">
        <f t="shared" si="3"/>
        <v>567985</v>
      </c>
      <c r="BG3" s="29">
        <v>464768</v>
      </c>
      <c r="BH3" s="29" t="s">
        <v>39</v>
      </c>
      <c r="BI3" s="29" t="s">
        <v>2253</v>
      </c>
      <c r="BJ3" s="29" t="s">
        <v>2253</v>
      </c>
      <c r="BK3" s="29">
        <v>146131493</v>
      </c>
      <c r="BL3" s="29">
        <f>102000+1200</f>
        <v>103200</v>
      </c>
      <c r="BM3" s="29">
        <f t="shared" si="4"/>
        <v>17</v>
      </c>
      <c r="BN3" s="162"/>
      <c r="BO3" s="29"/>
      <c r="BP3" s="29"/>
      <c r="BQ3" s="29"/>
      <c r="BR3" s="29"/>
      <c r="BS3" s="29"/>
      <c r="BT3" s="29"/>
      <c r="BU3" s="165"/>
      <c r="BV3" s="165"/>
      <c r="BW3" s="165"/>
      <c r="BX3" s="165">
        <v>0</v>
      </c>
      <c r="BY3" s="165">
        <v>0</v>
      </c>
      <c r="BZ3" s="165">
        <v>0</v>
      </c>
      <c r="CA3" s="165" t="str">
        <f t="shared" ref="CA3:CA66" si="5">+IF(M3="Ertiga CNG","NO",IF(AND(AY3&lt;=0,AF3&gt;=30000,Y3&gt;0,X3&gt;0,AC3&gt;0),"YES","NO"))</f>
        <v>NO</v>
      </c>
      <c r="CB3" s="165"/>
      <c r="CC3" s="165"/>
      <c r="CD3" s="165"/>
      <c r="CE3" s="165"/>
      <c r="CF3" s="165"/>
      <c r="CG3" s="166"/>
    </row>
    <row r="4" spans="1:91" s="167" customFormat="1" ht="15.75" hidden="1" customHeight="1" x14ac:dyDescent="0.3">
      <c r="A4" s="29">
        <v>166</v>
      </c>
      <c r="B4" s="29" t="s">
        <v>2840</v>
      </c>
      <c r="C4" s="29" t="s">
        <v>930</v>
      </c>
      <c r="D4" s="161" t="s">
        <v>2841</v>
      </c>
      <c r="E4" s="162">
        <v>45473</v>
      </c>
      <c r="F4" s="162">
        <v>45444</v>
      </c>
      <c r="G4" s="29" t="s">
        <v>871</v>
      </c>
      <c r="H4" s="29" t="s">
        <v>871</v>
      </c>
      <c r="I4" s="29" t="s">
        <v>2249</v>
      </c>
      <c r="J4" s="29" t="s">
        <v>928</v>
      </c>
      <c r="K4" s="29"/>
      <c r="L4" s="29"/>
      <c r="M4" s="162" t="s">
        <v>2362</v>
      </c>
      <c r="N4" s="162" t="s">
        <v>2362</v>
      </c>
      <c r="O4" s="29" t="s">
        <v>2842</v>
      </c>
      <c r="P4" s="29">
        <v>620000</v>
      </c>
      <c r="Q4" s="29" t="s">
        <v>2277</v>
      </c>
      <c r="R4" s="29" t="s">
        <v>2791</v>
      </c>
      <c r="S4" s="168" t="s">
        <v>2570</v>
      </c>
      <c r="T4" s="163">
        <v>2298</v>
      </c>
      <c r="U4" s="163" t="s">
        <v>2316</v>
      </c>
      <c r="V4" s="29">
        <v>690385</v>
      </c>
      <c r="W4" s="29">
        <v>63731</v>
      </c>
      <c r="X4" s="29">
        <v>22900</v>
      </c>
      <c r="Y4" s="29">
        <v>10750</v>
      </c>
      <c r="Z4" s="29">
        <v>500</v>
      </c>
      <c r="AA4" s="29" t="s">
        <v>2253</v>
      </c>
      <c r="AB4" s="29">
        <v>0</v>
      </c>
      <c r="AC4" s="29">
        <v>0</v>
      </c>
      <c r="AD4" s="29">
        <v>0</v>
      </c>
      <c r="AE4" s="29">
        <v>0</v>
      </c>
      <c r="AF4" s="29">
        <v>4870</v>
      </c>
      <c r="AG4" s="29">
        <v>0</v>
      </c>
      <c r="AH4" s="29">
        <v>0</v>
      </c>
      <c r="AI4" s="29">
        <v>0</v>
      </c>
      <c r="AJ4" s="29">
        <v>15000</v>
      </c>
      <c r="AK4" s="29">
        <v>0</v>
      </c>
      <c r="AL4" s="29">
        <v>0</v>
      </c>
      <c r="AM4" s="29">
        <v>0</v>
      </c>
      <c r="AN4" s="29">
        <v>0</v>
      </c>
      <c r="AO4" s="29">
        <v>0</v>
      </c>
      <c r="AP4" s="29">
        <v>0</v>
      </c>
      <c r="AQ4" s="29">
        <v>3100</v>
      </c>
      <c r="AR4" s="29">
        <v>5000</v>
      </c>
      <c r="AS4" s="29">
        <v>0</v>
      </c>
      <c r="AT4" s="29">
        <v>0</v>
      </c>
      <c r="AU4" s="29">
        <v>0</v>
      </c>
      <c r="AV4" s="29">
        <v>0</v>
      </c>
      <c r="AW4" s="29"/>
      <c r="AX4" s="29">
        <v>0</v>
      </c>
      <c r="AY4" s="29">
        <f t="shared" si="0"/>
        <v>-2000</v>
      </c>
      <c r="AZ4" s="29">
        <f t="shared" si="1"/>
        <v>0</v>
      </c>
      <c r="BA4" s="29">
        <f t="shared" si="2"/>
        <v>0</v>
      </c>
      <c r="BB4" s="29">
        <v>0</v>
      </c>
      <c r="BC4" s="29">
        <v>2000</v>
      </c>
      <c r="BD4" s="29">
        <v>0</v>
      </c>
      <c r="BE4" s="29">
        <v>0</v>
      </c>
      <c r="BF4" s="29">
        <f t="shared" si="3"/>
        <v>770036</v>
      </c>
      <c r="BG4" s="29">
        <v>620000</v>
      </c>
      <c r="BH4" s="29" t="s">
        <v>39</v>
      </c>
      <c r="BI4" s="29" t="s">
        <v>2253</v>
      </c>
      <c r="BJ4" s="29" t="s">
        <v>2253</v>
      </c>
      <c r="BK4" s="29">
        <v>29277398</v>
      </c>
      <c r="BL4" s="29">
        <f>25000+25000+25000+20000+5000</f>
        <v>100000</v>
      </c>
      <c r="BM4" s="29">
        <f t="shared" si="4"/>
        <v>50036</v>
      </c>
      <c r="BN4" s="162">
        <v>45474</v>
      </c>
      <c r="BO4" s="29"/>
      <c r="BP4" s="29"/>
      <c r="BQ4" s="29"/>
      <c r="BR4" s="29"/>
      <c r="BS4" s="29"/>
      <c r="BT4" s="29"/>
      <c r="BU4" s="165"/>
      <c r="BV4" s="165"/>
      <c r="BW4" s="165"/>
      <c r="BX4" s="165">
        <v>0</v>
      </c>
      <c r="BY4" s="165">
        <v>0</v>
      </c>
      <c r="BZ4" s="165">
        <v>0</v>
      </c>
      <c r="CA4" s="165" t="str">
        <f t="shared" si="5"/>
        <v>NO</v>
      </c>
      <c r="CB4" s="165"/>
      <c r="CC4" s="165"/>
      <c r="CD4" s="165"/>
      <c r="CE4" s="165"/>
      <c r="CF4" s="165"/>
      <c r="CG4" s="166"/>
    </row>
    <row r="5" spans="1:91" s="175" customFormat="1" ht="15.75" hidden="1" customHeight="1" x14ac:dyDescent="0.3">
      <c r="A5" s="169">
        <v>24</v>
      </c>
      <c r="B5" s="169" t="s">
        <v>2370</v>
      </c>
      <c r="C5" s="169">
        <v>812465</v>
      </c>
      <c r="D5" s="170" t="s">
        <v>2371</v>
      </c>
      <c r="E5" s="171">
        <v>45450</v>
      </c>
      <c r="F5" s="171">
        <v>45450</v>
      </c>
      <c r="G5" s="169" t="s">
        <v>260</v>
      </c>
      <c r="H5" s="169" t="s">
        <v>260</v>
      </c>
      <c r="I5" s="169" t="s">
        <v>2249</v>
      </c>
      <c r="J5" s="169" t="s">
        <v>2372</v>
      </c>
      <c r="K5" s="169"/>
      <c r="L5" s="169"/>
      <c r="M5" s="171" t="s">
        <v>2263</v>
      </c>
      <c r="N5" s="171" t="s">
        <v>2263</v>
      </c>
      <c r="O5" s="169" t="s">
        <v>2264</v>
      </c>
      <c r="P5" s="169">
        <v>10788885</v>
      </c>
      <c r="Q5" s="169" t="s">
        <v>2373</v>
      </c>
      <c r="R5" s="169" t="s">
        <v>2266</v>
      </c>
      <c r="S5" s="169" t="s">
        <v>2252</v>
      </c>
      <c r="T5" s="172" t="s">
        <v>3074</v>
      </c>
      <c r="U5" s="172" t="s">
        <v>2252</v>
      </c>
      <c r="V5" s="169">
        <v>1078885</v>
      </c>
      <c r="W5" s="169">
        <v>0</v>
      </c>
      <c r="X5" s="169">
        <v>28000</v>
      </c>
      <c r="Y5" s="169">
        <v>0</v>
      </c>
      <c r="Z5" s="169">
        <v>0</v>
      </c>
      <c r="AA5" s="169" t="s">
        <v>2253</v>
      </c>
      <c r="AB5" s="169">
        <v>5000</v>
      </c>
      <c r="AC5" s="169">
        <v>0</v>
      </c>
      <c r="AD5" s="169">
        <v>10789</v>
      </c>
      <c r="AE5" s="169">
        <v>0</v>
      </c>
      <c r="AF5" s="169">
        <v>25323</v>
      </c>
      <c r="AG5" s="169">
        <v>0</v>
      </c>
      <c r="AH5" s="169">
        <v>0</v>
      </c>
      <c r="AI5" s="169">
        <v>0</v>
      </c>
      <c r="AJ5" s="169">
        <v>0</v>
      </c>
      <c r="AK5" s="169">
        <v>0</v>
      </c>
      <c r="AL5" s="169">
        <v>0</v>
      </c>
      <c r="AM5" s="169">
        <v>0</v>
      </c>
      <c r="AN5" s="169">
        <v>0</v>
      </c>
      <c r="AO5" s="169">
        <v>0</v>
      </c>
      <c r="AP5" s="169">
        <v>0</v>
      </c>
      <c r="AQ5" s="169">
        <v>0</v>
      </c>
      <c r="AR5" s="169">
        <v>0</v>
      </c>
      <c r="AS5" s="169">
        <v>0</v>
      </c>
      <c r="AT5" s="169">
        <v>0</v>
      </c>
      <c r="AU5" s="169">
        <v>0</v>
      </c>
      <c r="AV5" s="169">
        <v>0</v>
      </c>
      <c r="AW5" s="169"/>
      <c r="AX5" s="169">
        <v>0</v>
      </c>
      <c r="AY5" s="169">
        <f t="shared" si="0"/>
        <v>0</v>
      </c>
      <c r="AZ5" s="169">
        <f t="shared" si="1"/>
        <v>0</v>
      </c>
      <c r="BA5" s="169">
        <f t="shared" si="2"/>
        <v>0</v>
      </c>
      <c r="BB5" s="169">
        <v>0</v>
      </c>
      <c r="BC5" s="169">
        <v>0</v>
      </c>
      <c r="BD5" s="169">
        <v>0</v>
      </c>
      <c r="BE5" s="169">
        <v>0</v>
      </c>
      <c r="BF5" s="169">
        <f t="shared" si="3"/>
        <v>1147997</v>
      </c>
      <c r="BG5" s="169">
        <v>1078885</v>
      </c>
      <c r="BH5" s="169" t="s">
        <v>2287</v>
      </c>
      <c r="BI5" s="169" t="s">
        <v>2260</v>
      </c>
      <c r="BJ5" s="169" t="s">
        <v>2260</v>
      </c>
      <c r="BK5" s="169">
        <v>0</v>
      </c>
      <c r="BL5" s="169">
        <f>11000+58112</f>
        <v>69112</v>
      </c>
      <c r="BM5" s="169">
        <f t="shared" si="4"/>
        <v>0</v>
      </c>
      <c r="BN5" s="171"/>
      <c r="BO5" s="169"/>
      <c r="BP5" s="169"/>
      <c r="BQ5" s="169"/>
      <c r="BR5" s="169"/>
      <c r="BS5" s="169"/>
      <c r="BT5" s="169"/>
      <c r="BU5" s="173"/>
      <c r="BV5" s="173"/>
      <c r="BW5" s="173"/>
      <c r="BX5" s="173">
        <v>0</v>
      </c>
      <c r="BY5" s="173">
        <v>0</v>
      </c>
      <c r="BZ5" s="173">
        <v>0</v>
      </c>
      <c r="CA5" s="173" t="str">
        <f t="shared" si="5"/>
        <v>NO</v>
      </c>
      <c r="CB5" s="173"/>
      <c r="CC5" s="173"/>
      <c r="CD5" s="173"/>
      <c r="CE5" s="173"/>
      <c r="CF5" s="173"/>
      <c r="CG5" s="174"/>
    </row>
    <row r="6" spans="1:91" s="175" customFormat="1" ht="15.75" hidden="1" customHeight="1" x14ac:dyDescent="0.3">
      <c r="A6" s="169">
        <v>155</v>
      </c>
      <c r="B6" s="169" t="s">
        <v>2807</v>
      </c>
      <c r="C6" s="169">
        <v>820126</v>
      </c>
      <c r="D6" s="170" t="s">
        <v>2808</v>
      </c>
      <c r="E6" s="171">
        <v>45471</v>
      </c>
      <c r="F6" s="171">
        <v>45472</v>
      </c>
      <c r="G6" s="169" t="s">
        <v>260</v>
      </c>
      <c r="H6" s="169" t="s">
        <v>260</v>
      </c>
      <c r="I6" s="169" t="s">
        <v>2249</v>
      </c>
      <c r="J6" s="169" t="s">
        <v>1694</v>
      </c>
      <c r="K6" s="169"/>
      <c r="L6" s="169"/>
      <c r="M6" s="171" t="s">
        <v>2263</v>
      </c>
      <c r="N6" s="171" t="s">
        <v>2263</v>
      </c>
      <c r="O6" s="169" t="s">
        <v>2809</v>
      </c>
      <c r="P6" s="169">
        <v>1078000</v>
      </c>
      <c r="Q6" s="169" t="s">
        <v>2373</v>
      </c>
      <c r="R6" s="169" t="s">
        <v>726</v>
      </c>
      <c r="S6" s="169" t="s">
        <v>2252</v>
      </c>
      <c r="T6" s="172" t="s">
        <v>3074</v>
      </c>
      <c r="U6" s="172" t="s">
        <v>2252</v>
      </c>
      <c r="V6" s="169">
        <v>1078885</v>
      </c>
      <c r="W6" s="169">
        <v>0</v>
      </c>
      <c r="X6" s="169">
        <v>27761</v>
      </c>
      <c r="Y6" s="169">
        <v>18325</v>
      </c>
      <c r="Z6" s="169">
        <v>0</v>
      </c>
      <c r="AA6" s="169" t="s">
        <v>2253</v>
      </c>
      <c r="AB6" s="169">
        <v>5000</v>
      </c>
      <c r="AC6" s="169">
        <v>0</v>
      </c>
      <c r="AD6" s="169">
        <v>10789</v>
      </c>
      <c r="AE6" s="169">
        <v>0</v>
      </c>
      <c r="AF6" s="169">
        <v>30550</v>
      </c>
      <c r="AG6" s="169">
        <v>0</v>
      </c>
      <c r="AH6" s="169">
        <v>0</v>
      </c>
      <c r="AI6" s="169">
        <v>0</v>
      </c>
      <c r="AJ6" s="169">
        <v>0</v>
      </c>
      <c r="AK6" s="169">
        <v>0</v>
      </c>
      <c r="AL6" s="169">
        <v>0</v>
      </c>
      <c r="AM6" s="169">
        <v>0</v>
      </c>
      <c r="AN6" s="169">
        <v>0</v>
      </c>
      <c r="AO6" s="169">
        <v>0</v>
      </c>
      <c r="AP6" s="169">
        <v>0</v>
      </c>
      <c r="AQ6" s="169">
        <v>0</v>
      </c>
      <c r="AR6" s="169">
        <v>0</v>
      </c>
      <c r="AS6" s="169">
        <v>0</v>
      </c>
      <c r="AT6" s="169">
        <v>0</v>
      </c>
      <c r="AU6" s="169">
        <v>0</v>
      </c>
      <c r="AV6" s="169">
        <v>0</v>
      </c>
      <c r="AW6" s="169"/>
      <c r="AX6" s="169">
        <v>0</v>
      </c>
      <c r="AY6" s="169">
        <f t="shared" si="0"/>
        <v>0</v>
      </c>
      <c r="AZ6" s="169">
        <f t="shared" si="1"/>
        <v>0</v>
      </c>
      <c r="BA6" s="169">
        <f t="shared" si="2"/>
        <v>0</v>
      </c>
      <c r="BB6" s="169">
        <v>0</v>
      </c>
      <c r="BC6" s="169">
        <v>0</v>
      </c>
      <c r="BD6" s="169">
        <v>0</v>
      </c>
      <c r="BE6" s="169">
        <v>0</v>
      </c>
      <c r="BF6" s="169">
        <f t="shared" si="3"/>
        <v>1171310</v>
      </c>
      <c r="BG6" s="169">
        <v>1078000</v>
      </c>
      <c r="BH6" s="169" t="s">
        <v>2287</v>
      </c>
      <c r="BI6" s="169" t="s">
        <v>2260</v>
      </c>
      <c r="BJ6" s="169" t="s">
        <v>2260</v>
      </c>
      <c r="BK6" s="169">
        <v>0</v>
      </c>
      <c r="BL6" s="169">
        <f>2000+48000+19000+20000+4310</f>
        <v>93310</v>
      </c>
      <c r="BM6" s="169">
        <f t="shared" si="4"/>
        <v>0</v>
      </c>
      <c r="BN6" s="171"/>
      <c r="BO6" s="169"/>
      <c r="BP6" s="169"/>
      <c r="BQ6" s="169"/>
      <c r="BR6" s="169"/>
      <c r="BS6" s="169"/>
      <c r="BT6" s="169"/>
      <c r="BU6" s="173"/>
      <c r="BV6" s="173"/>
      <c r="BW6" s="173"/>
      <c r="BX6" s="173">
        <v>0</v>
      </c>
      <c r="BY6" s="173">
        <v>0</v>
      </c>
      <c r="BZ6" s="173">
        <v>0</v>
      </c>
      <c r="CA6" s="173" t="str">
        <f t="shared" si="5"/>
        <v>NO</v>
      </c>
      <c r="CB6" s="173"/>
      <c r="CC6" s="173"/>
      <c r="CD6" s="173"/>
      <c r="CE6" s="173"/>
      <c r="CF6" s="173"/>
      <c r="CG6" s="174"/>
    </row>
    <row r="7" spans="1:91" s="182" customFormat="1" ht="15.75" hidden="1" customHeight="1" x14ac:dyDescent="0.3">
      <c r="A7" s="176">
        <v>41</v>
      </c>
      <c r="B7" s="176" t="s">
        <v>2434</v>
      </c>
      <c r="C7" s="176" t="s">
        <v>203</v>
      </c>
      <c r="D7" s="177" t="s">
        <v>2435</v>
      </c>
      <c r="E7" s="178">
        <v>45453</v>
      </c>
      <c r="F7" s="178">
        <v>45454</v>
      </c>
      <c r="G7" s="176" t="s">
        <v>2320</v>
      </c>
      <c r="H7" s="176" t="s">
        <v>1744</v>
      </c>
      <c r="I7" s="176" t="s">
        <v>2249</v>
      </c>
      <c r="J7" s="176" t="s">
        <v>197</v>
      </c>
      <c r="K7" s="176"/>
      <c r="L7" s="176"/>
      <c r="M7" s="178" t="s">
        <v>2362</v>
      </c>
      <c r="N7" s="178" t="s">
        <v>2362</v>
      </c>
      <c r="O7" s="176" t="s">
        <v>2264</v>
      </c>
      <c r="P7" s="176">
        <v>400000</v>
      </c>
      <c r="Q7" s="176" t="s">
        <v>2271</v>
      </c>
      <c r="R7" s="176" t="s">
        <v>260</v>
      </c>
      <c r="S7" s="176" t="s">
        <v>2436</v>
      </c>
      <c r="T7" s="179" t="s">
        <v>3066</v>
      </c>
      <c r="U7" s="179" t="s">
        <v>2323</v>
      </c>
      <c r="V7" s="176">
        <v>690385</v>
      </c>
      <c r="W7" s="176">
        <v>63731</v>
      </c>
      <c r="X7" s="176">
        <v>24500</v>
      </c>
      <c r="Y7" s="176">
        <v>0</v>
      </c>
      <c r="Z7" s="176">
        <v>500</v>
      </c>
      <c r="AA7" s="176" t="s">
        <v>2253</v>
      </c>
      <c r="AB7" s="176">
        <v>0</v>
      </c>
      <c r="AC7" s="176">
        <v>0</v>
      </c>
      <c r="AD7" s="176">
        <v>0</v>
      </c>
      <c r="AE7" s="176">
        <v>0</v>
      </c>
      <c r="AF7" s="176">
        <v>43690</v>
      </c>
      <c r="AG7" s="176">
        <v>3000</v>
      </c>
      <c r="AH7" s="176">
        <v>0</v>
      </c>
      <c r="AI7" s="176">
        <v>0</v>
      </c>
      <c r="AJ7" s="176">
        <v>10000</v>
      </c>
      <c r="AK7" s="176">
        <v>0</v>
      </c>
      <c r="AL7" s="176">
        <v>0</v>
      </c>
      <c r="AM7" s="176">
        <v>0</v>
      </c>
      <c r="AN7" s="176">
        <v>0</v>
      </c>
      <c r="AO7" s="176">
        <v>0</v>
      </c>
      <c r="AP7" s="176">
        <v>0</v>
      </c>
      <c r="AQ7" s="176">
        <v>2100</v>
      </c>
      <c r="AR7" s="176">
        <v>5000</v>
      </c>
      <c r="AS7" s="176">
        <v>0</v>
      </c>
      <c r="AT7" s="176">
        <v>0</v>
      </c>
      <c r="AU7" s="176">
        <v>4440</v>
      </c>
      <c r="AV7" s="176">
        <v>0</v>
      </c>
      <c r="AW7" s="176"/>
      <c r="AX7" s="176">
        <v>7016</v>
      </c>
      <c r="AY7" s="176">
        <f t="shared" si="0"/>
        <v>9456</v>
      </c>
      <c r="AZ7" s="176">
        <f t="shared" si="1"/>
        <v>11456</v>
      </c>
      <c r="BA7" s="176">
        <f t="shared" si="2"/>
        <v>9456</v>
      </c>
      <c r="BB7" s="176">
        <v>15000</v>
      </c>
      <c r="BC7" s="176">
        <v>2000</v>
      </c>
      <c r="BD7" s="176">
        <v>0</v>
      </c>
      <c r="BE7" s="176">
        <v>0</v>
      </c>
      <c r="BF7" s="176">
        <f t="shared" si="3"/>
        <v>782250</v>
      </c>
      <c r="BG7" s="176">
        <v>388000</v>
      </c>
      <c r="BH7" s="176" t="s">
        <v>39</v>
      </c>
      <c r="BI7" s="176" t="s">
        <v>2253</v>
      </c>
      <c r="BJ7" s="176" t="s">
        <v>2253</v>
      </c>
      <c r="BK7" s="176">
        <v>13415866</v>
      </c>
      <c r="BL7" s="176">
        <f>10000+180000+204250</f>
        <v>394250</v>
      </c>
      <c r="BM7" s="176">
        <f t="shared" si="4"/>
        <v>0</v>
      </c>
      <c r="BN7" s="178"/>
      <c r="BO7" s="176"/>
      <c r="BP7" s="176"/>
      <c r="BQ7" s="176"/>
      <c r="BR7" s="176"/>
      <c r="BS7" s="176"/>
      <c r="BT7" s="176"/>
      <c r="BU7" s="180"/>
      <c r="BV7" s="180"/>
      <c r="BW7" s="180"/>
      <c r="BX7" s="180">
        <v>0</v>
      </c>
      <c r="BY7" s="180">
        <v>0</v>
      </c>
      <c r="BZ7" s="180">
        <v>0</v>
      </c>
      <c r="CA7" s="180" t="str">
        <f t="shared" si="5"/>
        <v>NO</v>
      </c>
      <c r="CB7" s="180"/>
      <c r="CC7" s="180"/>
      <c r="CD7" s="180"/>
      <c r="CE7" s="180"/>
      <c r="CF7" s="180"/>
      <c r="CG7" s="181"/>
    </row>
    <row r="8" spans="1:91" s="182" customFormat="1" ht="15.75" hidden="1" customHeight="1" x14ac:dyDescent="0.3">
      <c r="A8" s="176">
        <v>115</v>
      </c>
      <c r="B8" s="176" t="s">
        <v>2682</v>
      </c>
      <c r="C8" s="176" t="s">
        <v>309</v>
      </c>
      <c r="D8" s="177" t="s">
        <v>2683</v>
      </c>
      <c r="E8" s="178">
        <v>45467</v>
      </c>
      <c r="F8" s="178">
        <v>45468</v>
      </c>
      <c r="G8" s="176" t="s">
        <v>2320</v>
      </c>
      <c r="H8" s="176" t="s">
        <v>2320</v>
      </c>
      <c r="I8" s="176" t="s">
        <v>2249</v>
      </c>
      <c r="J8" s="176" t="s">
        <v>307</v>
      </c>
      <c r="K8" s="176"/>
      <c r="L8" s="176"/>
      <c r="M8" s="178" t="s">
        <v>310</v>
      </c>
      <c r="N8" s="178" t="s">
        <v>310</v>
      </c>
      <c r="O8" s="176" t="s">
        <v>2684</v>
      </c>
      <c r="P8" s="176">
        <v>640000</v>
      </c>
      <c r="Q8" s="176" t="s">
        <v>2271</v>
      </c>
      <c r="R8" s="176" t="s">
        <v>2320</v>
      </c>
      <c r="S8" s="176" t="s">
        <v>2436</v>
      </c>
      <c r="T8" s="179" t="s">
        <v>3066</v>
      </c>
      <c r="U8" s="179" t="s">
        <v>2323</v>
      </c>
      <c r="V8" s="176">
        <v>658885</v>
      </c>
      <c r="W8" s="176">
        <v>61111</v>
      </c>
      <c r="X8" s="176">
        <v>26641</v>
      </c>
      <c r="Y8" s="176">
        <v>10254</v>
      </c>
      <c r="Z8" s="176">
        <v>500</v>
      </c>
      <c r="AA8" s="176" t="s">
        <v>2253</v>
      </c>
      <c r="AB8" s="176">
        <v>0</v>
      </c>
      <c r="AC8" s="176">
        <v>3186</v>
      </c>
      <c r="AD8" s="176">
        <v>0</v>
      </c>
      <c r="AE8" s="176">
        <v>0</v>
      </c>
      <c r="AF8" s="176">
        <v>7400</v>
      </c>
      <c r="AG8" s="176">
        <v>0</v>
      </c>
      <c r="AH8" s="176">
        <v>160000</v>
      </c>
      <c r="AI8" s="176">
        <v>0</v>
      </c>
      <c r="AJ8" s="176">
        <v>10000</v>
      </c>
      <c r="AK8" s="176">
        <v>0</v>
      </c>
      <c r="AL8" s="176">
        <v>0</v>
      </c>
      <c r="AM8" s="176">
        <v>0</v>
      </c>
      <c r="AN8" s="176">
        <v>0</v>
      </c>
      <c r="AO8" s="176">
        <v>0</v>
      </c>
      <c r="AP8" s="176">
        <v>0</v>
      </c>
      <c r="AQ8" s="176">
        <v>0</v>
      </c>
      <c r="AR8" s="176">
        <v>0</v>
      </c>
      <c r="AS8" s="176">
        <v>0</v>
      </c>
      <c r="AT8" s="176">
        <v>0</v>
      </c>
      <c r="AU8" s="176">
        <v>0</v>
      </c>
      <c r="AV8" s="176">
        <v>0</v>
      </c>
      <c r="AW8" s="176"/>
      <c r="AX8" s="176">
        <v>12677</v>
      </c>
      <c r="AY8" s="176">
        <f t="shared" si="0"/>
        <v>10677</v>
      </c>
      <c r="AZ8" s="176">
        <f t="shared" si="1"/>
        <v>12677</v>
      </c>
      <c r="BA8" s="176">
        <f t="shared" si="2"/>
        <v>10677</v>
      </c>
      <c r="BB8" s="176">
        <v>10000</v>
      </c>
      <c r="BC8" s="176">
        <v>2000</v>
      </c>
      <c r="BD8" s="176">
        <v>0</v>
      </c>
      <c r="BE8" s="176">
        <v>0</v>
      </c>
      <c r="BF8" s="176">
        <f t="shared" si="3"/>
        <v>735300</v>
      </c>
      <c r="BG8" s="176">
        <v>613187</v>
      </c>
      <c r="BH8" s="176" t="s">
        <v>39</v>
      </c>
      <c r="BI8" s="176" t="s">
        <v>2253</v>
      </c>
      <c r="BJ8" s="176" t="s">
        <v>2253</v>
      </c>
      <c r="BK8" s="176">
        <v>13524469</v>
      </c>
      <c r="BL8" s="176">
        <v>0</v>
      </c>
      <c r="BM8" s="176">
        <f t="shared" si="4"/>
        <v>-37887</v>
      </c>
      <c r="BN8" s="178"/>
      <c r="BO8" s="176"/>
      <c r="BP8" s="176" t="s">
        <v>2253</v>
      </c>
      <c r="BQ8" s="176" t="s">
        <v>2253</v>
      </c>
      <c r="BR8" s="176" t="s">
        <v>2253</v>
      </c>
      <c r="BS8" s="176" t="s">
        <v>2685</v>
      </c>
      <c r="BT8" s="176"/>
      <c r="BU8" s="180"/>
      <c r="BV8" s="180"/>
      <c r="BW8" s="180"/>
      <c r="BX8" s="180">
        <v>0</v>
      </c>
      <c r="BY8" s="180">
        <v>0</v>
      </c>
      <c r="BZ8" s="180">
        <v>0</v>
      </c>
      <c r="CA8" s="180" t="str">
        <f t="shared" si="5"/>
        <v>NO</v>
      </c>
      <c r="CB8" s="180"/>
      <c r="CC8" s="180"/>
      <c r="CD8" s="180"/>
      <c r="CE8" s="180"/>
      <c r="CF8" s="180"/>
      <c r="CG8" s="181"/>
    </row>
    <row r="9" spans="1:91" s="167" customFormat="1" ht="15.75" hidden="1" customHeight="1" x14ac:dyDescent="0.3">
      <c r="A9" s="29">
        <v>79</v>
      </c>
      <c r="B9" s="29" t="s">
        <v>2561</v>
      </c>
      <c r="C9" s="29">
        <v>809319</v>
      </c>
      <c r="D9" s="161" t="s">
        <v>2562</v>
      </c>
      <c r="E9" s="162">
        <v>45460</v>
      </c>
      <c r="F9" s="162">
        <v>45467</v>
      </c>
      <c r="G9" s="29" t="s">
        <v>260</v>
      </c>
      <c r="H9" s="29" t="s">
        <v>260</v>
      </c>
      <c r="I9" s="29" t="s">
        <v>2249</v>
      </c>
      <c r="J9" s="29" t="s">
        <v>1480</v>
      </c>
      <c r="K9" s="29"/>
      <c r="L9" s="29"/>
      <c r="M9" s="162" t="s">
        <v>2263</v>
      </c>
      <c r="N9" s="162" t="s">
        <v>2263</v>
      </c>
      <c r="O9" s="29" t="s">
        <v>2321</v>
      </c>
      <c r="P9" s="29">
        <v>983000</v>
      </c>
      <c r="Q9" s="29" t="s">
        <v>2251</v>
      </c>
      <c r="R9" s="29" t="s">
        <v>260</v>
      </c>
      <c r="S9" s="29" t="s">
        <v>2563</v>
      </c>
      <c r="T9" s="163" t="s">
        <v>3104</v>
      </c>
      <c r="U9" s="163" t="s">
        <v>2299</v>
      </c>
      <c r="V9" s="29">
        <v>983000</v>
      </c>
      <c r="W9" s="29">
        <v>83791</v>
      </c>
      <c r="X9" s="29">
        <v>28000</v>
      </c>
      <c r="Y9" s="29">
        <v>16709</v>
      </c>
      <c r="Z9" s="29">
        <v>500</v>
      </c>
      <c r="AA9" s="29" t="s">
        <v>2260</v>
      </c>
      <c r="AB9" s="29">
        <v>0</v>
      </c>
      <c r="AC9" s="29">
        <v>0</v>
      </c>
      <c r="AD9" s="29">
        <v>0</v>
      </c>
      <c r="AE9" s="29">
        <v>0</v>
      </c>
      <c r="AF9" s="29">
        <v>28710</v>
      </c>
      <c r="AG9" s="29">
        <v>0</v>
      </c>
      <c r="AH9" s="29">
        <v>0</v>
      </c>
      <c r="AI9" s="29">
        <v>0</v>
      </c>
      <c r="AJ9" s="29">
        <v>0</v>
      </c>
      <c r="AK9" s="29">
        <v>0</v>
      </c>
      <c r="AL9" s="29">
        <v>0</v>
      </c>
      <c r="AM9" s="29">
        <v>0</v>
      </c>
      <c r="AN9" s="29">
        <v>0</v>
      </c>
      <c r="AO9" s="29">
        <v>0</v>
      </c>
      <c r="AP9" s="29">
        <v>0</v>
      </c>
      <c r="AQ9" s="29">
        <v>0</v>
      </c>
      <c r="AR9" s="29">
        <v>0</v>
      </c>
      <c r="AS9" s="29">
        <v>0</v>
      </c>
      <c r="AT9" s="29">
        <v>0</v>
      </c>
      <c r="AU9" s="29">
        <v>5710</v>
      </c>
      <c r="AV9" s="29">
        <v>0</v>
      </c>
      <c r="AW9" s="29"/>
      <c r="AX9" s="29">
        <v>0</v>
      </c>
      <c r="AY9" s="29">
        <f t="shared" si="0"/>
        <v>5710</v>
      </c>
      <c r="AZ9" s="29">
        <f t="shared" si="1"/>
        <v>5710</v>
      </c>
      <c r="BA9" s="29">
        <f t="shared" si="2"/>
        <v>5710</v>
      </c>
      <c r="BB9" s="29">
        <v>0</v>
      </c>
      <c r="BC9" s="29">
        <v>0</v>
      </c>
      <c r="BD9" s="29">
        <v>0</v>
      </c>
      <c r="BE9" s="29">
        <v>0</v>
      </c>
      <c r="BF9" s="29">
        <f t="shared" si="3"/>
        <v>1135000</v>
      </c>
      <c r="BG9" s="29">
        <v>893739</v>
      </c>
      <c r="BH9" s="29" t="s">
        <v>39</v>
      </c>
      <c r="BI9" s="29" t="s">
        <v>2253</v>
      </c>
      <c r="BJ9" s="29" t="s">
        <v>2253</v>
      </c>
      <c r="BK9" s="29">
        <v>1332818</v>
      </c>
      <c r="BL9" s="29">
        <f>199000</f>
        <v>199000</v>
      </c>
      <c r="BM9" s="29">
        <f t="shared" si="4"/>
        <v>42261</v>
      </c>
      <c r="BN9" s="162">
        <v>45460</v>
      </c>
      <c r="BO9" s="29"/>
      <c r="BP9" s="29"/>
      <c r="BQ9" s="29"/>
      <c r="BR9" s="29"/>
      <c r="BS9" s="29"/>
      <c r="BT9" s="29"/>
      <c r="BU9" s="165"/>
      <c r="BV9" s="165"/>
      <c r="BW9" s="165"/>
      <c r="BX9" s="165">
        <v>0</v>
      </c>
      <c r="BY9" s="165">
        <v>0</v>
      </c>
      <c r="BZ9" s="165">
        <v>0</v>
      </c>
      <c r="CA9" s="165" t="str">
        <f t="shared" si="5"/>
        <v>NO</v>
      </c>
      <c r="CB9" s="165"/>
      <c r="CC9" s="165"/>
      <c r="CD9" s="165"/>
      <c r="CE9" s="165"/>
      <c r="CF9" s="165"/>
      <c r="CG9" s="166"/>
    </row>
    <row r="10" spans="1:91" s="175" customFormat="1" ht="18.600000000000001" hidden="1" customHeight="1" x14ac:dyDescent="0.3">
      <c r="A10" s="169">
        <v>48</v>
      </c>
      <c r="B10" s="169" t="s">
        <v>2461</v>
      </c>
      <c r="C10" s="169">
        <v>809984</v>
      </c>
      <c r="D10" s="170" t="s">
        <v>2462</v>
      </c>
      <c r="E10" s="171">
        <v>45453</v>
      </c>
      <c r="F10" s="171">
        <v>45460</v>
      </c>
      <c r="G10" s="169" t="s">
        <v>333</v>
      </c>
      <c r="H10" s="169" t="s">
        <v>333</v>
      </c>
      <c r="I10" s="169" t="s">
        <v>2249</v>
      </c>
      <c r="J10" s="169" t="s">
        <v>984</v>
      </c>
      <c r="K10" s="169"/>
      <c r="L10" s="169"/>
      <c r="M10" s="171" t="s">
        <v>2263</v>
      </c>
      <c r="N10" s="171" t="s">
        <v>2263</v>
      </c>
      <c r="O10" s="169" t="s">
        <v>2321</v>
      </c>
      <c r="P10" s="169">
        <v>900000</v>
      </c>
      <c r="Q10" s="169" t="s">
        <v>2298</v>
      </c>
      <c r="R10" s="169" t="s">
        <v>333</v>
      </c>
      <c r="S10" s="169" t="s">
        <v>2463</v>
      </c>
      <c r="T10" s="172" t="s">
        <v>3060</v>
      </c>
      <c r="U10" s="172" t="s">
        <v>2417</v>
      </c>
      <c r="V10" s="169">
        <v>983885</v>
      </c>
      <c r="W10" s="169">
        <v>86811</v>
      </c>
      <c r="X10" s="169">
        <v>35000</v>
      </c>
      <c r="Y10" s="169">
        <v>16709</v>
      </c>
      <c r="Z10" s="169">
        <v>500</v>
      </c>
      <c r="AA10" s="169" t="s">
        <v>2253</v>
      </c>
      <c r="AB10" s="169">
        <v>0</v>
      </c>
      <c r="AC10" s="169">
        <v>0</v>
      </c>
      <c r="AD10" s="169">
        <v>0</v>
      </c>
      <c r="AE10" s="169">
        <v>0</v>
      </c>
      <c r="AF10" s="169">
        <v>37000</v>
      </c>
      <c r="AG10" s="169">
        <v>0</v>
      </c>
      <c r="AH10" s="169">
        <v>0</v>
      </c>
      <c r="AI10" s="169">
        <v>0</v>
      </c>
      <c r="AJ10" s="169">
        <v>0</v>
      </c>
      <c r="AK10" s="169">
        <v>0</v>
      </c>
      <c r="AL10" s="169">
        <v>0</v>
      </c>
      <c r="AM10" s="169">
        <v>0</v>
      </c>
      <c r="AN10" s="169">
        <v>0</v>
      </c>
      <c r="AO10" s="169">
        <v>0</v>
      </c>
      <c r="AP10" s="169">
        <v>0</v>
      </c>
      <c r="AQ10" s="169">
        <v>0</v>
      </c>
      <c r="AR10" s="169">
        <v>0</v>
      </c>
      <c r="AS10" s="169">
        <v>0</v>
      </c>
      <c r="AT10" s="169">
        <v>0</v>
      </c>
      <c r="AU10" s="169">
        <v>0</v>
      </c>
      <c r="AV10" s="169">
        <v>0</v>
      </c>
      <c r="AW10" s="169"/>
      <c r="AX10" s="169">
        <v>0</v>
      </c>
      <c r="AY10" s="169">
        <f t="shared" si="0"/>
        <v>-2000</v>
      </c>
      <c r="AZ10" s="169">
        <f t="shared" si="1"/>
        <v>0</v>
      </c>
      <c r="BA10" s="169">
        <f t="shared" si="2"/>
        <v>0</v>
      </c>
      <c r="BB10" s="169">
        <v>0</v>
      </c>
      <c r="BC10" s="169">
        <v>2000</v>
      </c>
      <c r="BD10" s="169">
        <v>0</v>
      </c>
      <c r="BE10" s="169">
        <v>0</v>
      </c>
      <c r="BF10" s="169">
        <f t="shared" si="3"/>
        <v>1159905</v>
      </c>
      <c r="BG10" s="169">
        <v>900000</v>
      </c>
      <c r="BH10" s="169" t="s">
        <v>39</v>
      </c>
      <c r="BI10" s="169" t="s">
        <v>2253</v>
      </c>
      <c r="BJ10" s="169" t="s">
        <v>2253</v>
      </c>
      <c r="BK10" s="169" t="s">
        <v>2464</v>
      </c>
      <c r="BL10" s="169">
        <f>70000+190000</f>
        <v>260000</v>
      </c>
      <c r="BM10" s="169">
        <f t="shared" si="4"/>
        <v>-95</v>
      </c>
      <c r="BN10" s="171">
        <v>45454</v>
      </c>
      <c r="BO10" s="169"/>
      <c r="BP10" s="169"/>
      <c r="BQ10" s="169"/>
      <c r="BR10" s="169"/>
      <c r="BS10" s="169"/>
      <c r="BT10" s="169"/>
      <c r="BU10" s="173"/>
      <c r="BV10" s="173"/>
      <c r="BW10" s="173"/>
      <c r="BX10" s="173">
        <v>0</v>
      </c>
      <c r="BY10" s="173">
        <v>0</v>
      </c>
      <c r="BZ10" s="173">
        <v>0</v>
      </c>
      <c r="CA10" s="173" t="str">
        <f t="shared" si="5"/>
        <v>NO</v>
      </c>
      <c r="CB10" s="173"/>
      <c r="CC10" s="173"/>
      <c r="CD10" s="173"/>
      <c r="CE10" s="173"/>
      <c r="CF10" s="173"/>
      <c r="CG10" s="174"/>
    </row>
    <row r="11" spans="1:91" s="175" customFormat="1" ht="15.75" hidden="1" customHeight="1" x14ac:dyDescent="0.3">
      <c r="A11" s="169">
        <v>92</v>
      </c>
      <c r="B11" s="169" t="s">
        <v>2607</v>
      </c>
      <c r="C11" s="169">
        <v>422994</v>
      </c>
      <c r="D11" s="170" t="s">
        <v>2608</v>
      </c>
      <c r="E11" s="171">
        <v>45462</v>
      </c>
      <c r="F11" s="171">
        <v>45463</v>
      </c>
      <c r="G11" s="169" t="s">
        <v>333</v>
      </c>
      <c r="H11" s="169" t="s">
        <v>333</v>
      </c>
      <c r="I11" s="169" t="s">
        <v>2249</v>
      </c>
      <c r="J11" s="169" t="s">
        <v>1083</v>
      </c>
      <c r="K11" s="169"/>
      <c r="L11" s="169"/>
      <c r="M11" s="171" t="s">
        <v>2275</v>
      </c>
      <c r="N11" s="169" t="s">
        <v>2990</v>
      </c>
      <c r="O11" s="169" t="s">
        <v>2321</v>
      </c>
      <c r="P11" s="169">
        <v>1116308</v>
      </c>
      <c r="Q11" s="169" t="s">
        <v>595</v>
      </c>
      <c r="R11" s="169" t="s">
        <v>2609</v>
      </c>
      <c r="S11" s="169" t="s">
        <v>2463</v>
      </c>
      <c r="T11" s="172" t="s">
        <v>3060</v>
      </c>
      <c r="U11" s="172" t="s">
        <v>2417</v>
      </c>
      <c r="V11" s="169">
        <v>970385</v>
      </c>
      <c r="W11" s="169">
        <v>85331</v>
      </c>
      <c r="X11" s="169">
        <v>34000</v>
      </c>
      <c r="Y11" s="169">
        <v>16485</v>
      </c>
      <c r="Z11" s="169">
        <v>500</v>
      </c>
      <c r="AA11" s="169" t="s">
        <v>2253</v>
      </c>
      <c r="AB11" s="169">
        <v>0</v>
      </c>
      <c r="AC11" s="169">
        <v>0</v>
      </c>
      <c r="AD11" s="169">
        <v>0</v>
      </c>
      <c r="AE11" s="169">
        <v>0</v>
      </c>
      <c r="AF11" s="169">
        <v>47320</v>
      </c>
      <c r="AG11" s="169">
        <v>0</v>
      </c>
      <c r="AH11" s="169">
        <v>0</v>
      </c>
      <c r="AI11" s="169">
        <v>0</v>
      </c>
      <c r="AJ11" s="169">
        <v>10000</v>
      </c>
      <c r="AK11" s="169">
        <v>0</v>
      </c>
      <c r="AL11" s="169">
        <v>0</v>
      </c>
      <c r="AM11" s="169">
        <v>0</v>
      </c>
      <c r="AN11" s="169">
        <v>0</v>
      </c>
      <c r="AO11" s="169">
        <v>0</v>
      </c>
      <c r="AP11" s="169">
        <v>0</v>
      </c>
      <c r="AQ11" s="169">
        <v>0</v>
      </c>
      <c r="AR11" s="169">
        <v>0</v>
      </c>
      <c r="AS11" s="169">
        <v>0</v>
      </c>
      <c r="AT11" s="169">
        <v>0</v>
      </c>
      <c r="AU11" s="169">
        <v>0</v>
      </c>
      <c r="AV11" s="169">
        <v>0</v>
      </c>
      <c r="AW11" s="169"/>
      <c r="AX11" s="169">
        <v>6701</v>
      </c>
      <c r="AY11" s="169">
        <f t="shared" si="0"/>
        <v>4701</v>
      </c>
      <c r="AZ11" s="169">
        <f t="shared" si="1"/>
        <v>6701</v>
      </c>
      <c r="BA11" s="169">
        <f t="shared" si="2"/>
        <v>4701</v>
      </c>
      <c r="BB11" s="169">
        <v>0</v>
      </c>
      <c r="BC11" s="169">
        <v>2000</v>
      </c>
      <c r="BD11" s="169">
        <v>0</v>
      </c>
      <c r="BE11" s="169">
        <v>0</v>
      </c>
      <c r="BF11" s="169">
        <f t="shared" si="3"/>
        <v>1137320</v>
      </c>
      <c r="BG11" s="169">
        <v>1116308</v>
      </c>
      <c r="BH11" s="169" t="s">
        <v>2583</v>
      </c>
      <c r="BI11" s="169" t="s">
        <v>2260</v>
      </c>
      <c r="BJ11" s="169" t="s">
        <v>2260</v>
      </c>
      <c r="BK11" s="169">
        <v>0</v>
      </c>
      <c r="BL11" s="169">
        <f>2100+18912</f>
        <v>21012</v>
      </c>
      <c r="BM11" s="169">
        <f t="shared" si="4"/>
        <v>0</v>
      </c>
      <c r="BN11" s="171"/>
      <c r="BO11" s="169"/>
      <c r="BP11" s="169"/>
      <c r="BQ11" s="169"/>
      <c r="BR11" s="169"/>
      <c r="BS11" s="169"/>
      <c r="BT11" s="169"/>
      <c r="BU11" s="173"/>
      <c r="BV11" s="173"/>
      <c r="BW11" s="173"/>
      <c r="BX11" s="173">
        <v>0</v>
      </c>
      <c r="BY11" s="173">
        <v>0</v>
      </c>
      <c r="BZ11" s="173">
        <v>0</v>
      </c>
      <c r="CA11" s="173" t="str">
        <f t="shared" si="5"/>
        <v>NO</v>
      </c>
      <c r="CB11" s="173"/>
      <c r="CC11" s="173"/>
      <c r="CD11" s="173"/>
      <c r="CE11" s="173"/>
      <c r="CF11" s="173"/>
      <c r="CG11" s="174"/>
    </row>
    <row r="12" spans="1:91" s="182" customFormat="1" ht="15.75" hidden="1" customHeight="1" x14ac:dyDescent="0.3">
      <c r="A12" s="176">
        <v>33</v>
      </c>
      <c r="B12" s="176" t="s">
        <v>2401</v>
      </c>
      <c r="C12" s="176">
        <v>813097</v>
      </c>
      <c r="D12" s="177" t="s">
        <v>2402</v>
      </c>
      <c r="E12" s="178">
        <v>45451</v>
      </c>
      <c r="F12" s="178">
        <v>45452</v>
      </c>
      <c r="G12" s="176" t="s">
        <v>260</v>
      </c>
      <c r="H12" s="176" t="s">
        <v>260</v>
      </c>
      <c r="I12" s="176" t="s">
        <v>2249</v>
      </c>
      <c r="J12" s="176" t="s">
        <v>487</v>
      </c>
      <c r="K12" s="176"/>
      <c r="L12" s="176"/>
      <c r="M12" s="178" t="s">
        <v>2263</v>
      </c>
      <c r="N12" s="178" t="s">
        <v>2263</v>
      </c>
      <c r="O12" s="176" t="s">
        <v>2264</v>
      </c>
      <c r="P12" s="176">
        <v>917100</v>
      </c>
      <c r="Q12" s="176" t="s">
        <v>2403</v>
      </c>
      <c r="R12" s="176" t="s">
        <v>260</v>
      </c>
      <c r="S12" s="176" t="s">
        <v>2299</v>
      </c>
      <c r="T12" s="179" t="s">
        <v>3090</v>
      </c>
      <c r="U12" s="179" t="s">
        <v>2299</v>
      </c>
      <c r="V12" s="176">
        <v>1078000</v>
      </c>
      <c r="W12" s="176">
        <v>0</v>
      </c>
      <c r="X12" s="176">
        <v>31781</v>
      </c>
      <c r="Y12" s="176">
        <v>18325</v>
      </c>
      <c r="Z12" s="176">
        <v>500</v>
      </c>
      <c r="AA12" s="176" t="s">
        <v>2260</v>
      </c>
      <c r="AB12" s="176">
        <v>4500</v>
      </c>
      <c r="AC12" s="176">
        <v>0</v>
      </c>
      <c r="AD12" s="176">
        <v>10789</v>
      </c>
      <c r="AE12" s="176">
        <v>0</v>
      </c>
      <c r="AF12" s="176">
        <v>16885</v>
      </c>
      <c r="AG12" s="176">
        <v>0</v>
      </c>
      <c r="AH12" s="176">
        <v>0</v>
      </c>
      <c r="AI12" s="176">
        <v>0</v>
      </c>
      <c r="AJ12" s="176">
        <v>0</v>
      </c>
      <c r="AK12" s="176">
        <v>0</v>
      </c>
      <c r="AL12" s="176">
        <v>0</v>
      </c>
      <c r="AM12" s="176">
        <v>0</v>
      </c>
      <c r="AN12" s="176">
        <v>0</v>
      </c>
      <c r="AO12" s="176">
        <v>0</v>
      </c>
      <c r="AP12" s="176">
        <v>0</v>
      </c>
      <c r="AQ12" s="176">
        <v>0</v>
      </c>
      <c r="AR12" s="176">
        <v>0</v>
      </c>
      <c r="AS12" s="176">
        <v>0</v>
      </c>
      <c r="AT12" s="176">
        <v>0</v>
      </c>
      <c r="AU12" s="176">
        <v>0</v>
      </c>
      <c r="AV12" s="176">
        <v>0</v>
      </c>
      <c r="AW12" s="176"/>
      <c r="AX12" s="176">
        <v>0</v>
      </c>
      <c r="AY12" s="176">
        <f t="shared" si="0"/>
        <v>0</v>
      </c>
      <c r="AZ12" s="176">
        <f t="shared" si="1"/>
        <v>0</v>
      </c>
      <c r="BA12" s="176">
        <f t="shared" si="2"/>
        <v>0</v>
      </c>
      <c r="BB12" s="176">
        <v>0</v>
      </c>
      <c r="BC12" s="176">
        <v>0</v>
      </c>
      <c r="BD12" s="176">
        <v>0</v>
      </c>
      <c r="BE12" s="176">
        <v>0</v>
      </c>
      <c r="BF12" s="176">
        <f t="shared" si="3"/>
        <v>1160780</v>
      </c>
      <c r="BG12" s="176">
        <v>917100</v>
      </c>
      <c r="BH12" s="176" t="s">
        <v>2287</v>
      </c>
      <c r="BI12" s="176" t="s">
        <v>2260</v>
      </c>
      <c r="BJ12" s="176" t="s">
        <v>2260</v>
      </c>
      <c r="BK12" s="176">
        <v>0</v>
      </c>
      <c r="BL12" s="176">
        <f>25000+50000+158680+5000+5000</f>
        <v>243680</v>
      </c>
      <c r="BM12" s="176">
        <f t="shared" si="4"/>
        <v>0</v>
      </c>
      <c r="BN12" s="178"/>
      <c r="BO12" s="176"/>
      <c r="BP12" s="176"/>
      <c r="BQ12" s="176"/>
      <c r="BR12" s="176"/>
      <c r="BS12" s="176"/>
      <c r="BT12" s="176"/>
      <c r="BU12" s="180"/>
      <c r="BV12" s="180"/>
      <c r="BW12" s="180"/>
      <c r="BX12" s="180">
        <v>0</v>
      </c>
      <c r="BY12" s="180">
        <v>0</v>
      </c>
      <c r="BZ12" s="180">
        <v>0</v>
      </c>
      <c r="CA12" s="180" t="str">
        <f t="shared" si="5"/>
        <v>NO</v>
      </c>
      <c r="CB12" s="180"/>
      <c r="CC12" s="180"/>
      <c r="CD12" s="180"/>
      <c r="CE12" s="180"/>
      <c r="CF12" s="180"/>
      <c r="CG12" s="181"/>
    </row>
    <row r="13" spans="1:91" s="182" customFormat="1" ht="15.75" hidden="1" customHeight="1" x14ac:dyDescent="0.3">
      <c r="A13" s="176">
        <v>55</v>
      </c>
      <c r="B13" s="176" t="s">
        <v>2486</v>
      </c>
      <c r="C13" s="176">
        <v>103373</v>
      </c>
      <c r="D13" s="177" t="s">
        <v>2487</v>
      </c>
      <c r="E13" s="178">
        <v>45455</v>
      </c>
      <c r="F13" s="178">
        <v>45457</v>
      </c>
      <c r="G13" s="176" t="s">
        <v>260</v>
      </c>
      <c r="H13" s="176" t="s">
        <v>260</v>
      </c>
      <c r="I13" s="176" t="s">
        <v>2249</v>
      </c>
      <c r="J13" s="176" t="s">
        <v>1417</v>
      </c>
      <c r="K13" s="176"/>
      <c r="L13" s="176"/>
      <c r="M13" s="178" t="s">
        <v>2304</v>
      </c>
      <c r="N13" s="178" t="s">
        <v>2304</v>
      </c>
      <c r="O13" s="176" t="s">
        <v>2321</v>
      </c>
      <c r="P13" s="176">
        <v>750000</v>
      </c>
      <c r="Q13" s="176" t="s">
        <v>2373</v>
      </c>
      <c r="R13" s="176" t="s">
        <v>260</v>
      </c>
      <c r="S13" s="176" t="s">
        <v>2299</v>
      </c>
      <c r="T13" s="179" t="s">
        <v>3090</v>
      </c>
      <c r="U13" s="179" t="s">
        <v>2299</v>
      </c>
      <c r="V13" s="176">
        <v>730127</v>
      </c>
      <c r="W13" s="176">
        <v>64010</v>
      </c>
      <c r="X13" s="176">
        <v>31878</v>
      </c>
      <c r="Y13" s="176">
        <v>12402</v>
      </c>
      <c r="Z13" s="176">
        <v>500</v>
      </c>
      <c r="AA13" s="176" t="s">
        <v>2253</v>
      </c>
      <c r="AB13" s="176">
        <v>0</v>
      </c>
      <c r="AC13" s="176">
        <v>4083</v>
      </c>
      <c r="AD13" s="176">
        <v>0</v>
      </c>
      <c r="AE13" s="176">
        <v>0</v>
      </c>
      <c r="AF13" s="176">
        <v>45000</v>
      </c>
      <c r="AG13" s="176">
        <v>0</v>
      </c>
      <c r="AH13" s="176">
        <v>0</v>
      </c>
      <c r="AI13" s="176">
        <v>0</v>
      </c>
      <c r="AJ13" s="176">
        <v>0</v>
      </c>
      <c r="AK13" s="176">
        <v>0</v>
      </c>
      <c r="AL13" s="176">
        <v>0</v>
      </c>
      <c r="AM13" s="176">
        <v>0</v>
      </c>
      <c r="AN13" s="176">
        <v>0</v>
      </c>
      <c r="AO13" s="176">
        <v>0</v>
      </c>
      <c r="AP13" s="176">
        <v>0</v>
      </c>
      <c r="AQ13" s="176">
        <v>0</v>
      </c>
      <c r="AR13" s="176">
        <v>0</v>
      </c>
      <c r="AS13" s="176">
        <v>0</v>
      </c>
      <c r="AT13" s="176">
        <v>0</v>
      </c>
      <c r="AU13" s="176">
        <v>5000</v>
      </c>
      <c r="AV13" s="176">
        <v>0</v>
      </c>
      <c r="AW13" s="176"/>
      <c r="AX13" s="176">
        <v>8000</v>
      </c>
      <c r="AY13" s="176">
        <f t="shared" si="0"/>
        <v>13000</v>
      </c>
      <c r="AZ13" s="176">
        <f t="shared" si="1"/>
        <v>13000</v>
      </c>
      <c r="BA13" s="176">
        <f t="shared" si="2"/>
        <v>13000</v>
      </c>
      <c r="BB13" s="176">
        <v>0</v>
      </c>
      <c r="BC13" s="176">
        <v>0</v>
      </c>
      <c r="BD13" s="176">
        <v>0</v>
      </c>
      <c r="BE13" s="176">
        <v>0</v>
      </c>
      <c r="BF13" s="176">
        <f t="shared" si="3"/>
        <v>875000</v>
      </c>
      <c r="BG13" s="176">
        <v>730127</v>
      </c>
      <c r="BH13" s="176" t="s">
        <v>2287</v>
      </c>
      <c r="BI13" s="176" t="s">
        <v>2260</v>
      </c>
      <c r="BJ13" s="176" t="s">
        <v>2260</v>
      </c>
      <c r="BK13" s="176">
        <v>0</v>
      </c>
      <c r="BL13" s="176">
        <f>85000</f>
        <v>85000</v>
      </c>
      <c r="BM13" s="176">
        <f t="shared" si="4"/>
        <v>59873</v>
      </c>
      <c r="BN13" s="178">
        <v>45457</v>
      </c>
      <c r="BO13" s="176"/>
      <c r="BP13" s="176"/>
      <c r="BQ13" s="176"/>
      <c r="BR13" s="176"/>
      <c r="BS13" s="176"/>
      <c r="BT13" s="176"/>
      <c r="BU13" s="180"/>
      <c r="BV13" s="180"/>
      <c r="BW13" s="180"/>
      <c r="BX13" s="180">
        <v>0</v>
      </c>
      <c r="BY13" s="180">
        <v>0</v>
      </c>
      <c r="BZ13" s="180">
        <v>0</v>
      </c>
      <c r="CA13" s="180" t="str">
        <f t="shared" si="5"/>
        <v>NO</v>
      </c>
      <c r="CB13" s="180"/>
      <c r="CC13" s="180"/>
      <c r="CD13" s="180"/>
      <c r="CE13" s="180"/>
      <c r="CF13" s="180"/>
      <c r="CG13" s="181"/>
    </row>
    <row r="14" spans="1:91" s="182" customFormat="1" ht="15.75" hidden="1" customHeight="1" x14ac:dyDescent="0.3">
      <c r="A14" s="176">
        <v>61</v>
      </c>
      <c r="B14" s="176" t="s">
        <v>2500</v>
      </c>
      <c r="C14" s="176">
        <v>504318</v>
      </c>
      <c r="D14" s="177" t="s">
        <v>2501</v>
      </c>
      <c r="E14" s="178">
        <v>45456</v>
      </c>
      <c r="F14" s="178">
        <v>45463</v>
      </c>
      <c r="G14" s="176" t="s">
        <v>260</v>
      </c>
      <c r="H14" s="176" t="s">
        <v>260</v>
      </c>
      <c r="I14" s="176" t="s">
        <v>2249</v>
      </c>
      <c r="J14" s="176" t="s">
        <v>2502</v>
      </c>
      <c r="K14" s="176"/>
      <c r="L14" s="176"/>
      <c r="M14" s="178" t="s">
        <v>2503</v>
      </c>
      <c r="N14" s="178" t="s">
        <v>2503</v>
      </c>
      <c r="O14" s="176" t="s">
        <v>2459</v>
      </c>
      <c r="P14" s="176">
        <v>400000</v>
      </c>
      <c r="Q14" s="176" t="s">
        <v>2271</v>
      </c>
      <c r="R14" s="176" t="s">
        <v>260</v>
      </c>
      <c r="S14" s="176" t="s">
        <v>2299</v>
      </c>
      <c r="T14" s="179" t="s">
        <v>3090</v>
      </c>
      <c r="U14" s="179" t="s">
        <v>2299</v>
      </c>
      <c r="V14" s="176">
        <v>550500</v>
      </c>
      <c r="W14" s="176">
        <v>51711</v>
      </c>
      <c r="X14" s="176">
        <v>20143</v>
      </c>
      <c r="Y14" s="176">
        <v>8579</v>
      </c>
      <c r="Z14" s="176">
        <v>500</v>
      </c>
      <c r="AA14" s="176" t="s">
        <v>2260</v>
      </c>
      <c r="AB14" s="176">
        <v>0</v>
      </c>
      <c r="AC14" s="176">
        <v>2667</v>
      </c>
      <c r="AD14" s="176">
        <v>0</v>
      </c>
      <c r="AE14" s="176">
        <v>0</v>
      </c>
      <c r="AF14" s="176">
        <v>30700</v>
      </c>
      <c r="AG14" s="176">
        <v>0</v>
      </c>
      <c r="AH14" s="176">
        <v>0</v>
      </c>
      <c r="AI14" s="176">
        <v>0</v>
      </c>
      <c r="AJ14" s="176">
        <v>18000</v>
      </c>
      <c r="AK14" s="176">
        <v>0</v>
      </c>
      <c r="AL14" s="176">
        <v>0</v>
      </c>
      <c r="AM14" s="176">
        <v>0</v>
      </c>
      <c r="AN14" s="176">
        <v>0</v>
      </c>
      <c r="AO14" s="176">
        <v>0</v>
      </c>
      <c r="AP14" s="176">
        <v>0</v>
      </c>
      <c r="AQ14" s="176">
        <v>3100</v>
      </c>
      <c r="AR14" s="176">
        <v>17000</v>
      </c>
      <c r="AS14" s="176">
        <v>0</v>
      </c>
      <c r="AT14" s="176">
        <v>0</v>
      </c>
      <c r="AU14" s="176">
        <v>5000</v>
      </c>
      <c r="AV14" s="176">
        <v>0</v>
      </c>
      <c r="AW14" s="176"/>
      <c r="AX14" s="176">
        <v>4700</v>
      </c>
      <c r="AY14" s="176">
        <f t="shared" si="0"/>
        <v>7700</v>
      </c>
      <c r="AZ14" s="176">
        <f t="shared" si="1"/>
        <v>9700</v>
      </c>
      <c r="BA14" s="176">
        <f t="shared" si="2"/>
        <v>7700</v>
      </c>
      <c r="BB14" s="176">
        <v>10000</v>
      </c>
      <c r="BC14" s="176">
        <v>2000</v>
      </c>
      <c r="BD14" s="176">
        <v>0</v>
      </c>
      <c r="BE14" s="176">
        <v>0</v>
      </c>
      <c r="BF14" s="176">
        <f t="shared" si="3"/>
        <v>607000</v>
      </c>
      <c r="BG14" s="176">
        <v>389764</v>
      </c>
      <c r="BH14" s="176" t="s">
        <v>39</v>
      </c>
      <c r="BI14" s="176" t="s">
        <v>2253</v>
      </c>
      <c r="BJ14" s="176" t="s">
        <v>2253</v>
      </c>
      <c r="BK14" s="176">
        <v>13453891</v>
      </c>
      <c r="BL14" s="176">
        <f>199900+10000</f>
        <v>209900</v>
      </c>
      <c r="BM14" s="176">
        <f t="shared" si="4"/>
        <v>7336</v>
      </c>
      <c r="BN14" s="178">
        <v>45466</v>
      </c>
      <c r="BO14" s="176"/>
      <c r="BP14" s="176"/>
      <c r="BQ14" s="176"/>
      <c r="BR14" s="176"/>
      <c r="BS14" s="176"/>
      <c r="BT14" s="176"/>
      <c r="BU14" s="180"/>
      <c r="BV14" s="180"/>
      <c r="BW14" s="180"/>
      <c r="BX14" s="180">
        <v>0</v>
      </c>
      <c r="BY14" s="180">
        <v>0</v>
      </c>
      <c r="BZ14" s="180">
        <v>0</v>
      </c>
      <c r="CA14" s="180" t="str">
        <f t="shared" si="5"/>
        <v>NO</v>
      </c>
      <c r="CB14" s="180"/>
      <c r="CC14" s="180"/>
      <c r="CD14" s="180"/>
      <c r="CE14" s="180"/>
      <c r="CF14" s="180"/>
      <c r="CG14" s="181"/>
    </row>
    <row r="15" spans="1:91" s="182" customFormat="1" ht="15.75" hidden="1" customHeight="1" x14ac:dyDescent="0.3">
      <c r="A15" s="176">
        <v>124</v>
      </c>
      <c r="B15" s="176" t="s">
        <v>2712</v>
      </c>
      <c r="C15" s="176" t="s">
        <v>1618</v>
      </c>
      <c r="D15" s="177" t="s">
        <v>2713</v>
      </c>
      <c r="E15" s="178">
        <v>45467</v>
      </c>
      <c r="F15" s="178">
        <v>45469</v>
      </c>
      <c r="G15" s="176" t="s">
        <v>260</v>
      </c>
      <c r="H15" s="176" t="s">
        <v>260</v>
      </c>
      <c r="I15" s="176" t="s">
        <v>2249</v>
      </c>
      <c r="J15" s="176" t="s">
        <v>2714</v>
      </c>
      <c r="K15" s="176"/>
      <c r="L15" s="176"/>
      <c r="M15" s="178" t="s">
        <v>310</v>
      </c>
      <c r="N15" s="178" t="s">
        <v>310</v>
      </c>
      <c r="O15" s="176" t="s">
        <v>2326</v>
      </c>
      <c r="P15" s="176">
        <v>630000</v>
      </c>
      <c r="Q15" s="176" t="s">
        <v>2284</v>
      </c>
      <c r="R15" s="176" t="s">
        <v>2715</v>
      </c>
      <c r="S15" s="176" t="s">
        <v>2299</v>
      </c>
      <c r="T15" s="179" t="s">
        <v>3090</v>
      </c>
      <c r="U15" s="179" t="s">
        <v>2299</v>
      </c>
      <c r="V15" s="176">
        <v>561000</v>
      </c>
      <c r="W15" s="176">
        <v>53351</v>
      </c>
      <c r="X15" s="176">
        <v>24130</v>
      </c>
      <c r="Y15" s="176">
        <v>8744</v>
      </c>
      <c r="Z15" s="176">
        <v>500</v>
      </c>
      <c r="AA15" s="176" t="s">
        <v>2260</v>
      </c>
      <c r="AB15" s="176">
        <v>0</v>
      </c>
      <c r="AC15" s="176">
        <v>2875</v>
      </c>
      <c r="AD15" s="176">
        <v>0</v>
      </c>
      <c r="AE15" s="176">
        <v>0</v>
      </c>
      <c r="AF15" s="176">
        <v>9000</v>
      </c>
      <c r="AG15" s="176">
        <v>0</v>
      </c>
      <c r="AH15" s="176">
        <v>455000</v>
      </c>
      <c r="AI15" s="176">
        <v>403296</v>
      </c>
      <c r="AJ15" s="176">
        <v>10000</v>
      </c>
      <c r="AK15" s="176">
        <v>0</v>
      </c>
      <c r="AL15" s="176">
        <v>0</v>
      </c>
      <c r="AM15" s="176">
        <v>0</v>
      </c>
      <c r="AN15" s="176">
        <v>0</v>
      </c>
      <c r="AO15" s="176">
        <v>0</v>
      </c>
      <c r="AP15" s="176">
        <v>0</v>
      </c>
      <c r="AQ15" s="176">
        <v>3100</v>
      </c>
      <c r="AR15" s="176">
        <v>15000</v>
      </c>
      <c r="AS15" s="176">
        <v>0</v>
      </c>
      <c r="AT15" s="176">
        <v>0</v>
      </c>
      <c r="AU15" s="176">
        <v>0</v>
      </c>
      <c r="AV15" s="176">
        <v>0</v>
      </c>
      <c r="AW15" s="176"/>
      <c r="AX15" s="176">
        <v>11500</v>
      </c>
      <c r="AY15" s="176">
        <f t="shared" si="0"/>
        <v>9500</v>
      </c>
      <c r="AZ15" s="176">
        <f t="shared" si="1"/>
        <v>11500</v>
      </c>
      <c r="BA15" s="176">
        <f t="shared" si="2"/>
        <v>9500</v>
      </c>
      <c r="BB15" s="176">
        <v>10000</v>
      </c>
      <c r="BC15" s="176">
        <v>2000</v>
      </c>
      <c r="BD15" s="176">
        <v>0</v>
      </c>
      <c r="BE15" s="176">
        <v>0</v>
      </c>
      <c r="BF15" s="176">
        <f t="shared" si="3"/>
        <v>1013296</v>
      </c>
      <c r="BG15" s="176">
        <v>535000</v>
      </c>
      <c r="BH15" s="176" t="s">
        <v>2287</v>
      </c>
      <c r="BI15" s="176" t="s">
        <v>2253</v>
      </c>
      <c r="BJ15" s="176" t="s">
        <v>2253</v>
      </c>
      <c r="BK15" s="176">
        <v>0</v>
      </c>
      <c r="BL15" s="176">
        <v>0</v>
      </c>
      <c r="BM15" s="176">
        <f t="shared" si="4"/>
        <v>23296</v>
      </c>
      <c r="BN15" s="178"/>
      <c r="BO15" s="176"/>
      <c r="BP15" s="176" t="s">
        <v>2253</v>
      </c>
      <c r="BQ15" s="176" t="s">
        <v>2253</v>
      </c>
      <c r="BR15" s="176" t="s">
        <v>2253</v>
      </c>
      <c r="BS15" s="176" t="s">
        <v>2439</v>
      </c>
      <c r="BT15" s="176"/>
      <c r="BU15" s="180"/>
      <c r="BV15" s="180"/>
      <c r="BW15" s="180"/>
      <c r="BX15" s="180">
        <v>0</v>
      </c>
      <c r="BY15" s="180">
        <v>0</v>
      </c>
      <c r="BZ15" s="180">
        <v>0</v>
      </c>
      <c r="CA15" s="180" t="str">
        <f t="shared" si="5"/>
        <v>NO</v>
      </c>
      <c r="CB15" s="180"/>
      <c r="CC15" s="180"/>
      <c r="CD15" s="180"/>
      <c r="CE15" s="180"/>
      <c r="CF15" s="180"/>
      <c r="CG15" s="181"/>
    </row>
    <row r="16" spans="1:91" s="182" customFormat="1" ht="15.75" hidden="1" customHeight="1" x14ac:dyDescent="0.3">
      <c r="A16" s="176">
        <v>125</v>
      </c>
      <c r="B16" s="176" t="s">
        <v>2716</v>
      </c>
      <c r="C16" s="176">
        <v>817014</v>
      </c>
      <c r="D16" s="177" t="s">
        <v>2402</v>
      </c>
      <c r="E16" s="178">
        <v>45468</v>
      </c>
      <c r="F16" s="178">
        <v>45469</v>
      </c>
      <c r="G16" s="176" t="s">
        <v>260</v>
      </c>
      <c r="H16" s="176" t="s">
        <v>260</v>
      </c>
      <c r="I16" s="176" t="s">
        <v>2249</v>
      </c>
      <c r="J16" s="176" t="s">
        <v>1627</v>
      </c>
      <c r="K16" s="176"/>
      <c r="L16" s="176"/>
      <c r="M16" s="178" t="s">
        <v>2263</v>
      </c>
      <c r="N16" s="178" t="s">
        <v>2263</v>
      </c>
      <c r="O16" s="176" t="s">
        <v>2717</v>
      </c>
      <c r="P16" s="176">
        <v>880000</v>
      </c>
      <c r="Q16" s="176" t="s">
        <v>2718</v>
      </c>
      <c r="R16" s="176" t="s">
        <v>2719</v>
      </c>
      <c r="S16" s="176" t="s">
        <v>2299</v>
      </c>
      <c r="T16" s="179" t="s">
        <v>3090</v>
      </c>
      <c r="U16" s="179" t="s">
        <v>2299</v>
      </c>
      <c r="V16" s="176">
        <v>1078000</v>
      </c>
      <c r="W16" s="176">
        <v>0</v>
      </c>
      <c r="X16" s="176">
        <v>27580</v>
      </c>
      <c r="Y16" s="176">
        <v>0</v>
      </c>
      <c r="Z16" s="176">
        <v>500</v>
      </c>
      <c r="AA16" s="176" t="s">
        <v>2260</v>
      </c>
      <c r="AB16" s="176">
        <v>4500</v>
      </c>
      <c r="AC16" s="176">
        <v>0</v>
      </c>
      <c r="AD16" s="176">
        <v>10789</v>
      </c>
      <c r="AE16" s="176">
        <v>0</v>
      </c>
      <c r="AF16" s="176">
        <v>15885</v>
      </c>
      <c r="AG16" s="176">
        <v>0</v>
      </c>
      <c r="AH16" s="176">
        <v>0</v>
      </c>
      <c r="AI16" s="176">
        <v>0</v>
      </c>
      <c r="AJ16" s="176">
        <v>0</v>
      </c>
      <c r="AK16" s="176">
        <v>0</v>
      </c>
      <c r="AL16" s="176">
        <v>0</v>
      </c>
      <c r="AM16" s="176">
        <v>0</v>
      </c>
      <c r="AN16" s="176">
        <v>0</v>
      </c>
      <c r="AO16" s="176">
        <v>0</v>
      </c>
      <c r="AP16" s="176">
        <v>0</v>
      </c>
      <c r="AQ16" s="176">
        <v>0</v>
      </c>
      <c r="AR16" s="176">
        <v>0</v>
      </c>
      <c r="AS16" s="176">
        <v>0</v>
      </c>
      <c r="AT16" s="176">
        <v>0</v>
      </c>
      <c r="AU16" s="176">
        <v>0</v>
      </c>
      <c r="AV16" s="176">
        <v>0</v>
      </c>
      <c r="AW16" s="176"/>
      <c r="AX16" s="176">
        <v>0</v>
      </c>
      <c r="AY16" s="176">
        <f t="shared" si="0"/>
        <v>0</v>
      </c>
      <c r="AZ16" s="176">
        <f t="shared" si="1"/>
        <v>0</v>
      </c>
      <c r="BA16" s="176">
        <f t="shared" si="2"/>
        <v>0</v>
      </c>
      <c r="BB16" s="176">
        <v>0</v>
      </c>
      <c r="BC16" s="176">
        <v>0</v>
      </c>
      <c r="BD16" s="176">
        <v>0</v>
      </c>
      <c r="BE16" s="176">
        <v>0</v>
      </c>
      <c r="BF16" s="176">
        <f t="shared" si="3"/>
        <v>1137254</v>
      </c>
      <c r="BG16" s="176">
        <v>880000</v>
      </c>
      <c r="BH16" s="176" t="s">
        <v>2287</v>
      </c>
      <c r="BI16" s="176" t="s">
        <v>2260</v>
      </c>
      <c r="BJ16" s="176" t="s">
        <v>2260</v>
      </c>
      <c r="BK16" s="176">
        <v>0</v>
      </c>
      <c r="BL16" s="176">
        <f>50000+2100+3000+25000+100000+50000+27154</f>
        <v>257254</v>
      </c>
      <c r="BM16" s="176">
        <f t="shared" si="4"/>
        <v>0</v>
      </c>
      <c r="BN16" s="178"/>
      <c r="BO16" s="176"/>
      <c r="BP16" s="176"/>
      <c r="BQ16" s="176"/>
      <c r="BR16" s="176"/>
      <c r="BS16" s="176"/>
      <c r="BT16" s="176"/>
      <c r="BU16" s="180"/>
      <c r="BV16" s="180"/>
      <c r="BW16" s="180"/>
      <c r="BX16" s="180">
        <v>0</v>
      </c>
      <c r="BY16" s="180">
        <v>0</v>
      </c>
      <c r="BZ16" s="180">
        <v>0</v>
      </c>
      <c r="CA16" s="180" t="str">
        <f t="shared" si="5"/>
        <v>NO</v>
      </c>
      <c r="CB16" s="180"/>
      <c r="CC16" s="180"/>
      <c r="CD16" s="180"/>
      <c r="CE16" s="180"/>
      <c r="CF16" s="180"/>
      <c r="CG16" s="181"/>
    </row>
    <row r="17" spans="1:85" s="182" customFormat="1" ht="15.75" hidden="1" customHeight="1" x14ac:dyDescent="0.3">
      <c r="A17" s="176">
        <v>136</v>
      </c>
      <c r="B17" s="176" t="s">
        <v>2749</v>
      </c>
      <c r="C17" s="176">
        <v>823421</v>
      </c>
      <c r="D17" s="177" t="s">
        <v>2750</v>
      </c>
      <c r="E17" s="178">
        <v>45469</v>
      </c>
      <c r="F17" s="178">
        <v>45470</v>
      </c>
      <c r="G17" s="176" t="s">
        <v>260</v>
      </c>
      <c r="H17" s="176" t="s">
        <v>260</v>
      </c>
      <c r="I17" s="176" t="s">
        <v>2249</v>
      </c>
      <c r="J17" s="176" t="s">
        <v>1636</v>
      </c>
      <c r="K17" s="176"/>
      <c r="L17" s="176"/>
      <c r="M17" s="178" t="s">
        <v>2263</v>
      </c>
      <c r="N17" s="178" t="s">
        <v>2263</v>
      </c>
      <c r="O17" s="176" t="s">
        <v>2264</v>
      </c>
      <c r="P17" s="176">
        <v>940734</v>
      </c>
      <c r="Q17" s="176" t="s">
        <v>2306</v>
      </c>
      <c r="R17" s="176" t="s">
        <v>2751</v>
      </c>
      <c r="S17" s="176" t="s">
        <v>2299</v>
      </c>
      <c r="T17" s="179" t="s">
        <v>3090</v>
      </c>
      <c r="U17" s="179" t="s">
        <v>2299</v>
      </c>
      <c r="V17" s="176">
        <v>1078000</v>
      </c>
      <c r="W17" s="176">
        <v>0</v>
      </c>
      <c r="X17" s="176">
        <v>28359</v>
      </c>
      <c r="Y17" s="176">
        <v>18325</v>
      </c>
      <c r="Z17" s="176">
        <v>500</v>
      </c>
      <c r="AA17" s="176" t="s">
        <v>2260</v>
      </c>
      <c r="AB17" s="176">
        <v>5000</v>
      </c>
      <c r="AC17" s="176">
        <v>0</v>
      </c>
      <c r="AD17" s="176">
        <v>10789</v>
      </c>
      <c r="AE17" s="176">
        <v>0</v>
      </c>
      <c r="AF17" s="176">
        <v>25885</v>
      </c>
      <c r="AG17" s="176">
        <v>0</v>
      </c>
      <c r="AH17" s="176">
        <v>0</v>
      </c>
      <c r="AI17" s="176">
        <v>0</v>
      </c>
      <c r="AJ17" s="176">
        <v>0</v>
      </c>
      <c r="AK17" s="176">
        <v>0</v>
      </c>
      <c r="AL17" s="176">
        <v>0</v>
      </c>
      <c r="AM17" s="176">
        <v>0</v>
      </c>
      <c r="AN17" s="176">
        <v>0</v>
      </c>
      <c r="AO17" s="176">
        <v>0</v>
      </c>
      <c r="AP17" s="176">
        <v>0</v>
      </c>
      <c r="AQ17" s="176">
        <v>0</v>
      </c>
      <c r="AR17" s="176">
        <v>0</v>
      </c>
      <c r="AS17" s="176">
        <v>0</v>
      </c>
      <c r="AT17" s="176">
        <v>0</v>
      </c>
      <c r="AU17" s="176">
        <v>0</v>
      </c>
      <c r="AV17" s="176">
        <v>0</v>
      </c>
      <c r="AW17" s="176"/>
      <c r="AX17" s="176">
        <v>0</v>
      </c>
      <c r="AY17" s="176">
        <f t="shared" si="0"/>
        <v>0</v>
      </c>
      <c r="AZ17" s="176">
        <f t="shared" si="1"/>
        <v>0</v>
      </c>
      <c r="BA17" s="176">
        <f t="shared" si="2"/>
        <v>0</v>
      </c>
      <c r="BB17" s="176">
        <v>0</v>
      </c>
      <c r="BC17" s="176">
        <v>0</v>
      </c>
      <c r="BD17" s="176">
        <v>0</v>
      </c>
      <c r="BE17" s="176">
        <v>0</v>
      </c>
      <c r="BF17" s="176">
        <f t="shared" si="3"/>
        <v>1166858</v>
      </c>
      <c r="BG17" s="176">
        <v>940734</v>
      </c>
      <c r="BH17" s="176" t="s">
        <v>2583</v>
      </c>
      <c r="BI17" s="176" t="s">
        <v>2260</v>
      </c>
      <c r="BJ17" s="176" t="s">
        <v>2260</v>
      </c>
      <c r="BK17" s="176">
        <v>0</v>
      </c>
      <c r="BL17" s="176">
        <f>100000+115000</f>
        <v>215000</v>
      </c>
      <c r="BM17" s="176">
        <f t="shared" si="4"/>
        <v>11124</v>
      </c>
      <c r="BN17" s="178">
        <v>45470</v>
      </c>
      <c r="BO17" s="176"/>
      <c r="BP17" s="176"/>
      <c r="BQ17" s="176"/>
      <c r="BR17" s="176"/>
      <c r="BS17" s="176"/>
      <c r="BT17" s="176"/>
      <c r="BU17" s="180"/>
      <c r="BV17" s="180"/>
      <c r="BW17" s="180"/>
      <c r="BX17" s="180">
        <v>0</v>
      </c>
      <c r="BY17" s="180">
        <v>0</v>
      </c>
      <c r="BZ17" s="180">
        <v>0</v>
      </c>
      <c r="CA17" s="180" t="str">
        <f t="shared" si="5"/>
        <v>NO</v>
      </c>
      <c r="CB17" s="180"/>
      <c r="CC17" s="180"/>
      <c r="CD17" s="180"/>
      <c r="CE17" s="180"/>
      <c r="CF17" s="180"/>
      <c r="CG17" s="181"/>
    </row>
    <row r="18" spans="1:85" s="182" customFormat="1" ht="15.75" hidden="1" customHeight="1" x14ac:dyDescent="0.3">
      <c r="A18" s="176">
        <v>152</v>
      </c>
      <c r="B18" s="176" t="s">
        <v>2798</v>
      </c>
      <c r="C18" s="176">
        <v>126575</v>
      </c>
      <c r="D18" s="177" t="s">
        <v>2799</v>
      </c>
      <c r="E18" s="178">
        <v>45471</v>
      </c>
      <c r="F18" s="178">
        <v>45471</v>
      </c>
      <c r="G18" s="176" t="s">
        <v>260</v>
      </c>
      <c r="H18" s="176" t="s">
        <v>260</v>
      </c>
      <c r="I18" s="176" t="s">
        <v>2249</v>
      </c>
      <c r="J18" s="176" t="s">
        <v>1685</v>
      </c>
      <c r="K18" s="176"/>
      <c r="L18" s="176"/>
      <c r="M18" s="178" t="s">
        <v>2304</v>
      </c>
      <c r="N18" s="178" t="s">
        <v>2304</v>
      </c>
      <c r="O18" s="176" t="s">
        <v>2506</v>
      </c>
      <c r="P18" s="176">
        <v>500000</v>
      </c>
      <c r="Q18" s="176" t="s">
        <v>2327</v>
      </c>
      <c r="R18" s="176" t="s">
        <v>260</v>
      </c>
      <c r="S18" s="176" t="s">
        <v>2299</v>
      </c>
      <c r="T18" s="179" t="s">
        <v>3090</v>
      </c>
      <c r="U18" s="179" t="s">
        <v>2299</v>
      </c>
      <c r="V18" s="176">
        <v>648742</v>
      </c>
      <c r="W18" s="176">
        <v>59570</v>
      </c>
      <c r="X18" s="176">
        <v>26500</v>
      </c>
      <c r="Y18" s="176">
        <v>11033</v>
      </c>
      <c r="Z18" s="176">
        <v>500</v>
      </c>
      <c r="AA18" s="176" t="s">
        <v>2260</v>
      </c>
      <c r="AB18" s="176">
        <v>0</v>
      </c>
      <c r="AC18" s="176">
        <v>3634</v>
      </c>
      <c r="AD18" s="176">
        <v>0</v>
      </c>
      <c r="AE18" s="176">
        <v>0</v>
      </c>
      <c r="AF18" s="176">
        <v>50290</v>
      </c>
      <c r="AG18" s="176">
        <v>0</v>
      </c>
      <c r="AH18" s="176">
        <v>0</v>
      </c>
      <c r="AI18" s="176">
        <v>0</v>
      </c>
      <c r="AJ18" s="176">
        <v>0</v>
      </c>
      <c r="AK18" s="176">
        <v>0</v>
      </c>
      <c r="AL18" s="176">
        <v>0</v>
      </c>
      <c r="AM18" s="176">
        <v>0</v>
      </c>
      <c r="AN18" s="176">
        <v>0</v>
      </c>
      <c r="AO18" s="176">
        <v>0</v>
      </c>
      <c r="AP18" s="176">
        <v>0</v>
      </c>
      <c r="AQ18" s="176">
        <v>0</v>
      </c>
      <c r="AR18" s="176">
        <v>0</v>
      </c>
      <c r="AS18" s="176">
        <v>0</v>
      </c>
      <c r="AT18" s="176">
        <v>0</v>
      </c>
      <c r="AU18" s="176">
        <v>5000</v>
      </c>
      <c r="AV18" s="176">
        <v>0</v>
      </c>
      <c r="AW18" s="176"/>
      <c r="AX18" s="176">
        <v>3269</v>
      </c>
      <c r="AY18" s="176">
        <f t="shared" si="0"/>
        <v>6269</v>
      </c>
      <c r="AZ18" s="176">
        <f t="shared" si="1"/>
        <v>8269</v>
      </c>
      <c r="BA18" s="176">
        <f t="shared" si="2"/>
        <v>6269</v>
      </c>
      <c r="BB18" s="176">
        <v>0</v>
      </c>
      <c r="BC18" s="176">
        <v>2000</v>
      </c>
      <c r="BD18" s="176">
        <v>0</v>
      </c>
      <c r="BE18" s="176">
        <v>0</v>
      </c>
      <c r="BF18" s="176">
        <f t="shared" si="3"/>
        <v>792000</v>
      </c>
      <c r="BG18" s="176">
        <v>481300</v>
      </c>
      <c r="BH18" s="176" t="s">
        <v>39</v>
      </c>
      <c r="BI18" s="176" t="s">
        <v>2253</v>
      </c>
      <c r="BJ18" s="176" t="s">
        <v>2253</v>
      </c>
      <c r="BK18" s="176" t="s">
        <v>2800</v>
      </c>
      <c r="BL18" s="176">
        <f>2100+50000+258600</f>
        <v>310700</v>
      </c>
      <c r="BM18" s="176">
        <f t="shared" si="4"/>
        <v>0</v>
      </c>
      <c r="BN18" s="178"/>
      <c r="BO18" s="176"/>
      <c r="BP18" s="176"/>
      <c r="BQ18" s="176"/>
      <c r="BR18" s="176"/>
      <c r="BS18" s="176"/>
      <c r="BT18" s="176"/>
      <c r="BU18" s="180"/>
      <c r="BV18" s="180"/>
      <c r="BW18" s="180"/>
      <c r="BX18" s="180">
        <v>0</v>
      </c>
      <c r="BY18" s="180">
        <v>0</v>
      </c>
      <c r="BZ18" s="180">
        <v>0</v>
      </c>
      <c r="CA18" s="180" t="str">
        <f t="shared" si="5"/>
        <v>NO</v>
      </c>
      <c r="CB18" s="180"/>
      <c r="CC18" s="180"/>
      <c r="CD18" s="180"/>
      <c r="CE18" s="180"/>
      <c r="CF18" s="180"/>
      <c r="CG18" s="181"/>
    </row>
    <row r="19" spans="1:85" s="182" customFormat="1" ht="15.75" hidden="1" customHeight="1" x14ac:dyDescent="0.3">
      <c r="A19" s="176">
        <v>168</v>
      </c>
      <c r="B19" s="176" t="s">
        <v>2845</v>
      </c>
      <c r="C19" s="176">
        <v>295507</v>
      </c>
      <c r="D19" s="177" t="s">
        <v>2846</v>
      </c>
      <c r="E19" s="178">
        <v>45473</v>
      </c>
      <c r="F19" s="178">
        <v>45444</v>
      </c>
      <c r="G19" s="176" t="s">
        <v>260</v>
      </c>
      <c r="H19" s="176" t="s">
        <v>260</v>
      </c>
      <c r="I19" s="176" t="s">
        <v>2249</v>
      </c>
      <c r="J19" s="176" t="s">
        <v>1715</v>
      </c>
      <c r="K19" s="176"/>
      <c r="L19" s="176"/>
      <c r="M19" s="178" t="s">
        <v>2296</v>
      </c>
      <c r="N19" s="178" t="s">
        <v>2993</v>
      </c>
      <c r="O19" s="176" t="s">
        <v>2847</v>
      </c>
      <c r="P19" s="176">
        <v>0</v>
      </c>
      <c r="Q19" s="176" t="s">
        <v>77</v>
      </c>
      <c r="R19" s="176" t="s">
        <v>260</v>
      </c>
      <c r="S19" s="176" t="s">
        <v>2299</v>
      </c>
      <c r="T19" s="179" t="s">
        <v>3090</v>
      </c>
      <c r="U19" s="179" t="s">
        <v>2299</v>
      </c>
      <c r="V19" s="176">
        <v>705385</v>
      </c>
      <c r="W19" s="176">
        <v>64531</v>
      </c>
      <c r="X19" s="176">
        <v>21500</v>
      </c>
      <c r="Y19" s="176">
        <v>11057</v>
      </c>
      <c r="Z19" s="176">
        <v>500</v>
      </c>
      <c r="AA19" s="176" t="s">
        <v>2253</v>
      </c>
      <c r="AB19" s="176">
        <v>0</v>
      </c>
      <c r="AC19" s="176">
        <v>3635</v>
      </c>
      <c r="AD19" s="176">
        <v>0</v>
      </c>
      <c r="AE19" s="176">
        <v>0</v>
      </c>
      <c r="AF19" s="176">
        <v>19360</v>
      </c>
      <c r="AG19" s="176">
        <v>0</v>
      </c>
      <c r="AH19" s="176">
        <v>0</v>
      </c>
      <c r="AI19" s="176">
        <v>0</v>
      </c>
      <c r="AJ19" s="176">
        <v>20000</v>
      </c>
      <c r="AK19" s="176">
        <v>0</v>
      </c>
      <c r="AL19" s="176">
        <v>0</v>
      </c>
      <c r="AM19" s="176">
        <v>0</v>
      </c>
      <c r="AN19" s="176">
        <v>0</v>
      </c>
      <c r="AO19" s="176">
        <v>0</v>
      </c>
      <c r="AP19" s="176">
        <v>0</v>
      </c>
      <c r="AQ19" s="176">
        <v>0</v>
      </c>
      <c r="AR19" s="176">
        <v>20000</v>
      </c>
      <c r="AS19" s="176">
        <v>0</v>
      </c>
      <c r="AT19" s="176">
        <v>0</v>
      </c>
      <c r="AU19" s="176">
        <v>0</v>
      </c>
      <c r="AV19" s="176">
        <v>0</v>
      </c>
      <c r="AW19" s="176"/>
      <c r="AX19" s="176">
        <v>0</v>
      </c>
      <c r="AY19" s="176">
        <f t="shared" si="0"/>
        <v>-2000</v>
      </c>
      <c r="AZ19" s="176">
        <f t="shared" si="1"/>
        <v>0</v>
      </c>
      <c r="BA19" s="176">
        <f t="shared" si="2"/>
        <v>0</v>
      </c>
      <c r="BB19" s="176">
        <v>0</v>
      </c>
      <c r="BC19" s="176">
        <v>2000</v>
      </c>
      <c r="BD19" s="176">
        <v>0</v>
      </c>
      <c r="BE19" s="176">
        <v>0</v>
      </c>
      <c r="BF19" s="176">
        <f t="shared" si="3"/>
        <v>785968</v>
      </c>
      <c r="BG19" s="176">
        <v>0</v>
      </c>
      <c r="BH19" s="176" t="s">
        <v>2287</v>
      </c>
      <c r="BI19" s="176" t="s">
        <v>2260</v>
      </c>
      <c r="BJ19" s="176" t="s">
        <v>2260</v>
      </c>
      <c r="BK19" s="176">
        <v>0</v>
      </c>
      <c r="BL19" s="176">
        <f>1100+17900+19360</f>
        <v>38360</v>
      </c>
      <c r="BM19" s="176">
        <f t="shared" si="4"/>
        <v>747608</v>
      </c>
      <c r="BN19" s="178">
        <v>45474</v>
      </c>
      <c r="BO19" s="176"/>
      <c r="BP19" s="176"/>
      <c r="BQ19" s="176"/>
      <c r="BR19" s="176"/>
      <c r="BS19" s="176"/>
      <c r="BT19" s="176"/>
      <c r="BU19" s="180"/>
      <c r="BV19" s="180"/>
      <c r="BW19" s="180"/>
      <c r="BX19" s="180">
        <v>0</v>
      </c>
      <c r="BY19" s="180">
        <v>0</v>
      </c>
      <c r="BZ19" s="180">
        <v>0</v>
      </c>
      <c r="CA19" s="180" t="str">
        <f t="shared" si="5"/>
        <v>NO</v>
      </c>
      <c r="CB19" s="180"/>
      <c r="CC19" s="180"/>
      <c r="CD19" s="180"/>
      <c r="CE19" s="180"/>
      <c r="CF19" s="180"/>
      <c r="CG19" s="181"/>
    </row>
    <row r="20" spans="1:85" s="167" customFormat="1" ht="15.75" hidden="1" customHeight="1" x14ac:dyDescent="0.3">
      <c r="A20" s="29">
        <v>83</v>
      </c>
      <c r="B20" s="29" t="s">
        <v>2574</v>
      </c>
      <c r="C20" s="29">
        <v>813796</v>
      </c>
      <c r="D20" s="161" t="s">
        <v>2575</v>
      </c>
      <c r="E20" s="162">
        <v>45461</v>
      </c>
      <c r="F20" s="162">
        <v>45463</v>
      </c>
      <c r="G20" s="29" t="s">
        <v>2320</v>
      </c>
      <c r="H20" s="29" t="s">
        <v>2320</v>
      </c>
      <c r="I20" s="29" t="s">
        <v>2249</v>
      </c>
      <c r="J20" s="29" t="s">
        <v>2576</v>
      </c>
      <c r="K20" s="29"/>
      <c r="L20" s="29"/>
      <c r="M20" s="162" t="s">
        <v>2263</v>
      </c>
      <c r="N20" s="162" t="s">
        <v>2263</v>
      </c>
      <c r="O20" s="29" t="s">
        <v>2264</v>
      </c>
      <c r="P20" s="29">
        <v>970000</v>
      </c>
      <c r="Q20" s="29" t="s">
        <v>2284</v>
      </c>
      <c r="R20" s="29" t="s">
        <v>285</v>
      </c>
      <c r="S20" s="29" t="s">
        <v>2577</v>
      </c>
      <c r="T20" s="163" t="s">
        <v>3065</v>
      </c>
      <c r="U20" s="163" t="s">
        <v>2323</v>
      </c>
      <c r="V20" s="29">
        <v>1078885</v>
      </c>
      <c r="W20" s="29">
        <v>115988</v>
      </c>
      <c r="X20" s="29">
        <v>39320</v>
      </c>
      <c r="Y20" s="29">
        <v>18325</v>
      </c>
      <c r="Z20" s="29">
        <v>500</v>
      </c>
      <c r="AA20" s="29" t="s">
        <v>2253</v>
      </c>
      <c r="AB20" s="29">
        <v>0</v>
      </c>
      <c r="AC20" s="29">
        <v>5216</v>
      </c>
      <c r="AD20" s="29">
        <v>10789</v>
      </c>
      <c r="AE20" s="29">
        <v>0</v>
      </c>
      <c r="AF20" s="29">
        <v>41900</v>
      </c>
      <c r="AG20" s="29">
        <v>0</v>
      </c>
      <c r="AH20" s="29">
        <v>0</v>
      </c>
      <c r="AI20" s="29">
        <v>0</v>
      </c>
      <c r="AJ20" s="29">
        <v>0</v>
      </c>
      <c r="AK20" s="29">
        <v>0</v>
      </c>
      <c r="AL20" s="29">
        <v>0</v>
      </c>
      <c r="AM20" s="29">
        <v>0</v>
      </c>
      <c r="AN20" s="29">
        <v>0</v>
      </c>
      <c r="AO20" s="29">
        <v>0</v>
      </c>
      <c r="AP20" s="29">
        <v>0</v>
      </c>
      <c r="AQ20" s="29">
        <v>0</v>
      </c>
      <c r="AR20" s="29">
        <v>0</v>
      </c>
      <c r="AS20" s="29">
        <v>0</v>
      </c>
      <c r="AT20" s="29">
        <v>0</v>
      </c>
      <c r="AU20" s="29">
        <v>0</v>
      </c>
      <c r="AV20" s="29">
        <v>0</v>
      </c>
      <c r="AW20" s="29"/>
      <c r="AX20" s="29">
        <v>0</v>
      </c>
      <c r="AY20" s="29">
        <f t="shared" si="0"/>
        <v>-2000</v>
      </c>
      <c r="AZ20" s="29">
        <f t="shared" si="1"/>
        <v>0</v>
      </c>
      <c r="BA20" s="29">
        <f t="shared" si="2"/>
        <v>0</v>
      </c>
      <c r="BB20" s="29">
        <v>0</v>
      </c>
      <c r="BC20" s="29">
        <v>2000</v>
      </c>
      <c r="BD20" s="29">
        <v>0</v>
      </c>
      <c r="BE20" s="29">
        <v>0</v>
      </c>
      <c r="BF20" s="29">
        <f t="shared" si="3"/>
        <v>1310923</v>
      </c>
      <c r="BG20" s="29">
        <v>1190000</v>
      </c>
      <c r="BH20" s="29" t="s">
        <v>2287</v>
      </c>
      <c r="BI20" s="29" t="s">
        <v>2253</v>
      </c>
      <c r="BJ20" s="29" t="s">
        <v>2253</v>
      </c>
      <c r="BK20" s="29">
        <v>0</v>
      </c>
      <c r="BL20" s="29">
        <f>11000+80000+5000+24923</f>
        <v>120923</v>
      </c>
      <c r="BM20" s="29">
        <f t="shared" si="4"/>
        <v>0</v>
      </c>
      <c r="BN20" s="162"/>
      <c r="BO20" s="29"/>
      <c r="BP20" s="29"/>
      <c r="BQ20" s="29"/>
      <c r="BR20" s="29"/>
      <c r="BS20" s="29"/>
      <c r="BT20" s="29"/>
      <c r="BU20" s="165"/>
      <c r="BV20" s="165"/>
      <c r="BW20" s="165"/>
      <c r="BX20" s="165">
        <v>0</v>
      </c>
      <c r="BY20" s="165">
        <v>0</v>
      </c>
      <c r="BZ20" s="165">
        <v>0</v>
      </c>
      <c r="CA20" s="165" t="str">
        <f t="shared" si="5"/>
        <v>YES</v>
      </c>
      <c r="CB20" s="165"/>
      <c r="CC20" s="165"/>
      <c r="CD20" s="165"/>
      <c r="CE20" s="165"/>
      <c r="CF20" s="165"/>
      <c r="CG20" s="166"/>
    </row>
    <row r="21" spans="1:85" s="167" customFormat="1" ht="15.75" hidden="1" customHeight="1" x14ac:dyDescent="0.3">
      <c r="A21" s="29">
        <v>140</v>
      </c>
      <c r="B21" s="29" t="s">
        <v>2763</v>
      </c>
      <c r="C21" s="29" t="s">
        <v>354</v>
      </c>
      <c r="D21" s="161" t="s">
        <v>2764</v>
      </c>
      <c r="E21" s="162">
        <v>45469</v>
      </c>
      <c r="F21" s="162"/>
      <c r="G21" s="29" t="s">
        <v>2320</v>
      </c>
      <c r="H21" s="29" t="s">
        <v>2320</v>
      </c>
      <c r="I21" s="29" t="s">
        <v>2249</v>
      </c>
      <c r="J21" s="29"/>
      <c r="K21" s="29"/>
      <c r="L21" s="29"/>
      <c r="M21" s="162" t="s">
        <v>310</v>
      </c>
      <c r="N21" s="162" t="s">
        <v>310</v>
      </c>
      <c r="O21" s="29" t="s">
        <v>2333</v>
      </c>
      <c r="P21" s="29">
        <v>550000</v>
      </c>
      <c r="Q21" s="29" t="s">
        <v>2271</v>
      </c>
      <c r="R21" s="29" t="s">
        <v>1930</v>
      </c>
      <c r="S21" s="29" t="s">
        <v>2577</v>
      </c>
      <c r="T21" s="163" t="s">
        <v>3065</v>
      </c>
      <c r="U21" s="163" t="s">
        <v>2323</v>
      </c>
      <c r="V21" s="29">
        <v>561885</v>
      </c>
      <c r="W21" s="29">
        <v>53351</v>
      </c>
      <c r="X21" s="29">
        <v>25748</v>
      </c>
      <c r="Y21" s="29">
        <v>8744</v>
      </c>
      <c r="Z21" s="29">
        <v>500</v>
      </c>
      <c r="AA21" s="29" t="s">
        <v>2253</v>
      </c>
      <c r="AB21" s="29">
        <v>0</v>
      </c>
      <c r="AC21" s="29">
        <v>2726</v>
      </c>
      <c r="AD21" s="29">
        <v>0</v>
      </c>
      <c r="AE21" s="29">
        <v>0</v>
      </c>
      <c r="AF21" s="29">
        <v>30000</v>
      </c>
      <c r="AG21" s="29">
        <v>0</v>
      </c>
      <c r="AH21" s="29">
        <v>0</v>
      </c>
      <c r="AI21" s="29">
        <v>0</v>
      </c>
      <c r="AJ21" s="29">
        <v>10000</v>
      </c>
      <c r="AK21" s="29">
        <v>0</v>
      </c>
      <c r="AL21" s="29">
        <v>0</v>
      </c>
      <c r="AM21" s="29">
        <v>0</v>
      </c>
      <c r="AN21" s="29">
        <v>0</v>
      </c>
      <c r="AO21" s="29">
        <v>0</v>
      </c>
      <c r="AP21" s="29">
        <v>0</v>
      </c>
      <c r="AQ21" s="29">
        <v>2100</v>
      </c>
      <c r="AR21" s="29">
        <v>15000</v>
      </c>
      <c r="AS21" s="29">
        <v>0</v>
      </c>
      <c r="AT21" s="29">
        <v>0</v>
      </c>
      <c r="AU21" s="29">
        <v>0</v>
      </c>
      <c r="AV21" s="29">
        <v>0</v>
      </c>
      <c r="AW21" s="29"/>
      <c r="AX21" s="29">
        <v>18854</v>
      </c>
      <c r="AY21" s="29">
        <f t="shared" si="0"/>
        <v>16854</v>
      </c>
      <c r="AZ21" s="29">
        <f t="shared" si="1"/>
        <v>18854</v>
      </c>
      <c r="BA21" s="29">
        <f t="shared" si="2"/>
        <v>16854</v>
      </c>
      <c r="BB21" s="29">
        <v>0</v>
      </c>
      <c r="BC21" s="29">
        <v>2000</v>
      </c>
      <c r="BD21" s="29">
        <v>0</v>
      </c>
      <c r="BE21" s="29">
        <v>0</v>
      </c>
      <c r="BF21" s="29">
        <f t="shared" si="3"/>
        <v>637000</v>
      </c>
      <c r="BG21" s="29">
        <v>530000</v>
      </c>
      <c r="BH21" s="29" t="s">
        <v>39</v>
      </c>
      <c r="BI21" s="29" t="s">
        <v>2253</v>
      </c>
      <c r="BJ21" s="29" t="s">
        <v>2253</v>
      </c>
      <c r="BK21" s="29">
        <v>13578162</v>
      </c>
      <c r="BL21" s="29">
        <f>100000</f>
        <v>100000</v>
      </c>
      <c r="BM21" s="29">
        <f t="shared" si="4"/>
        <v>7000</v>
      </c>
      <c r="BN21" s="162"/>
      <c r="BO21" s="29"/>
      <c r="BP21" s="29"/>
      <c r="BQ21" s="29"/>
      <c r="BR21" s="29"/>
      <c r="BS21" s="29"/>
      <c r="BT21" s="29"/>
      <c r="BU21" s="165"/>
      <c r="BV21" s="165"/>
      <c r="BW21" s="165"/>
      <c r="BX21" s="165">
        <v>0</v>
      </c>
      <c r="BY21" s="165">
        <v>0</v>
      </c>
      <c r="BZ21" s="165">
        <v>0</v>
      </c>
      <c r="CA21" s="165" t="str">
        <f t="shared" si="5"/>
        <v>NO</v>
      </c>
      <c r="CB21" s="165"/>
      <c r="CC21" s="165"/>
      <c r="CD21" s="165"/>
      <c r="CE21" s="165"/>
      <c r="CF21" s="165"/>
      <c r="CG21" s="166"/>
    </row>
    <row r="22" spans="1:85" s="167" customFormat="1" ht="15.75" hidden="1" customHeight="1" x14ac:dyDescent="0.3">
      <c r="A22" s="29">
        <v>159</v>
      </c>
      <c r="B22" s="29" t="s">
        <v>2821</v>
      </c>
      <c r="C22" s="29" t="s">
        <v>366</v>
      </c>
      <c r="D22" s="161" t="s">
        <v>2822</v>
      </c>
      <c r="E22" s="162">
        <v>45470</v>
      </c>
      <c r="F22" s="162">
        <v>45473</v>
      </c>
      <c r="G22" s="29" t="s">
        <v>2320</v>
      </c>
      <c r="H22" s="29" t="s">
        <v>2320</v>
      </c>
      <c r="I22" s="29" t="s">
        <v>2249</v>
      </c>
      <c r="J22" s="29" t="s">
        <v>364</v>
      </c>
      <c r="K22" s="29"/>
      <c r="L22" s="29"/>
      <c r="M22" s="162" t="s">
        <v>310</v>
      </c>
      <c r="N22" s="162" t="s">
        <v>310</v>
      </c>
      <c r="O22" s="29" t="s">
        <v>2823</v>
      </c>
      <c r="P22" s="29">
        <v>585000</v>
      </c>
      <c r="Q22" s="29" t="s">
        <v>2271</v>
      </c>
      <c r="R22" s="29" t="s">
        <v>285</v>
      </c>
      <c r="S22" s="29" t="s">
        <v>2577</v>
      </c>
      <c r="T22" s="163" t="s">
        <v>3065</v>
      </c>
      <c r="U22" s="163" t="s">
        <v>2323</v>
      </c>
      <c r="V22" s="29">
        <v>568885</v>
      </c>
      <c r="W22" s="29">
        <v>53911</v>
      </c>
      <c r="X22" s="29">
        <v>26064</v>
      </c>
      <c r="Y22" s="29">
        <v>8850</v>
      </c>
      <c r="Z22" s="29">
        <v>500</v>
      </c>
      <c r="AA22" s="29" t="s">
        <v>2253</v>
      </c>
      <c r="AB22" s="29">
        <v>0</v>
      </c>
      <c r="AC22" s="29">
        <v>2750</v>
      </c>
      <c r="AD22" s="29">
        <v>0</v>
      </c>
      <c r="AE22" s="29">
        <v>0</v>
      </c>
      <c r="AF22" s="29">
        <v>30000</v>
      </c>
      <c r="AG22" s="29">
        <v>0</v>
      </c>
      <c r="AH22" s="29">
        <v>0</v>
      </c>
      <c r="AI22" s="29">
        <v>0</v>
      </c>
      <c r="AJ22" s="29">
        <v>10000</v>
      </c>
      <c r="AK22" s="29">
        <v>0</v>
      </c>
      <c r="AL22" s="29">
        <v>0</v>
      </c>
      <c r="AM22" s="29">
        <v>0</v>
      </c>
      <c r="AN22" s="29">
        <v>0</v>
      </c>
      <c r="AO22" s="29">
        <v>0</v>
      </c>
      <c r="AP22" s="29">
        <v>0</v>
      </c>
      <c r="AQ22" s="29">
        <v>2100</v>
      </c>
      <c r="AR22" s="29">
        <v>15000</v>
      </c>
      <c r="AS22" s="29">
        <v>0</v>
      </c>
      <c r="AT22" s="29">
        <v>0</v>
      </c>
      <c r="AU22" s="29">
        <v>0</v>
      </c>
      <c r="AV22" s="29">
        <v>0</v>
      </c>
      <c r="AW22" s="29"/>
      <c r="AX22" s="29">
        <v>15000</v>
      </c>
      <c r="AY22" s="29">
        <f t="shared" si="0"/>
        <v>13000</v>
      </c>
      <c r="AZ22" s="29">
        <f t="shared" si="1"/>
        <v>15000</v>
      </c>
      <c r="BA22" s="29">
        <f t="shared" si="2"/>
        <v>13000</v>
      </c>
      <c r="BB22" s="29">
        <v>0</v>
      </c>
      <c r="BC22" s="29">
        <v>2000</v>
      </c>
      <c r="BD22" s="29">
        <v>0</v>
      </c>
      <c r="BE22" s="29">
        <v>0</v>
      </c>
      <c r="BF22" s="29">
        <f t="shared" si="3"/>
        <v>648860</v>
      </c>
      <c r="BG22" s="29">
        <v>561419</v>
      </c>
      <c r="BH22" s="29" t="s">
        <v>39</v>
      </c>
      <c r="BI22" s="29" t="s">
        <v>2253</v>
      </c>
      <c r="BJ22" s="29" t="s">
        <v>2253</v>
      </c>
      <c r="BK22" s="29">
        <v>13604219</v>
      </c>
      <c r="BL22" s="29">
        <v>86025</v>
      </c>
      <c r="BM22" s="29">
        <f t="shared" si="4"/>
        <v>1416</v>
      </c>
      <c r="BN22" s="162"/>
      <c r="BO22" s="29"/>
      <c r="BP22" s="29"/>
      <c r="BQ22" s="29"/>
      <c r="BR22" s="29"/>
      <c r="BS22" s="29"/>
      <c r="BT22" s="29"/>
      <c r="BU22" s="165"/>
      <c r="BV22" s="165"/>
      <c r="BW22" s="165"/>
      <c r="BX22" s="165">
        <v>0</v>
      </c>
      <c r="BY22" s="165">
        <v>0</v>
      </c>
      <c r="BZ22" s="165">
        <v>0</v>
      </c>
      <c r="CA22" s="165" t="str">
        <f t="shared" si="5"/>
        <v>NO</v>
      </c>
      <c r="CB22" s="165"/>
      <c r="CC22" s="165"/>
      <c r="CD22" s="165"/>
      <c r="CE22" s="165"/>
      <c r="CF22" s="165"/>
      <c r="CG22" s="166"/>
    </row>
    <row r="23" spans="1:85" s="167" customFormat="1" ht="15.75" hidden="1" customHeight="1" x14ac:dyDescent="0.3">
      <c r="A23" s="29">
        <v>17</v>
      </c>
      <c r="B23" s="29" t="s">
        <v>2338</v>
      </c>
      <c r="C23" s="29">
        <v>429038</v>
      </c>
      <c r="D23" s="161" t="s">
        <v>2339</v>
      </c>
      <c r="E23" s="162">
        <v>45448</v>
      </c>
      <c r="F23" s="162">
        <v>45449</v>
      </c>
      <c r="G23" s="29" t="s">
        <v>2269</v>
      </c>
      <c r="H23" s="29" t="s">
        <v>2269</v>
      </c>
      <c r="I23" s="29" t="s">
        <v>2249</v>
      </c>
      <c r="J23" s="29" t="s">
        <v>2340</v>
      </c>
      <c r="K23" s="29"/>
      <c r="L23" s="29"/>
      <c r="M23" s="162" t="s">
        <v>2275</v>
      </c>
      <c r="N23" s="162" t="s">
        <v>2991</v>
      </c>
      <c r="O23" s="29" t="s">
        <v>2341</v>
      </c>
      <c r="P23" s="29">
        <v>700000</v>
      </c>
      <c r="Q23" s="29" t="s">
        <v>2277</v>
      </c>
      <c r="R23" s="29" t="s">
        <v>2342</v>
      </c>
      <c r="S23" s="29" t="s">
        <v>2343</v>
      </c>
      <c r="T23" s="163" t="s">
        <v>3083</v>
      </c>
      <c r="U23" s="163" t="s">
        <v>1299</v>
      </c>
      <c r="V23" s="29">
        <v>929885</v>
      </c>
      <c r="W23" s="29">
        <v>82091</v>
      </c>
      <c r="X23" s="29">
        <v>32500</v>
      </c>
      <c r="Y23" s="29">
        <v>15788</v>
      </c>
      <c r="Z23" s="29">
        <v>500</v>
      </c>
      <c r="AA23" s="29" t="s">
        <v>2253</v>
      </c>
      <c r="AB23" s="29">
        <v>0</v>
      </c>
      <c r="AC23" s="29">
        <v>0</v>
      </c>
      <c r="AD23" s="29">
        <v>0</v>
      </c>
      <c r="AE23" s="29">
        <v>0</v>
      </c>
      <c r="AF23" s="29">
        <v>46690</v>
      </c>
      <c r="AG23" s="29">
        <v>0</v>
      </c>
      <c r="AH23" s="29">
        <v>0</v>
      </c>
      <c r="AI23" s="29">
        <v>0</v>
      </c>
      <c r="AJ23" s="29">
        <v>0</v>
      </c>
      <c r="AK23" s="29">
        <v>0</v>
      </c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29">
        <v>5000</v>
      </c>
      <c r="AV23" s="29">
        <v>0</v>
      </c>
      <c r="AW23" s="29"/>
      <c r="AX23" s="29">
        <v>4764</v>
      </c>
      <c r="AY23" s="29">
        <f t="shared" si="0"/>
        <v>7764</v>
      </c>
      <c r="AZ23" s="29">
        <f t="shared" si="1"/>
        <v>9764</v>
      </c>
      <c r="BA23" s="29">
        <f t="shared" si="2"/>
        <v>7764</v>
      </c>
      <c r="BB23" s="29">
        <v>0</v>
      </c>
      <c r="BC23" s="29">
        <v>2000</v>
      </c>
      <c r="BD23" s="29">
        <v>0</v>
      </c>
      <c r="BE23" s="29">
        <v>0</v>
      </c>
      <c r="BF23" s="29">
        <f t="shared" si="3"/>
        <v>1097690</v>
      </c>
      <c r="BG23" s="29">
        <v>700000</v>
      </c>
      <c r="BH23" s="29" t="s">
        <v>2287</v>
      </c>
      <c r="BI23" s="29" t="s">
        <v>2253</v>
      </c>
      <c r="BJ23" s="29" t="s">
        <v>2253</v>
      </c>
      <c r="BK23" s="29">
        <v>0</v>
      </c>
      <c r="BL23" s="29">
        <f>5100+150000+99000+65000+78590</f>
        <v>397690</v>
      </c>
      <c r="BM23" s="29">
        <f t="shared" si="4"/>
        <v>0</v>
      </c>
      <c r="BN23" s="162"/>
      <c r="BO23" s="29"/>
      <c r="BP23" s="29"/>
      <c r="BQ23" s="29"/>
      <c r="BR23" s="29"/>
      <c r="BS23" s="29"/>
      <c r="BT23" s="29"/>
      <c r="BU23" s="165"/>
      <c r="BV23" s="165"/>
      <c r="BW23" s="165"/>
      <c r="BX23" s="165">
        <v>0</v>
      </c>
      <c r="BY23" s="165">
        <v>0</v>
      </c>
      <c r="BZ23" s="165">
        <v>0</v>
      </c>
      <c r="CA23" s="165" t="str">
        <f t="shared" si="5"/>
        <v>NO</v>
      </c>
      <c r="CB23" s="165"/>
      <c r="CC23" s="165"/>
      <c r="CD23" s="165"/>
      <c r="CE23" s="165"/>
      <c r="CF23" s="165"/>
      <c r="CG23" s="166"/>
    </row>
    <row r="24" spans="1:85" s="167" customFormat="1" ht="15.75" hidden="1" customHeight="1" x14ac:dyDescent="0.3">
      <c r="A24" s="29">
        <v>28</v>
      </c>
      <c r="B24" s="29" t="s">
        <v>2385</v>
      </c>
      <c r="C24" s="29" t="s">
        <v>1349</v>
      </c>
      <c r="D24" s="161" t="s">
        <v>2386</v>
      </c>
      <c r="E24" s="162">
        <v>45450</v>
      </c>
      <c r="F24" s="162">
        <v>45458</v>
      </c>
      <c r="G24" s="29" t="s">
        <v>2269</v>
      </c>
      <c r="H24" s="29" t="s">
        <v>2269</v>
      </c>
      <c r="I24" s="29" t="s">
        <v>2249</v>
      </c>
      <c r="J24" s="29" t="s">
        <v>1347</v>
      </c>
      <c r="K24" s="29"/>
      <c r="L24" s="29"/>
      <c r="M24" s="162" t="s">
        <v>2304</v>
      </c>
      <c r="N24" s="162" t="s">
        <v>2304</v>
      </c>
      <c r="O24" s="29" t="s">
        <v>2321</v>
      </c>
      <c r="P24" s="29">
        <v>644000</v>
      </c>
      <c r="Q24" s="29" t="s">
        <v>2251</v>
      </c>
      <c r="R24" s="29" t="s">
        <v>260</v>
      </c>
      <c r="S24" s="29" t="s">
        <v>2343</v>
      </c>
      <c r="T24" s="163" t="s">
        <v>3083</v>
      </c>
      <c r="U24" s="163" t="s">
        <v>1299</v>
      </c>
      <c r="V24" s="29">
        <v>715885</v>
      </c>
      <c r="W24" s="29">
        <v>64871</v>
      </c>
      <c r="X24" s="29">
        <v>26100</v>
      </c>
      <c r="Y24" s="29">
        <v>0</v>
      </c>
      <c r="Z24" s="29">
        <v>500</v>
      </c>
      <c r="AA24" s="29" t="s">
        <v>2253</v>
      </c>
      <c r="AB24" s="29">
        <v>0</v>
      </c>
      <c r="AC24" s="29">
        <v>0</v>
      </c>
      <c r="AD24" s="29">
        <v>0</v>
      </c>
      <c r="AE24" s="29">
        <v>0</v>
      </c>
      <c r="AF24" s="29">
        <v>26500</v>
      </c>
      <c r="AG24" s="29">
        <v>0</v>
      </c>
      <c r="AH24" s="29">
        <v>0</v>
      </c>
      <c r="AI24" s="29">
        <v>0</v>
      </c>
      <c r="AJ24" s="29">
        <v>10000</v>
      </c>
      <c r="AK24" s="29">
        <v>0</v>
      </c>
      <c r="AL24" s="29">
        <v>0</v>
      </c>
      <c r="AM24" s="29">
        <v>0</v>
      </c>
      <c r="AN24" s="29">
        <v>0</v>
      </c>
      <c r="AO24" s="29">
        <v>0</v>
      </c>
      <c r="AP24" s="29">
        <v>0</v>
      </c>
      <c r="AQ24" s="29">
        <v>0</v>
      </c>
      <c r="AR24" s="29">
        <v>5000</v>
      </c>
      <c r="AS24" s="29">
        <v>0</v>
      </c>
      <c r="AT24" s="29">
        <v>0</v>
      </c>
      <c r="AU24" s="29">
        <v>2000</v>
      </c>
      <c r="AV24" s="29">
        <v>0</v>
      </c>
      <c r="AW24" s="29"/>
      <c r="AX24" s="29">
        <v>5856</v>
      </c>
      <c r="AY24" s="29">
        <f t="shared" si="0"/>
        <v>5856</v>
      </c>
      <c r="AZ24" s="29">
        <f t="shared" si="1"/>
        <v>7856</v>
      </c>
      <c r="BA24" s="29">
        <f t="shared" si="2"/>
        <v>5856</v>
      </c>
      <c r="BB24" s="29">
        <v>0</v>
      </c>
      <c r="BC24" s="29">
        <v>2000</v>
      </c>
      <c r="BD24" s="29">
        <v>0</v>
      </c>
      <c r="BE24" s="29">
        <v>0</v>
      </c>
      <c r="BF24" s="29">
        <f t="shared" si="3"/>
        <v>811000</v>
      </c>
      <c r="BG24" s="29">
        <v>630481</v>
      </c>
      <c r="BH24" s="29" t="s">
        <v>39</v>
      </c>
      <c r="BI24" s="29" t="s">
        <v>2253</v>
      </c>
      <c r="BJ24" s="29" t="s">
        <v>2253</v>
      </c>
      <c r="BK24" s="29">
        <v>1304946</v>
      </c>
      <c r="BL24" s="29">
        <f>50000+519+30000</f>
        <v>80519</v>
      </c>
      <c r="BM24" s="29">
        <f t="shared" si="4"/>
        <v>100000</v>
      </c>
      <c r="BN24" s="162">
        <v>45453</v>
      </c>
      <c r="BO24" s="29"/>
      <c r="BP24" s="29"/>
      <c r="BQ24" s="29"/>
      <c r="BR24" s="29"/>
      <c r="BS24" s="29"/>
      <c r="BT24" s="29"/>
      <c r="BU24" s="165"/>
      <c r="BV24" s="165"/>
      <c r="BW24" s="165"/>
      <c r="BX24" s="165">
        <v>0</v>
      </c>
      <c r="BY24" s="165">
        <v>0</v>
      </c>
      <c r="BZ24" s="165">
        <v>0</v>
      </c>
      <c r="CA24" s="165" t="str">
        <f t="shared" si="5"/>
        <v>NO</v>
      </c>
      <c r="CB24" s="165"/>
      <c r="CC24" s="165"/>
      <c r="CD24" s="165"/>
      <c r="CE24" s="165"/>
      <c r="CF24" s="165"/>
      <c r="CG24" s="166"/>
    </row>
    <row r="25" spans="1:85" s="167" customFormat="1" ht="15.75" hidden="1" customHeight="1" x14ac:dyDescent="0.3">
      <c r="A25" s="29">
        <v>97</v>
      </c>
      <c r="B25" s="29" t="s">
        <v>2624</v>
      </c>
      <c r="C25" s="29" t="s">
        <v>1536</v>
      </c>
      <c r="D25" s="161" t="s">
        <v>2625</v>
      </c>
      <c r="E25" s="162">
        <v>45463</v>
      </c>
      <c r="F25" s="162">
        <v>45467</v>
      </c>
      <c r="G25" s="29" t="s">
        <v>2269</v>
      </c>
      <c r="H25" s="29" t="s">
        <v>2269</v>
      </c>
      <c r="I25" s="29" t="s">
        <v>2249</v>
      </c>
      <c r="J25" s="29" t="s">
        <v>1534</v>
      </c>
      <c r="K25" s="29"/>
      <c r="L25" s="29"/>
      <c r="M25" s="162" t="s">
        <v>310</v>
      </c>
      <c r="N25" s="162" t="s">
        <v>310</v>
      </c>
      <c r="O25" s="29" t="s">
        <v>2333</v>
      </c>
      <c r="P25" s="29">
        <v>350000</v>
      </c>
      <c r="Q25" s="29" t="s">
        <v>2327</v>
      </c>
      <c r="R25" s="29" t="s">
        <v>393</v>
      </c>
      <c r="S25" s="29" t="s">
        <v>2343</v>
      </c>
      <c r="T25" s="163" t="s">
        <v>3083</v>
      </c>
      <c r="U25" s="163" t="s">
        <v>1299</v>
      </c>
      <c r="V25" s="29">
        <v>561000</v>
      </c>
      <c r="W25" s="29">
        <v>53351</v>
      </c>
      <c r="X25" s="29">
        <v>25000</v>
      </c>
      <c r="Y25" s="29">
        <v>0</v>
      </c>
      <c r="Z25" s="29">
        <v>500</v>
      </c>
      <c r="AA25" s="29" t="s">
        <v>2260</v>
      </c>
      <c r="AB25" s="29">
        <v>0</v>
      </c>
      <c r="AC25" s="29">
        <v>0</v>
      </c>
      <c r="AD25" s="29">
        <v>0</v>
      </c>
      <c r="AE25" s="29">
        <v>0</v>
      </c>
      <c r="AF25" s="29">
        <v>26500</v>
      </c>
      <c r="AG25" s="29">
        <v>0</v>
      </c>
      <c r="AH25" s="29">
        <v>0</v>
      </c>
      <c r="AI25" s="29">
        <v>0</v>
      </c>
      <c r="AJ25" s="29">
        <v>10000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15000</v>
      </c>
      <c r="AS25" s="29">
        <v>0</v>
      </c>
      <c r="AT25" s="29">
        <v>0</v>
      </c>
      <c r="AU25" s="29">
        <v>0</v>
      </c>
      <c r="AV25" s="29">
        <v>0</v>
      </c>
      <c r="AW25" s="29"/>
      <c r="AX25" s="29">
        <v>16351</v>
      </c>
      <c r="AY25" s="29">
        <f t="shared" si="0"/>
        <v>14351</v>
      </c>
      <c r="AZ25" s="29">
        <f t="shared" si="1"/>
        <v>16351</v>
      </c>
      <c r="BA25" s="29">
        <f t="shared" si="2"/>
        <v>14351</v>
      </c>
      <c r="BB25" s="29">
        <v>0</v>
      </c>
      <c r="BC25" s="29">
        <v>2000</v>
      </c>
      <c r="BD25" s="29">
        <v>0</v>
      </c>
      <c r="BE25" s="29">
        <v>0</v>
      </c>
      <c r="BF25" s="29">
        <f t="shared" si="3"/>
        <v>625000</v>
      </c>
      <c r="BG25" s="29">
        <v>338000</v>
      </c>
      <c r="BH25" s="29" t="s">
        <v>39</v>
      </c>
      <c r="BI25" s="29" t="s">
        <v>2253</v>
      </c>
      <c r="BJ25" s="29" t="s">
        <v>2253</v>
      </c>
      <c r="BK25" s="29" t="s">
        <v>2626</v>
      </c>
      <c r="BL25" s="29">
        <f>5000+10000+260000</f>
        <v>275000</v>
      </c>
      <c r="BM25" s="29">
        <f t="shared" si="4"/>
        <v>12000</v>
      </c>
      <c r="BN25" s="162">
        <v>45468</v>
      </c>
      <c r="BO25" s="29"/>
      <c r="BP25" s="29"/>
      <c r="BQ25" s="29"/>
      <c r="BR25" s="29"/>
      <c r="BS25" s="29"/>
      <c r="BT25" s="29"/>
      <c r="BU25" s="165"/>
      <c r="BV25" s="165"/>
      <c r="BW25" s="165"/>
      <c r="BX25" s="165">
        <v>0</v>
      </c>
      <c r="BY25" s="165">
        <v>0</v>
      </c>
      <c r="BZ25" s="165">
        <v>0</v>
      </c>
      <c r="CA25" s="165" t="str">
        <f t="shared" si="5"/>
        <v>NO</v>
      </c>
      <c r="CB25" s="165"/>
      <c r="CC25" s="165"/>
      <c r="CD25" s="165"/>
      <c r="CE25" s="165"/>
      <c r="CF25" s="165"/>
      <c r="CG25" s="166"/>
    </row>
    <row r="26" spans="1:85" s="167" customFormat="1" ht="15.75" hidden="1" customHeight="1" x14ac:dyDescent="0.3">
      <c r="A26" s="29">
        <v>144</v>
      </c>
      <c r="B26" s="29" t="s">
        <v>2773</v>
      </c>
      <c r="C26" s="29" t="s">
        <v>1659</v>
      </c>
      <c r="D26" s="161" t="s">
        <v>2774</v>
      </c>
      <c r="E26" s="162">
        <v>45470</v>
      </c>
      <c r="F26" s="162">
        <v>45472</v>
      </c>
      <c r="G26" s="29" t="s">
        <v>2269</v>
      </c>
      <c r="H26" s="29" t="s">
        <v>2269</v>
      </c>
      <c r="I26" s="29" t="s">
        <v>2249</v>
      </c>
      <c r="J26" s="29" t="s">
        <v>1657</v>
      </c>
      <c r="K26" s="29"/>
      <c r="L26" s="29"/>
      <c r="M26" s="162" t="s">
        <v>310</v>
      </c>
      <c r="N26" s="162" t="s">
        <v>310</v>
      </c>
      <c r="O26" s="29" t="s">
        <v>2326</v>
      </c>
      <c r="P26" s="29">
        <v>548000</v>
      </c>
      <c r="Q26" s="29" t="s">
        <v>2271</v>
      </c>
      <c r="R26" s="29" t="s">
        <v>2269</v>
      </c>
      <c r="S26" s="29" t="s">
        <v>2343</v>
      </c>
      <c r="T26" s="163" t="s">
        <v>3083</v>
      </c>
      <c r="U26" s="163" t="s">
        <v>1299</v>
      </c>
      <c r="V26" s="29">
        <v>561000</v>
      </c>
      <c r="W26" s="29">
        <v>53351</v>
      </c>
      <c r="X26" s="29">
        <v>25000</v>
      </c>
      <c r="Y26" s="29">
        <v>0</v>
      </c>
      <c r="Z26" s="29">
        <v>500</v>
      </c>
      <c r="AA26" s="29" t="s">
        <v>2260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29">
        <v>0</v>
      </c>
      <c r="AJ26" s="29">
        <v>10000</v>
      </c>
      <c r="AK26" s="29">
        <v>0</v>
      </c>
      <c r="AL26" s="29">
        <v>0</v>
      </c>
      <c r="AM26" s="29">
        <v>0</v>
      </c>
      <c r="AN26" s="29">
        <v>0</v>
      </c>
      <c r="AO26" s="29">
        <v>0</v>
      </c>
      <c r="AP26" s="29">
        <v>0</v>
      </c>
      <c r="AQ26" s="29">
        <v>0</v>
      </c>
      <c r="AR26" s="29">
        <v>15000</v>
      </c>
      <c r="AS26" s="29">
        <v>0</v>
      </c>
      <c r="AT26" s="29">
        <v>0</v>
      </c>
      <c r="AU26" s="29">
        <v>0</v>
      </c>
      <c r="AV26" s="29">
        <v>0</v>
      </c>
      <c r="AW26" s="29"/>
      <c r="AX26" s="29">
        <v>13851</v>
      </c>
      <c r="AY26" s="29">
        <f t="shared" si="0"/>
        <v>11851</v>
      </c>
      <c r="AZ26" s="29">
        <f t="shared" si="1"/>
        <v>13851</v>
      </c>
      <c r="BA26" s="29">
        <f t="shared" si="2"/>
        <v>11851</v>
      </c>
      <c r="BB26" s="29">
        <v>0</v>
      </c>
      <c r="BC26" s="29">
        <v>2000</v>
      </c>
      <c r="BD26" s="29">
        <v>0</v>
      </c>
      <c r="BE26" s="29">
        <v>0</v>
      </c>
      <c r="BF26" s="29">
        <f t="shared" si="3"/>
        <v>601000</v>
      </c>
      <c r="BG26" s="29">
        <v>535000</v>
      </c>
      <c r="BH26" s="29" t="s">
        <v>39</v>
      </c>
      <c r="BI26" s="29" t="s">
        <v>2253</v>
      </c>
      <c r="BJ26" s="29" t="s">
        <v>2253</v>
      </c>
      <c r="BK26" s="29">
        <v>13586629</v>
      </c>
      <c r="BL26" s="29">
        <v>0</v>
      </c>
      <c r="BM26" s="29">
        <f t="shared" si="4"/>
        <v>66000</v>
      </c>
      <c r="BN26" s="162">
        <v>45473</v>
      </c>
      <c r="BO26" s="29"/>
      <c r="BP26" s="29"/>
      <c r="BQ26" s="29"/>
      <c r="BR26" s="29"/>
      <c r="BS26" s="29"/>
      <c r="BT26" s="29"/>
      <c r="BU26" s="165"/>
      <c r="BV26" s="165"/>
      <c r="BW26" s="165"/>
      <c r="BX26" s="165">
        <v>0</v>
      </c>
      <c r="BY26" s="165">
        <v>0</v>
      </c>
      <c r="BZ26" s="165">
        <v>0</v>
      </c>
      <c r="CA26" s="165" t="str">
        <f t="shared" si="5"/>
        <v>NO</v>
      </c>
      <c r="CB26" s="165"/>
      <c r="CC26" s="165"/>
      <c r="CD26" s="165"/>
      <c r="CE26" s="165"/>
      <c r="CF26" s="165"/>
      <c r="CG26" s="166"/>
    </row>
    <row r="27" spans="1:85" s="167" customFormat="1" ht="15.75" hidden="1" customHeight="1" x14ac:dyDescent="0.3">
      <c r="A27" s="29">
        <v>153</v>
      </c>
      <c r="B27" s="29" t="s">
        <v>2801</v>
      </c>
      <c r="C27" s="29" t="s">
        <v>1678</v>
      </c>
      <c r="D27" s="161" t="s">
        <v>2802</v>
      </c>
      <c r="E27" s="162">
        <v>45471</v>
      </c>
      <c r="F27" s="162">
        <v>45472</v>
      </c>
      <c r="G27" s="29" t="s">
        <v>2269</v>
      </c>
      <c r="H27" s="29" t="s">
        <v>2269</v>
      </c>
      <c r="I27" s="29" t="s">
        <v>2249</v>
      </c>
      <c r="J27" s="29" t="s">
        <v>1676</v>
      </c>
      <c r="K27" s="29"/>
      <c r="L27" s="29"/>
      <c r="M27" s="162" t="s">
        <v>310</v>
      </c>
      <c r="N27" s="162" t="s">
        <v>310</v>
      </c>
      <c r="O27" s="29" t="s">
        <v>2497</v>
      </c>
      <c r="P27" s="29">
        <v>500000</v>
      </c>
      <c r="Q27" s="29" t="s">
        <v>2284</v>
      </c>
      <c r="R27" s="29" t="s">
        <v>2803</v>
      </c>
      <c r="S27" s="29" t="s">
        <v>2343</v>
      </c>
      <c r="T27" s="163" t="s">
        <v>3083</v>
      </c>
      <c r="U27" s="163" t="s">
        <v>1299</v>
      </c>
      <c r="V27" s="29">
        <v>561000</v>
      </c>
      <c r="W27" s="29">
        <v>53351</v>
      </c>
      <c r="X27" s="29">
        <v>25000</v>
      </c>
      <c r="Y27" s="29">
        <v>0</v>
      </c>
      <c r="Z27" s="29">
        <v>500</v>
      </c>
      <c r="AA27" s="29" t="s">
        <v>2260</v>
      </c>
      <c r="AB27" s="29">
        <v>0</v>
      </c>
      <c r="AC27" s="29">
        <v>0</v>
      </c>
      <c r="AD27" s="29">
        <v>0</v>
      </c>
      <c r="AE27" s="29">
        <v>0</v>
      </c>
      <c r="AF27" s="29">
        <v>30000</v>
      </c>
      <c r="AG27" s="29">
        <v>0</v>
      </c>
      <c r="AH27" s="29">
        <v>0</v>
      </c>
      <c r="AI27" s="29">
        <v>0</v>
      </c>
      <c r="AJ27" s="29">
        <v>10000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2100</v>
      </c>
      <c r="AR27" s="29">
        <v>15000</v>
      </c>
      <c r="AS27" s="29">
        <v>0</v>
      </c>
      <c r="AT27" s="29">
        <v>0</v>
      </c>
      <c r="AU27" s="29">
        <v>0</v>
      </c>
      <c r="AV27" s="29">
        <v>0</v>
      </c>
      <c r="AW27" s="29"/>
      <c r="AX27" s="29">
        <v>17751</v>
      </c>
      <c r="AY27" s="29">
        <f t="shared" si="0"/>
        <v>15751</v>
      </c>
      <c r="AZ27" s="29">
        <f t="shared" si="1"/>
        <v>17751</v>
      </c>
      <c r="BA27" s="29">
        <f t="shared" si="2"/>
        <v>15751</v>
      </c>
      <c r="BB27" s="29">
        <v>0</v>
      </c>
      <c r="BC27" s="29">
        <v>2000</v>
      </c>
      <c r="BD27" s="29">
        <v>0</v>
      </c>
      <c r="BE27" s="29">
        <v>0</v>
      </c>
      <c r="BF27" s="29">
        <f t="shared" si="3"/>
        <v>625000</v>
      </c>
      <c r="BG27" s="29">
        <v>500000</v>
      </c>
      <c r="BH27" s="29" t="s">
        <v>2287</v>
      </c>
      <c r="BI27" s="29" t="s">
        <v>2253</v>
      </c>
      <c r="BJ27" s="29" t="s">
        <v>2253</v>
      </c>
      <c r="BK27" s="29">
        <v>0</v>
      </c>
      <c r="BL27" s="29">
        <v>0</v>
      </c>
      <c r="BM27" s="29">
        <f t="shared" si="4"/>
        <v>125000</v>
      </c>
      <c r="BN27" s="162">
        <v>45473</v>
      </c>
      <c r="BO27" s="29"/>
      <c r="BP27" s="29"/>
      <c r="BQ27" s="29"/>
      <c r="BR27" s="29"/>
      <c r="BS27" s="29"/>
      <c r="BT27" s="29"/>
      <c r="BU27" s="165"/>
      <c r="BV27" s="165"/>
      <c r="BW27" s="165"/>
      <c r="BX27" s="165">
        <v>0</v>
      </c>
      <c r="BY27" s="165">
        <v>0</v>
      </c>
      <c r="BZ27" s="165">
        <v>0</v>
      </c>
      <c r="CA27" s="165" t="str">
        <f t="shared" si="5"/>
        <v>NO</v>
      </c>
      <c r="CB27" s="165"/>
      <c r="CC27" s="165"/>
      <c r="CD27" s="165"/>
      <c r="CE27" s="165"/>
      <c r="CF27" s="165"/>
      <c r="CG27" s="166"/>
    </row>
    <row r="28" spans="1:85" s="182" customFormat="1" ht="15.75" hidden="1" customHeight="1" x14ac:dyDescent="0.3">
      <c r="A28" s="176">
        <v>44</v>
      </c>
      <c r="B28" s="176" t="s">
        <v>2444</v>
      </c>
      <c r="C28" s="176">
        <v>892265</v>
      </c>
      <c r="D28" s="177" t="s">
        <v>2445</v>
      </c>
      <c r="E28" s="178">
        <v>45453</v>
      </c>
      <c r="F28" s="178">
        <v>45464</v>
      </c>
      <c r="G28" s="176" t="s">
        <v>260</v>
      </c>
      <c r="H28" s="176" t="s">
        <v>260</v>
      </c>
      <c r="I28" s="176" t="s">
        <v>2249</v>
      </c>
      <c r="J28" s="176" t="s">
        <v>1399</v>
      </c>
      <c r="K28" s="176"/>
      <c r="L28" s="176"/>
      <c r="M28" s="178" t="s">
        <v>248</v>
      </c>
      <c r="N28" s="178" t="s">
        <v>248</v>
      </c>
      <c r="O28" s="176" t="s">
        <v>2264</v>
      </c>
      <c r="P28" s="176">
        <v>650000</v>
      </c>
      <c r="Q28" s="176" t="s">
        <v>2298</v>
      </c>
      <c r="R28" s="176" t="s">
        <v>260</v>
      </c>
      <c r="S28" s="176" t="s">
        <v>2446</v>
      </c>
      <c r="T28" s="179" t="s">
        <v>3073</v>
      </c>
      <c r="U28" s="179" t="s">
        <v>2299</v>
      </c>
      <c r="V28" s="176">
        <v>844877</v>
      </c>
      <c r="W28" s="176">
        <v>95500</v>
      </c>
      <c r="X28" s="176">
        <v>25000</v>
      </c>
      <c r="Y28" s="176">
        <v>0</v>
      </c>
      <c r="Z28" s="176">
        <v>0</v>
      </c>
      <c r="AA28" s="176" t="s">
        <v>2253</v>
      </c>
      <c r="AB28" s="176">
        <v>0</v>
      </c>
      <c r="AC28" s="176">
        <v>0</v>
      </c>
      <c r="AD28" s="176">
        <v>0</v>
      </c>
      <c r="AE28" s="176">
        <v>0</v>
      </c>
      <c r="AF28" s="176">
        <v>6500</v>
      </c>
      <c r="AG28" s="176">
        <v>0</v>
      </c>
      <c r="AH28" s="176">
        <v>0</v>
      </c>
      <c r="AI28" s="176">
        <v>0</v>
      </c>
      <c r="AJ28" s="176">
        <v>0</v>
      </c>
      <c r="AK28" s="176">
        <v>0</v>
      </c>
      <c r="AL28" s="176">
        <v>0</v>
      </c>
      <c r="AM28" s="176">
        <v>0</v>
      </c>
      <c r="AN28" s="176">
        <v>0</v>
      </c>
      <c r="AO28" s="176">
        <v>0</v>
      </c>
      <c r="AP28" s="176">
        <v>0</v>
      </c>
      <c r="AQ28" s="176">
        <v>0</v>
      </c>
      <c r="AR28" s="176">
        <v>0</v>
      </c>
      <c r="AS28" s="176">
        <v>0</v>
      </c>
      <c r="AT28" s="176">
        <v>0</v>
      </c>
      <c r="AU28" s="176">
        <v>0</v>
      </c>
      <c r="AV28" s="176">
        <v>0</v>
      </c>
      <c r="AW28" s="176"/>
      <c r="AX28" s="176">
        <v>10377</v>
      </c>
      <c r="AY28" s="176">
        <f t="shared" si="0"/>
        <v>8377</v>
      </c>
      <c r="AZ28" s="176">
        <f t="shared" si="1"/>
        <v>10377</v>
      </c>
      <c r="BA28" s="176">
        <f t="shared" si="2"/>
        <v>8377</v>
      </c>
      <c r="BB28" s="176">
        <v>0</v>
      </c>
      <c r="BC28" s="176">
        <v>2000</v>
      </c>
      <c r="BD28" s="176">
        <v>0</v>
      </c>
      <c r="BE28" s="176">
        <v>0</v>
      </c>
      <c r="BF28" s="176">
        <f t="shared" si="3"/>
        <v>961500</v>
      </c>
      <c r="BG28" s="176">
        <v>650000</v>
      </c>
      <c r="BH28" s="176" t="s">
        <v>39</v>
      </c>
      <c r="BI28" s="176" t="s">
        <v>2253</v>
      </c>
      <c r="BJ28" s="176" t="s">
        <v>2253</v>
      </c>
      <c r="BK28" s="176" t="s">
        <v>2447</v>
      </c>
      <c r="BL28" s="176">
        <f>9000+200000</f>
        <v>209000</v>
      </c>
      <c r="BM28" s="176">
        <f t="shared" si="4"/>
        <v>102500</v>
      </c>
      <c r="BN28" s="178">
        <v>45463</v>
      </c>
      <c r="BO28" s="176"/>
      <c r="BP28" s="176"/>
      <c r="BQ28" s="176"/>
      <c r="BR28" s="176"/>
      <c r="BS28" s="176"/>
      <c r="BT28" s="176"/>
      <c r="BU28" s="180"/>
      <c r="BV28" s="180"/>
      <c r="BW28" s="180"/>
      <c r="BX28" s="180">
        <v>0</v>
      </c>
      <c r="BY28" s="180">
        <v>0</v>
      </c>
      <c r="BZ28" s="180">
        <v>0</v>
      </c>
      <c r="CA28" s="180" t="str">
        <f t="shared" si="5"/>
        <v>NO</v>
      </c>
      <c r="CB28" s="180"/>
      <c r="CC28" s="180"/>
      <c r="CD28" s="180"/>
      <c r="CE28" s="180"/>
      <c r="CF28" s="180"/>
      <c r="CG28" s="181"/>
    </row>
    <row r="29" spans="1:85" s="182" customFormat="1" ht="15.75" hidden="1" customHeight="1" x14ac:dyDescent="0.3">
      <c r="A29" s="176">
        <v>47</v>
      </c>
      <c r="B29" s="176" t="s">
        <v>2456</v>
      </c>
      <c r="C29" s="176">
        <v>290672</v>
      </c>
      <c r="D29" s="177" t="s">
        <v>2457</v>
      </c>
      <c r="E29" s="178">
        <v>45453</v>
      </c>
      <c r="F29" s="178">
        <v>45454</v>
      </c>
      <c r="G29" s="176" t="s">
        <v>260</v>
      </c>
      <c r="H29" s="176" t="s">
        <v>260</v>
      </c>
      <c r="I29" s="176" t="s">
        <v>2249</v>
      </c>
      <c r="J29" s="176" t="s">
        <v>1408</v>
      </c>
      <c r="K29" s="176"/>
      <c r="L29" s="176"/>
      <c r="M29" s="178" t="s">
        <v>2458</v>
      </c>
      <c r="N29" s="178" t="s">
        <v>2987</v>
      </c>
      <c r="O29" s="176" t="s">
        <v>2459</v>
      </c>
      <c r="P29" s="176">
        <v>400000</v>
      </c>
      <c r="Q29" s="176" t="s">
        <v>2277</v>
      </c>
      <c r="R29" s="176" t="s">
        <v>2460</v>
      </c>
      <c r="S29" s="176" t="s">
        <v>2446</v>
      </c>
      <c r="T29" s="179" t="s">
        <v>3073</v>
      </c>
      <c r="U29" s="179" t="s">
        <v>2299</v>
      </c>
      <c r="V29" s="176">
        <v>535000</v>
      </c>
      <c r="W29" s="176">
        <v>43675</v>
      </c>
      <c r="X29" s="176">
        <v>25605</v>
      </c>
      <c r="Y29" s="176">
        <v>8343</v>
      </c>
      <c r="Z29" s="176">
        <v>500</v>
      </c>
      <c r="AA29" s="176" t="s">
        <v>2260</v>
      </c>
      <c r="AB29" s="176">
        <v>0</v>
      </c>
      <c r="AC29" s="176">
        <v>2680</v>
      </c>
      <c r="AD29" s="176">
        <v>0</v>
      </c>
      <c r="AE29" s="176">
        <v>0</v>
      </c>
      <c r="AF29" s="176">
        <v>7390</v>
      </c>
      <c r="AG29" s="176">
        <v>0</v>
      </c>
      <c r="AH29" s="176">
        <v>0</v>
      </c>
      <c r="AI29" s="176">
        <v>0</v>
      </c>
      <c r="AJ29" s="176">
        <v>18000</v>
      </c>
      <c r="AK29" s="176">
        <v>0</v>
      </c>
      <c r="AL29" s="176">
        <v>0</v>
      </c>
      <c r="AM29" s="176">
        <v>0</v>
      </c>
      <c r="AN29" s="176">
        <v>0</v>
      </c>
      <c r="AO29" s="176">
        <v>0</v>
      </c>
      <c r="AP29" s="176">
        <v>0</v>
      </c>
      <c r="AQ29" s="176">
        <v>0</v>
      </c>
      <c r="AR29" s="176">
        <v>22000</v>
      </c>
      <c r="AS29" s="176">
        <v>0</v>
      </c>
      <c r="AT29" s="176">
        <v>0</v>
      </c>
      <c r="AU29" s="176">
        <v>0</v>
      </c>
      <c r="AV29" s="176">
        <v>0</v>
      </c>
      <c r="AW29" s="176">
        <v>3302</v>
      </c>
      <c r="AX29" s="176">
        <v>0</v>
      </c>
      <c r="AY29" s="176">
        <f t="shared" si="0"/>
        <v>3302</v>
      </c>
      <c r="AZ29" s="176">
        <f t="shared" si="1"/>
        <v>3302</v>
      </c>
      <c r="BA29" s="176">
        <f t="shared" si="2"/>
        <v>3302</v>
      </c>
      <c r="BB29" s="176">
        <v>0</v>
      </c>
      <c r="BC29" s="176">
        <v>0</v>
      </c>
      <c r="BD29" s="176">
        <v>0</v>
      </c>
      <c r="BE29" s="176">
        <v>0</v>
      </c>
      <c r="BF29" s="176">
        <f t="shared" si="3"/>
        <v>579891</v>
      </c>
      <c r="BG29" s="176">
        <v>400000</v>
      </c>
      <c r="BH29" s="176" t="s">
        <v>39</v>
      </c>
      <c r="BI29" s="176" t="s">
        <v>2253</v>
      </c>
      <c r="BJ29" s="176" t="s">
        <v>2253</v>
      </c>
      <c r="BK29" s="176">
        <v>28832506</v>
      </c>
      <c r="BL29" s="176">
        <f>2100+177800</f>
        <v>179900</v>
      </c>
      <c r="BM29" s="176">
        <f t="shared" si="4"/>
        <v>-9</v>
      </c>
      <c r="BN29" s="178">
        <v>45454</v>
      </c>
      <c r="BO29" s="176"/>
      <c r="BP29" s="176"/>
      <c r="BQ29" s="176"/>
      <c r="BR29" s="176"/>
      <c r="BS29" s="176"/>
      <c r="BT29" s="176"/>
      <c r="BU29" s="180"/>
      <c r="BV29" s="180"/>
      <c r="BW29" s="180"/>
      <c r="BX29" s="180">
        <v>0</v>
      </c>
      <c r="BY29" s="180">
        <v>0</v>
      </c>
      <c r="BZ29" s="180">
        <v>0</v>
      </c>
      <c r="CA29" s="180" t="str">
        <f t="shared" si="5"/>
        <v>NO</v>
      </c>
      <c r="CB29" s="180"/>
      <c r="CC29" s="180"/>
      <c r="CD29" s="180"/>
      <c r="CE29" s="180"/>
      <c r="CF29" s="180"/>
      <c r="CG29" s="181"/>
    </row>
    <row r="30" spans="1:85" s="182" customFormat="1" ht="15.75" hidden="1" customHeight="1" x14ac:dyDescent="0.3">
      <c r="A30" s="176">
        <v>94</v>
      </c>
      <c r="B30" s="176" t="s">
        <v>2613</v>
      </c>
      <c r="C30" s="176" t="s">
        <v>1525</v>
      </c>
      <c r="D30" s="177" t="s">
        <v>2614</v>
      </c>
      <c r="E30" s="178">
        <v>45463</v>
      </c>
      <c r="F30" s="178">
        <v>45467</v>
      </c>
      <c r="G30" s="176" t="s">
        <v>260</v>
      </c>
      <c r="H30" s="176" t="s">
        <v>260</v>
      </c>
      <c r="I30" s="176" t="s">
        <v>2249</v>
      </c>
      <c r="J30" s="176" t="s">
        <v>1523</v>
      </c>
      <c r="K30" s="176"/>
      <c r="L30" s="176"/>
      <c r="M30" s="178" t="s">
        <v>2362</v>
      </c>
      <c r="N30" s="178" t="s">
        <v>2362</v>
      </c>
      <c r="O30" s="176" t="s">
        <v>2264</v>
      </c>
      <c r="P30" s="176">
        <v>400000</v>
      </c>
      <c r="Q30" s="176" t="s">
        <v>2336</v>
      </c>
      <c r="R30" s="176" t="s">
        <v>2615</v>
      </c>
      <c r="S30" s="176" t="s">
        <v>2446</v>
      </c>
      <c r="T30" s="179" t="s">
        <v>3073</v>
      </c>
      <c r="U30" s="179" t="s">
        <v>2299</v>
      </c>
      <c r="V30" s="176">
        <v>690385</v>
      </c>
      <c r="W30" s="176">
        <v>63731</v>
      </c>
      <c r="X30" s="176">
        <v>22005</v>
      </c>
      <c r="Y30" s="176">
        <v>10750</v>
      </c>
      <c r="Z30" s="176">
        <v>500</v>
      </c>
      <c r="AA30" s="176" t="s">
        <v>2253</v>
      </c>
      <c r="AB30" s="176">
        <v>0</v>
      </c>
      <c r="AC30" s="176">
        <v>3629</v>
      </c>
      <c r="AD30" s="176">
        <v>0</v>
      </c>
      <c r="AE30" s="176">
        <v>0</v>
      </c>
      <c r="AF30" s="176">
        <v>11130</v>
      </c>
      <c r="AG30" s="176">
        <v>0</v>
      </c>
      <c r="AH30" s="176">
        <v>0</v>
      </c>
      <c r="AI30" s="176">
        <v>0</v>
      </c>
      <c r="AJ30" s="176">
        <v>10000</v>
      </c>
      <c r="AK30" s="176">
        <v>0</v>
      </c>
      <c r="AL30" s="176">
        <v>0</v>
      </c>
      <c r="AM30" s="176">
        <v>0</v>
      </c>
      <c r="AN30" s="176">
        <v>0</v>
      </c>
      <c r="AO30" s="176">
        <v>0</v>
      </c>
      <c r="AP30" s="176">
        <v>0</v>
      </c>
      <c r="AQ30" s="176">
        <v>3100</v>
      </c>
      <c r="AR30" s="176">
        <v>5000</v>
      </c>
      <c r="AS30" s="176">
        <v>0</v>
      </c>
      <c r="AT30" s="176">
        <v>0</v>
      </c>
      <c r="AU30" s="176">
        <v>2870</v>
      </c>
      <c r="AV30" s="176">
        <v>0</v>
      </c>
      <c r="AW30" s="176"/>
      <c r="AX30" s="176">
        <v>22900</v>
      </c>
      <c r="AY30" s="176">
        <f t="shared" si="0"/>
        <v>23770</v>
      </c>
      <c r="AZ30" s="176">
        <f t="shared" si="1"/>
        <v>25770</v>
      </c>
      <c r="BA30" s="176">
        <f t="shared" si="2"/>
        <v>23770</v>
      </c>
      <c r="BB30" s="176">
        <v>0</v>
      </c>
      <c r="BC30" s="176">
        <v>2000</v>
      </c>
      <c r="BD30" s="176">
        <v>0</v>
      </c>
      <c r="BE30" s="176">
        <v>0</v>
      </c>
      <c r="BF30" s="176">
        <f t="shared" si="3"/>
        <v>758260</v>
      </c>
      <c r="BG30" s="176">
        <v>400000</v>
      </c>
      <c r="BH30" s="176" t="s">
        <v>39</v>
      </c>
      <c r="BI30" s="176" t="s">
        <v>2253</v>
      </c>
      <c r="BJ30" s="176" t="s">
        <v>2253</v>
      </c>
      <c r="BK30" s="176">
        <v>2923004</v>
      </c>
      <c r="BL30" s="176">
        <f>11000+185000</f>
        <v>196000</v>
      </c>
      <c r="BM30" s="176">
        <f t="shared" si="4"/>
        <v>162260</v>
      </c>
      <c r="BN30" s="178">
        <v>45468</v>
      </c>
      <c r="BO30" s="176"/>
      <c r="BP30" s="176"/>
      <c r="BQ30" s="176"/>
      <c r="BR30" s="176"/>
      <c r="BS30" s="176"/>
      <c r="BT30" s="176"/>
      <c r="BU30" s="180"/>
      <c r="BV30" s="180"/>
      <c r="BW30" s="180"/>
      <c r="BX30" s="180">
        <v>0</v>
      </c>
      <c r="BY30" s="180">
        <v>0</v>
      </c>
      <c r="BZ30" s="180">
        <v>0</v>
      </c>
      <c r="CA30" s="180" t="str">
        <f t="shared" si="5"/>
        <v>NO</v>
      </c>
      <c r="CB30" s="180"/>
      <c r="CC30" s="180"/>
      <c r="CD30" s="180"/>
      <c r="CE30" s="180"/>
      <c r="CF30" s="180"/>
      <c r="CG30" s="181"/>
    </row>
    <row r="31" spans="1:85" s="182" customFormat="1" ht="15.75" hidden="1" customHeight="1" x14ac:dyDescent="0.3">
      <c r="A31" s="176">
        <v>116</v>
      </c>
      <c r="B31" s="176" t="s">
        <v>2686</v>
      </c>
      <c r="C31" s="176" t="s">
        <v>1578</v>
      </c>
      <c r="D31" s="177" t="s">
        <v>2687</v>
      </c>
      <c r="E31" s="178">
        <v>45467</v>
      </c>
      <c r="F31" s="178">
        <v>45472</v>
      </c>
      <c r="G31" s="176" t="s">
        <v>260</v>
      </c>
      <c r="H31" s="176" t="s">
        <v>260</v>
      </c>
      <c r="I31" s="176" t="s">
        <v>2249</v>
      </c>
      <c r="J31" s="176" t="s">
        <v>1576</v>
      </c>
      <c r="K31" s="176"/>
      <c r="L31" s="176"/>
      <c r="M31" s="178" t="s">
        <v>310</v>
      </c>
      <c r="N31" s="178" t="s">
        <v>310</v>
      </c>
      <c r="O31" s="176" t="s">
        <v>2688</v>
      </c>
      <c r="P31" s="176">
        <v>505000</v>
      </c>
      <c r="Q31" s="176" t="s">
        <v>2298</v>
      </c>
      <c r="R31" s="176" t="s">
        <v>260</v>
      </c>
      <c r="S31" s="176" t="s">
        <v>2446</v>
      </c>
      <c r="T31" s="179" t="s">
        <v>3073</v>
      </c>
      <c r="U31" s="179" t="s">
        <v>2299</v>
      </c>
      <c r="V31" s="176">
        <v>532885</v>
      </c>
      <c r="W31" s="176">
        <v>51031</v>
      </c>
      <c r="X31" s="176">
        <v>25042</v>
      </c>
      <c r="Y31" s="176">
        <v>8295</v>
      </c>
      <c r="Z31" s="176">
        <v>500</v>
      </c>
      <c r="AA31" s="176" t="s">
        <v>2253</v>
      </c>
      <c r="AB31" s="176">
        <v>0</v>
      </c>
      <c r="AC31" s="176">
        <v>2757</v>
      </c>
      <c r="AD31" s="176">
        <v>0</v>
      </c>
      <c r="AE31" s="176">
        <v>0</v>
      </c>
      <c r="AF31" s="176">
        <v>32990</v>
      </c>
      <c r="AG31" s="176">
        <v>0</v>
      </c>
      <c r="AH31" s="176">
        <v>0</v>
      </c>
      <c r="AI31" s="176">
        <v>0</v>
      </c>
      <c r="AJ31" s="176">
        <v>10000</v>
      </c>
      <c r="AK31" s="176">
        <v>0</v>
      </c>
      <c r="AL31" s="176">
        <v>0</v>
      </c>
      <c r="AM31" s="176">
        <v>0</v>
      </c>
      <c r="AN31" s="176">
        <v>0</v>
      </c>
      <c r="AO31" s="176">
        <v>0</v>
      </c>
      <c r="AP31" s="176">
        <v>0</v>
      </c>
      <c r="AQ31" s="176">
        <v>0</v>
      </c>
      <c r="AR31" s="176">
        <v>15000</v>
      </c>
      <c r="AS31" s="176">
        <v>0</v>
      </c>
      <c r="AT31" s="176">
        <v>0</v>
      </c>
      <c r="AU31" s="176">
        <v>3000</v>
      </c>
      <c r="AV31" s="176">
        <v>0</v>
      </c>
      <c r="AW31" s="176"/>
      <c r="AX31" s="176">
        <v>5500</v>
      </c>
      <c r="AY31" s="176">
        <f t="shared" si="0"/>
        <v>6500</v>
      </c>
      <c r="AZ31" s="176">
        <f t="shared" si="1"/>
        <v>8500</v>
      </c>
      <c r="BA31" s="176">
        <f t="shared" si="2"/>
        <v>6500</v>
      </c>
      <c r="BB31" s="176">
        <v>0</v>
      </c>
      <c r="BC31" s="176">
        <v>2000</v>
      </c>
      <c r="BD31" s="176">
        <v>0</v>
      </c>
      <c r="BE31" s="176">
        <v>0</v>
      </c>
      <c r="BF31" s="176">
        <f t="shared" si="3"/>
        <v>620000</v>
      </c>
      <c r="BG31" s="176">
        <v>505000</v>
      </c>
      <c r="BH31" s="176" t="s">
        <v>39</v>
      </c>
      <c r="BI31" s="176" t="s">
        <v>2253</v>
      </c>
      <c r="BJ31" s="176" t="s">
        <v>2253</v>
      </c>
      <c r="BK31" s="176" t="s">
        <v>2689</v>
      </c>
      <c r="BL31" s="176">
        <f>2100+12500+37500+5000+20000</f>
        <v>77100</v>
      </c>
      <c r="BM31" s="176">
        <f t="shared" si="4"/>
        <v>37900</v>
      </c>
      <c r="BN31" s="178">
        <v>45503</v>
      </c>
      <c r="BO31" s="176"/>
      <c r="BP31" s="176"/>
      <c r="BQ31" s="176"/>
      <c r="BR31" s="176"/>
      <c r="BS31" s="176"/>
      <c r="BT31" s="176"/>
      <c r="BU31" s="180"/>
      <c r="BV31" s="180"/>
      <c r="BW31" s="180"/>
      <c r="BX31" s="180">
        <v>0</v>
      </c>
      <c r="BY31" s="180">
        <v>0</v>
      </c>
      <c r="BZ31" s="180">
        <v>0</v>
      </c>
      <c r="CA31" s="180" t="str">
        <f t="shared" si="5"/>
        <v>NO</v>
      </c>
      <c r="CB31" s="180"/>
      <c r="CC31" s="180"/>
      <c r="CD31" s="180"/>
      <c r="CE31" s="180"/>
      <c r="CF31" s="180"/>
      <c r="CG31" s="181"/>
    </row>
    <row r="32" spans="1:85" s="182" customFormat="1" ht="15.75" hidden="1" customHeight="1" x14ac:dyDescent="0.3">
      <c r="A32" s="176">
        <v>119</v>
      </c>
      <c r="B32" s="176" t="s">
        <v>2695</v>
      </c>
      <c r="C32" s="176" t="s">
        <v>1588</v>
      </c>
      <c r="D32" s="177" t="s">
        <v>2696</v>
      </c>
      <c r="E32" s="178">
        <v>45467</v>
      </c>
      <c r="F32" s="178">
        <v>45472</v>
      </c>
      <c r="G32" s="176" t="s">
        <v>260</v>
      </c>
      <c r="H32" s="176" t="s">
        <v>260</v>
      </c>
      <c r="I32" s="176" t="s">
        <v>2249</v>
      </c>
      <c r="J32" s="176" t="s">
        <v>1586</v>
      </c>
      <c r="K32" s="176"/>
      <c r="L32" s="176"/>
      <c r="M32" s="178" t="s">
        <v>310</v>
      </c>
      <c r="N32" s="178" t="s">
        <v>310</v>
      </c>
      <c r="O32" s="176" t="s">
        <v>2697</v>
      </c>
      <c r="P32" s="176">
        <v>600000</v>
      </c>
      <c r="Q32" s="176" t="s">
        <v>2298</v>
      </c>
      <c r="R32" s="176" t="s">
        <v>260</v>
      </c>
      <c r="S32" s="176" t="s">
        <v>2446</v>
      </c>
      <c r="T32" s="179" t="s">
        <v>3073</v>
      </c>
      <c r="U32" s="179" t="s">
        <v>2299</v>
      </c>
      <c r="V32" s="176">
        <v>658885</v>
      </c>
      <c r="W32" s="176">
        <v>61111</v>
      </c>
      <c r="X32" s="176">
        <v>26617</v>
      </c>
      <c r="Y32" s="176">
        <v>10254</v>
      </c>
      <c r="Z32" s="176">
        <v>500</v>
      </c>
      <c r="AA32" s="176" t="s">
        <v>2253</v>
      </c>
      <c r="AB32" s="176">
        <v>0</v>
      </c>
      <c r="AC32" s="176">
        <v>0</v>
      </c>
      <c r="AD32" s="176">
        <v>0</v>
      </c>
      <c r="AE32" s="176">
        <v>0</v>
      </c>
      <c r="AF32" s="176">
        <v>0</v>
      </c>
      <c r="AG32" s="176">
        <v>0</v>
      </c>
      <c r="AH32" s="176">
        <v>0</v>
      </c>
      <c r="AI32" s="176">
        <v>0</v>
      </c>
      <c r="AJ32" s="176">
        <v>10000</v>
      </c>
      <c r="AK32" s="176">
        <v>0</v>
      </c>
      <c r="AL32" s="176">
        <v>0</v>
      </c>
      <c r="AM32" s="176">
        <v>0</v>
      </c>
      <c r="AN32" s="176">
        <v>0</v>
      </c>
      <c r="AO32" s="176">
        <v>0</v>
      </c>
      <c r="AP32" s="176">
        <v>0</v>
      </c>
      <c r="AQ32" s="176">
        <v>0</v>
      </c>
      <c r="AR32" s="176">
        <v>0</v>
      </c>
      <c r="AS32" s="176">
        <v>0</v>
      </c>
      <c r="AT32" s="176">
        <v>0</v>
      </c>
      <c r="AU32" s="176">
        <v>0</v>
      </c>
      <c r="AV32" s="176">
        <v>0</v>
      </c>
      <c r="AW32" s="176"/>
      <c r="AX32" s="176">
        <v>12367</v>
      </c>
      <c r="AY32" s="176">
        <f t="shared" si="0"/>
        <v>10367</v>
      </c>
      <c r="AZ32" s="176">
        <f t="shared" si="1"/>
        <v>12367</v>
      </c>
      <c r="BA32" s="176">
        <f t="shared" si="2"/>
        <v>10367</v>
      </c>
      <c r="BB32" s="176">
        <v>0</v>
      </c>
      <c r="BC32" s="176">
        <v>2000</v>
      </c>
      <c r="BD32" s="176">
        <v>0</v>
      </c>
      <c r="BE32" s="176">
        <v>0</v>
      </c>
      <c r="BF32" s="176">
        <f t="shared" si="3"/>
        <v>735000</v>
      </c>
      <c r="BG32" s="176">
        <v>600000</v>
      </c>
      <c r="BH32" s="176" t="s">
        <v>39</v>
      </c>
      <c r="BI32" s="176" t="s">
        <v>2253</v>
      </c>
      <c r="BJ32" s="176" t="s">
        <v>2253</v>
      </c>
      <c r="BK32" s="176" t="s">
        <v>2698</v>
      </c>
      <c r="BL32" s="176">
        <f>2100+15000+35000+50000</f>
        <v>102100</v>
      </c>
      <c r="BM32" s="176">
        <f t="shared" si="4"/>
        <v>32900</v>
      </c>
      <c r="BN32" s="178">
        <v>45478</v>
      </c>
      <c r="BO32" s="176"/>
      <c r="BP32" s="176"/>
      <c r="BQ32" s="176"/>
      <c r="BR32" s="176"/>
      <c r="BS32" s="176"/>
      <c r="BT32" s="176"/>
      <c r="BU32" s="180"/>
      <c r="BV32" s="180"/>
      <c r="BW32" s="180"/>
      <c r="BX32" s="180">
        <v>0</v>
      </c>
      <c r="BY32" s="180">
        <v>0</v>
      </c>
      <c r="BZ32" s="180">
        <v>0</v>
      </c>
      <c r="CA32" s="180" t="str">
        <f t="shared" si="5"/>
        <v>NO</v>
      </c>
      <c r="CB32" s="180"/>
      <c r="CC32" s="180"/>
      <c r="CD32" s="180"/>
      <c r="CE32" s="180"/>
      <c r="CF32" s="180"/>
      <c r="CG32" s="181"/>
    </row>
    <row r="33" spans="1:85" s="167" customFormat="1" ht="15.75" hidden="1" customHeight="1" x14ac:dyDescent="0.3">
      <c r="A33" s="29">
        <v>111</v>
      </c>
      <c r="B33" s="29" t="s">
        <v>2666</v>
      </c>
      <c r="C33" s="29" t="s">
        <v>1567</v>
      </c>
      <c r="D33" s="161" t="s">
        <v>2667</v>
      </c>
      <c r="E33" s="162">
        <v>45465</v>
      </c>
      <c r="F33" s="162">
        <v>45465</v>
      </c>
      <c r="G33" s="29" t="s">
        <v>260</v>
      </c>
      <c r="H33" s="29" t="s">
        <v>260</v>
      </c>
      <c r="I33" s="29" t="s">
        <v>2249</v>
      </c>
      <c r="J33" s="29" t="s">
        <v>1565</v>
      </c>
      <c r="K33" s="29"/>
      <c r="L33" s="29"/>
      <c r="M33" s="162" t="s">
        <v>310</v>
      </c>
      <c r="N33" s="162" t="s">
        <v>310</v>
      </c>
      <c r="O33" s="29" t="s">
        <v>2668</v>
      </c>
      <c r="P33" s="29">
        <v>0</v>
      </c>
      <c r="Q33" s="29" t="s">
        <v>77</v>
      </c>
      <c r="R33" s="29" t="s">
        <v>260</v>
      </c>
      <c r="S33" s="29" t="s">
        <v>2669</v>
      </c>
      <c r="T33" s="163" t="s">
        <v>3082</v>
      </c>
      <c r="U33" s="163" t="s">
        <v>2669</v>
      </c>
      <c r="V33" s="29">
        <v>658885</v>
      </c>
      <c r="W33" s="29">
        <v>61111</v>
      </c>
      <c r="X33" s="29">
        <v>27000</v>
      </c>
      <c r="Y33" s="29">
        <v>10254</v>
      </c>
      <c r="Z33" s="29">
        <v>500</v>
      </c>
      <c r="AA33" s="29" t="s">
        <v>2253</v>
      </c>
      <c r="AB33" s="29">
        <v>0</v>
      </c>
      <c r="AC33" s="29">
        <v>3186</v>
      </c>
      <c r="AD33" s="29">
        <v>0</v>
      </c>
      <c r="AE33" s="29">
        <v>0</v>
      </c>
      <c r="AF33" s="29">
        <v>27690</v>
      </c>
      <c r="AG33" s="29">
        <v>0</v>
      </c>
      <c r="AH33" s="29">
        <v>0</v>
      </c>
      <c r="AI33" s="29">
        <v>0</v>
      </c>
      <c r="AJ33" s="29">
        <v>10000</v>
      </c>
      <c r="AK33" s="29">
        <v>0</v>
      </c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T33" s="29">
        <v>0</v>
      </c>
      <c r="AU33" s="29">
        <v>0</v>
      </c>
      <c r="AV33" s="29">
        <v>0</v>
      </c>
      <c r="AW33" s="29"/>
      <c r="AX33" s="29">
        <v>5000</v>
      </c>
      <c r="AY33" s="29">
        <f t="shared" si="0"/>
        <v>3000</v>
      </c>
      <c r="AZ33" s="29">
        <f t="shared" si="1"/>
        <v>5000</v>
      </c>
      <c r="BA33" s="29">
        <f t="shared" si="2"/>
        <v>3000</v>
      </c>
      <c r="BB33" s="29">
        <v>0</v>
      </c>
      <c r="BC33" s="29">
        <v>2000</v>
      </c>
      <c r="BD33" s="29">
        <v>0</v>
      </c>
      <c r="BE33" s="29">
        <v>0</v>
      </c>
      <c r="BF33" s="29">
        <f t="shared" si="3"/>
        <v>773626</v>
      </c>
      <c r="BG33" s="29">
        <v>0</v>
      </c>
      <c r="BH33" s="29">
        <v>0</v>
      </c>
      <c r="BI33" s="29">
        <v>0</v>
      </c>
      <c r="BJ33" s="29">
        <v>0</v>
      </c>
      <c r="BK33" s="29">
        <v>0</v>
      </c>
      <c r="BL33" s="29">
        <v>0</v>
      </c>
      <c r="BM33" s="29">
        <f t="shared" si="4"/>
        <v>773626</v>
      </c>
      <c r="BN33" s="162"/>
      <c r="BO33" s="29"/>
      <c r="BP33" s="29"/>
      <c r="BQ33" s="29"/>
      <c r="BR33" s="29"/>
      <c r="BS33" s="29"/>
      <c r="BT33" s="29"/>
      <c r="BU33" s="165"/>
      <c r="BV33" s="165"/>
      <c r="BW33" s="165"/>
      <c r="BX33" s="165">
        <v>0</v>
      </c>
      <c r="BY33" s="165">
        <v>0</v>
      </c>
      <c r="BZ33" s="165">
        <v>0</v>
      </c>
      <c r="CA33" s="165" t="str">
        <f t="shared" si="5"/>
        <v>NO</v>
      </c>
      <c r="CB33" s="165"/>
      <c r="CC33" s="165"/>
      <c r="CD33" s="165"/>
      <c r="CE33" s="165"/>
      <c r="CF33" s="165"/>
      <c r="CG33" s="166"/>
    </row>
    <row r="34" spans="1:85" s="167" customFormat="1" ht="15.75" hidden="1" customHeight="1" x14ac:dyDescent="0.3">
      <c r="A34" s="29">
        <v>121</v>
      </c>
      <c r="B34" s="29" t="s">
        <v>2702</v>
      </c>
      <c r="C34" s="29" t="s">
        <v>1598</v>
      </c>
      <c r="D34" s="161" t="s">
        <v>2703</v>
      </c>
      <c r="E34" s="162">
        <v>45467</v>
      </c>
      <c r="F34" s="162">
        <v>45471</v>
      </c>
      <c r="G34" s="29" t="s">
        <v>260</v>
      </c>
      <c r="H34" s="29" t="s">
        <v>260</v>
      </c>
      <c r="I34" s="29" t="s">
        <v>2249</v>
      </c>
      <c r="J34" s="29" t="s">
        <v>1596</v>
      </c>
      <c r="K34" s="29"/>
      <c r="L34" s="29"/>
      <c r="M34" s="162" t="s">
        <v>310</v>
      </c>
      <c r="N34" s="162" t="s">
        <v>310</v>
      </c>
      <c r="O34" s="29" t="s">
        <v>2326</v>
      </c>
      <c r="P34" s="29">
        <v>475000</v>
      </c>
      <c r="Q34" s="29" t="s">
        <v>2298</v>
      </c>
      <c r="R34" s="29" t="s">
        <v>260</v>
      </c>
      <c r="S34" s="29" t="s">
        <v>2669</v>
      </c>
      <c r="T34" s="163" t="s">
        <v>3082</v>
      </c>
      <c r="U34" s="163" t="s">
        <v>2669</v>
      </c>
      <c r="V34" s="29">
        <v>561885</v>
      </c>
      <c r="W34" s="29">
        <v>53351</v>
      </c>
      <c r="X34" s="29">
        <v>25000</v>
      </c>
      <c r="Y34" s="29">
        <v>8744</v>
      </c>
      <c r="Z34" s="29">
        <v>500</v>
      </c>
      <c r="AA34" s="29" t="s">
        <v>2253</v>
      </c>
      <c r="AB34" s="29">
        <v>0</v>
      </c>
      <c r="AC34" s="29">
        <v>2726</v>
      </c>
      <c r="AD34" s="29">
        <v>0</v>
      </c>
      <c r="AE34" s="29">
        <v>0</v>
      </c>
      <c r="AF34" s="29">
        <v>32600</v>
      </c>
      <c r="AG34" s="29">
        <v>0</v>
      </c>
      <c r="AH34" s="29">
        <v>0</v>
      </c>
      <c r="AI34" s="29">
        <v>0</v>
      </c>
      <c r="AJ34" s="29">
        <v>10000</v>
      </c>
      <c r="AK34" s="29">
        <v>0</v>
      </c>
      <c r="AL34" s="29">
        <v>0</v>
      </c>
      <c r="AM34" s="29">
        <v>0</v>
      </c>
      <c r="AN34" s="29">
        <v>0</v>
      </c>
      <c r="AO34" s="29">
        <v>0</v>
      </c>
      <c r="AP34" s="29">
        <v>0</v>
      </c>
      <c r="AQ34" s="29">
        <v>0</v>
      </c>
      <c r="AR34" s="29">
        <v>15000</v>
      </c>
      <c r="AS34" s="29">
        <v>0</v>
      </c>
      <c r="AT34" s="29">
        <v>0</v>
      </c>
      <c r="AU34" s="29">
        <v>0</v>
      </c>
      <c r="AV34" s="29">
        <v>0</v>
      </c>
      <c r="AW34" s="29"/>
      <c r="AX34" s="29">
        <v>9806</v>
      </c>
      <c r="AY34" s="29">
        <f t="shared" ref="AY34:AY65" si="6">+AU34+AV34+AW34+AX34-BC34</f>
        <v>7806</v>
      </c>
      <c r="AZ34" s="29">
        <f t="shared" ref="AZ34:AZ65" si="7">+SUM(AU34:AX34)</f>
        <v>9806</v>
      </c>
      <c r="BA34" s="29">
        <f t="shared" ref="BA34:BA65" si="8">+IF(AZ34&gt;=BC34,AZ34-BC34,0)</f>
        <v>7806</v>
      </c>
      <c r="BB34" s="29">
        <v>0</v>
      </c>
      <c r="BC34" s="29">
        <v>2000</v>
      </c>
      <c r="BD34" s="29">
        <v>0</v>
      </c>
      <c r="BE34" s="29">
        <v>0</v>
      </c>
      <c r="BF34" s="29">
        <f t="shared" ref="BF34:BF65" si="9">V34+W34+X34+Y34+Z34+AB34+AE34+AF34+AG34+AI34-AJ34-AO34-AP34-AQ34-AR34-AS34-AT34-AX34-BB34-BD34-BE34-AW34-AU34+AD34-AV34-AN34+AC34</f>
        <v>650000</v>
      </c>
      <c r="BG34" s="29">
        <v>475000</v>
      </c>
      <c r="BH34" s="29" t="s">
        <v>39</v>
      </c>
      <c r="BI34" s="29" t="s">
        <v>2253</v>
      </c>
      <c r="BJ34" s="29" t="s">
        <v>2253</v>
      </c>
      <c r="BK34" s="29" t="s">
        <v>2704</v>
      </c>
      <c r="BL34" s="29">
        <f>150000</f>
        <v>150000</v>
      </c>
      <c r="BM34" s="29">
        <f t="shared" ref="BM34:BM65" si="10">BF34-BG34-BL34-AH34</f>
        <v>25000</v>
      </c>
      <c r="BN34" s="162">
        <v>45473</v>
      </c>
      <c r="BO34" s="29"/>
      <c r="BP34" s="29"/>
      <c r="BQ34" s="29"/>
      <c r="BR34" s="29"/>
      <c r="BS34" s="29"/>
      <c r="BT34" s="29"/>
      <c r="BU34" s="165"/>
      <c r="BV34" s="165"/>
      <c r="BW34" s="165"/>
      <c r="BX34" s="165">
        <v>0</v>
      </c>
      <c r="BY34" s="165">
        <v>0</v>
      </c>
      <c r="BZ34" s="165">
        <v>0</v>
      </c>
      <c r="CA34" s="165" t="str">
        <f t="shared" si="5"/>
        <v>NO</v>
      </c>
      <c r="CB34" s="165"/>
      <c r="CC34" s="165"/>
      <c r="CD34" s="165"/>
      <c r="CE34" s="165"/>
      <c r="CF34" s="165"/>
      <c r="CG34" s="166"/>
    </row>
    <row r="35" spans="1:85" s="182" customFormat="1" ht="15.75" hidden="1" customHeight="1" x14ac:dyDescent="0.3">
      <c r="A35" s="176">
        <v>82</v>
      </c>
      <c r="B35" s="176" t="s">
        <v>2571</v>
      </c>
      <c r="C35" s="176">
        <v>505356</v>
      </c>
      <c r="D35" s="177" t="s">
        <v>2572</v>
      </c>
      <c r="E35" s="178">
        <v>45461</v>
      </c>
      <c r="F35" s="178">
        <v>45462</v>
      </c>
      <c r="G35" s="176" t="s">
        <v>260</v>
      </c>
      <c r="H35" s="176" t="s">
        <v>260</v>
      </c>
      <c r="I35" s="176" t="s">
        <v>2249</v>
      </c>
      <c r="J35" s="176" t="s">
        <v>1501</v>
      </c>
      <c r="K35" s="176"/>
      <c r="L35" s="176"/>
      <c r="M35" s="178" t="s">
        <v>2503</v>
      </c>
      <c r="N35" s="178" t="s">
        <v>2988</v>
      </c>
      <c r="O35" s="176" t="s">
        <v>2392</v>
      </c>
      <c r="P35" s="176">
        <v>475000</v>
      </c>
      <c r="Q35" s="176" t="s">
        <v>2284</v>
      </c>
      <c r="R35" s="176" t="s">
        <v>2573</v>
      </c>
      <c r="S35" s="176" t="s">
        <v>1503</v>
      </c>
      <c r="T35" s="179" t="s">
        <v>3064</v>
      </c>
      <c r="U35" s="179" t="s">
        <v>2299</v>
      </c>
      <c r="V35" s="176">
        <v>522385</v>
      </c>
      <c r="W35" s="176">
        <v>49391</v>
      </c>
      <c r="X35" s="176">
        <v>20000</v>
      </c>
      <c r="Y35" s="176">
        <v>8130</v>
      </c>
      <c r="Z35" s="176">
        <v>500</v>
      </c>
      <c r="AA35" s="176" t="s">
        <v>2253</v>
      </c>
      <c r="AB35" s="176">
        <v>0</v>
      </c>
      <c r="AC35" s="176">
        <v>2525</v>
      </c>
      <c r="AD35" s="176">
        <v>0</v>
      </c>
      <c r="AE35" s="176">
        <v>0</v>
      </c>
      <c r="AF35" s="176">
        <f>28980+510</f>
        <v>29490</v>
      </c>
      <c r="AG35" s="176">
        <v>0</v>
      </c>
      <c r="AH35" s="176">
        <v>0</v>
      </c>
      <c r="AI35" s="176">
        <v>0</v>
      </c>
      <c r="AJ35" s="176">
        <v>18000</v>
      </c>
      <c r="AK35" s="176">
        <v>0</v>
      </c>
      <c r="AL35" s="176">
        <v>0</v>
      </c>
      <c r="AM35" s="176">
        <v>0</v>
      </c>
      <c r="AN35" s="176">
        <v>0</v>
      </c>
      <c r="AO35" s="176">
        <v>0</v>
      </c>
      <c r="AP35" s="176">
        <v>0</v>
      </c>
      <c r="AQ35" s="176">
        <v>3100</v>
      </c>
      <c r="AR35" s="176">
        <v>17000</v>
      </c>
      <c r="AS35" s="176">
        <v>0</v>
      </c>
      <c r="AT35" s="176">
        <v>0</v>
      </c>
      <c r="AU35" s="176">
        <v>0</v>
      </c>
      <c r="AV35" s="176">
        <v>0</v>
      </c>
      <c r="AW35" s="176">
        <v>14853</v>
      </c>
      <c r="AX35" s="176">
        <v>3958</v>
      </c>
      <c r="AY35" s="176">
        <f t="shared" si="6"/>
        <v>16811</v>
      </c>
      <c r="AZ35" s="176">
        <f t="shared" si="7"/>
        <v>18811</v>
      </c>
      <c r="BA35" s="176">
        <f t="shared" si="8"/>
        <v>16811</v>
      </c>
      <c r="BB35" s="176">
        <v>0</v>
      </c>
      <c r="BC35" s="176">
        <v>2000</v>
      </c>
      <c r="BD35" s="176">
        <v>0</v>
      </c>
      <c r="BE35" s="176">
        <v>0</v>
      </c>
      <c r="BF35" s="176">
        <f t="shared" si="9"/>
        <v>575510</v>
      </c>
      <c r="BG35" s="176">
        <v>575000</v>
      </c>
      <c r="BH35" s="176" t="s">
        <v>2287</v>
      </c>
      <c r="BI35" s="176" t="s">
        <v>2253</v>
      </c>
      <c r="BJ35" s="176" t="s">
        <v>2253</v>
      </c>
      <c r="BK35" s="176">
        <v>0</v>
      </c>
      <c r="BL35" s="176">
        <v>2100</v>
      </c>
      <c r="BM35" s="176">
        <f t="shared" si="10"/>
        <v>-1590</v>
      </c>
      <c r="BN35" s="178"/>
      <c r="BO35" s="176"/>
      <c r="BP35" s="176"/>
      <c r="BQ35" s="176"/>
      <c r="BR35" s="176"/>
      <c r="BS35" s="176"/>
      <c r="BT35" s="176"/>
      <c r="BU35" s="180"/>
      <c r="BV35" s="180"/>
      <c r="BW35" s="180"/>
      <c r="BX35" s="180">
        <v>0</v>
      </c>
      <c r="BY35" s="180">
        <v>0</v>
      </c>
      <c r="BZ35" s="180">
        <v>0</v>
      </c>
      <c r="CA35" s="180" t="str">
        <f t="shared" si="5"/>
        <v>NO</v>
      </c>
      <c r="CB35" s="180"/>
      <c r="CC35" s="180"/>
      <c r="CD35" s="180"/>
      <c r="CE35" s="180"/>
      <c r="CF35" s="180"/>
      <c r="CG35" s="181"/>
    </row>
    <row r="36" spans="1:85" s="182" customFormat="1" ht="15.75" hidden="1" customHeight="1" x14ac:dyDescent="0.3">
      <c r="A36" s="176">
        <v>138</v>
      </c>
      <c r="B36" s="176" t="s">
        <v>2754</v>
      </c>
      <c r="C36" s="176">
        <v>797478</v>
      </c>
      <c r="D36" s="177" t="s">
        <v>2755</v>
      </c>
      <c r="E36" s="178">
        <v>45469</v>
      </c>
      <c r="F36" s="178">
        <v>45471</v>
      </c>
      <c r="G36" s="176" t="s">
        <v>260</v>
      </c>
      <c r="H36" s="176" t="s">
        <v>260</v>
      </c>
      <c r="I36" s="176" t="s">
        <v>2249</v>
      </c>
      <c r="J36" s="176" t="s">
        <v>1646</v>
      </c>
      <c r="K36" s="176"/>
      <c r="L36" s="176"/>
      <c r="M36" s="178" t="s">
        <v>2263</v>
      </c>
      <c r="N36" s="178" t="s">
        <v>2263</v>
      </c>
      <c r="O36" s="176" t="s">
        <v>2756</v>
      </c>
      <c r="P36" s="176">
        <v>1120000</v>
      </c>
      <c r="Q36" s="176" t="s">
        <v>2298</v>
      </c>
      <c r="R36" s="176" t="s">
        <v>260</v>
      </c>
      <c r="S36" s="176" t="s">
        <v>1503</v>
      </c>
      <c r="T36" s="179" t="s">
        <v>3064</v>
      </c>
      <c r="U36" s="179" t="s">
        <v>2299</v>
      </c>
      <c r="V36" s="176">
        <v>1188000</v>
      </c>
      <c r="W36" s="176">
        <v>126988</v>
      </c>
      <c r="X36" s="176">
        <v>36675</v>
      </c>
      <c r="Y36" s="176">
        <v>20190</v>
      </c>
      <c r="Z36" s="176">
        <v>500</v>
      </c>
      <c r="AA36" s="176" t="s">
        <v>2260</v>
      </c>
      <c r="AB36" s="176">
        <v>0</v>
      </c>
      <c r="AC36" s="176">
        <v>5758</v>
      </c>
      <c r="AD36" s="176">
        <v>11889</v>
      </c>
      <c r="AE36" s="176">
        <v>0</v>
      </c>
      <c r="AF36" s="176">
        <v>42000</v>
      </c>
      <c r="AG36" s="176">
        <v>0</v>
      </c>
      <c r="AH36" s="176">
        <v>652000</v>
      </c>
      <c r="AI36" s="176">
        <v>431310</v>
      </c>
      <c r="AJ36" s="176">
        <v>0</v>
      </c>
      <c r="AK36" s="176">
        <v>0</v>
      </c>
      <c r="AL36" s="176">
        <v>0</v>
      </c>
      <c r="AM36" s="176">
        <v>0</v>
      </c>
      <c r="AN36" s="176">
        <v>0</v>
      </c>
      <c r="AO36" s="176">
        <v>0</v>
      </c>
      <c r="AP36" s="176">
        <v>0</v>
      </c>
      <c r="AQ36" s="176">
        <v>0</v>
      </c>
      <c r="AR36" s="176">
        <v>0</v>
      </c>
      <c r="AS36" s="176">
        <v>0</v>
      </c>
      <c r="AT36" s="176">
        <v>0</v>
      </c>
      <c r="AU36" s="176">
        <v>5000</v>
      </c>
      <c r="AV36" s="176">
        <v>0</v>
      </c>
      <c r="AW36" s="176"/>
      <c r="AX36" s="176">
        <v>0</v>
      </c>
      <c r="AY36" s="176">
        <f t="shared" si="6"/>
        <v>3000</v>
      </c>
      <c r="AZ36" s="176">
        <f t="shared" si="7"/>
        <v>5000</v>
      </c>
      <c r="BA36" s="176">
        <f t="shared" si="8"/>
        <v>3000</v>
      </c>
      <c r="BB36" s="176">
        <v>0</v>
      </c>
      <c r="BC36" s="176">
        <v>2000</v>
      </c>
      <c r="BD36" s="176">
        <v>0</v>
      </c>
      <c r="BE36" s="176">
        <v>0</v>
      </c>
      <c r="BF36" s="176">
        <f t="shared" si="9"/>
        <v>1858310</v>
      </c>
      <c r="BG36" s="176">
        <v>1120000</v>
      </c>
      <c r="BH36" s="176" t="s">
        <v>39</v>
      </c>
      <c r="BI36" s="176" t="s">
        <v>2253</v>
      </c>
      <c r="BJ36" s="176" t="s">
        <v>2253</v>
      </c>
      <c r="BK36" s="176" t="s">
        <v>2757</v>
      </c>
      <c r="BL36" s="176">
        <f>2100+22000+25535</f>
        <v>49635</v>
      </c>
      <c r="BM36" s="176">
        <f t="shared" si="10"/>
        <v>36675</v>
      </c>
      <c r="BN36" s="178">
        <v>45473</v>
      </c>
      <c r="BO36" s="176"/>
      <c r="BP36" s="176" t="s">
        <v>2253</v>
      </c>
      <c r="BQ36" s="176" t="s">
        <v>2253</v>
      </c>
      <c r="BR36" s="176" t="s">
        <v>2253</v>
      </c>
      <c r="BS36" s="176" t="s">
        <v>2439</v>
      </c>
      <c r="BT36" s="176"/>
      <c r="BU36" s="180"/>
      <c r="BV36" s="180"/>
      <c r="BW36" s="180"/>
      <c r="BX36" s="180">
        <v>0</v>
      </c>
      <c r="BY36" s="180">
        <v>0</v>
      </c>
      <c r="BZ36" s="180">
        <v>0</v>
      </c>
      <c r="CA36" s="180" t="str">
        <f t="shared" si="5"/>
        <v>NO</v>
      </c>
      <c r="CB36" s="180"/>
      <c r="CC36" s="180"/>
      <c r="CD36" s="180"/>
      <c r="CE36" s="180"/>
      <c r="CF36" s="180"/>
      <c r="CG36" s="181"/>
    </row>
    <row r="37" spans="1:85" s="20" customFormat="1" ht="15.75" hidden="1" customHeight="1" x14ac:dyDescent="0.3">
      <c r="A37" s="21">
        <v>1</v>
      </c>
      <c r="B37" s="22" t="s">
        <v>2247</v>
      </c>
      <c r="C37" s="22" t="s">
        <v>1308</v>
      </c>
      <c r="D37" s="23" t="s">
        <v>2248</v>
      </c>
      <c r="E37" s="24">
        <v>45444</v>
      </c>
      <c r="F37" s="24">
        <v>45443</v>
      </c>
      <c r="G37" s="22" t="s">
        <v>260</v>
      </c>
      <c r="H37" s="22" t="s">
        <v>260</v>
      </c>
      <c r="I37" s="22" t="s">
        <v>2249</v>
      </c>
      <c r="J37" s="22" t="s">
        <v>1306</v>
      </c>
      <c r="K37" s="22"/>
      <c r="L37" s="22"/>
      <c r="M37" s="24" t="s">
        <v>310</v>
      </c>
      <c r="N37" s="24" t="s">
        <v>310</v>
      </c>
      <c r="O37" s="22" t="s">
        <v>2250</v>
      </c>
      <c r="P37" s="22">
        <v>560000</v>
      </c>
      <c r="Q37" s="22" t="s">
        <v>2251</v>
      </c>
      <c r="R37" s="22" t="s">
        <v>285</v>
      </c>
      <c r="S37" s="21" t="s">
        <v>1309</v>
      </c>
      <c r="T37" s="8" t="s">
        <v>3092</v>
      </c>
      <c r="U37" s="8" t="s">
        <v>2252</v>
      </c>
      <c r="V37" s="21">
        <v>568885</v>
      </c>
      <c r="W37" s="21">
        <v>53911</v>
      </c>
      <c r="X37" s="21">
        <v>24500</v>
      </c>
      <c r="Y37" s="21">
        <v>8850</v>
      </c>
      <c r="Z37" s="21">
        <v>500</v>
      </c>
      <c r="AA37" s="21" t="s">
        <v>2253</v>
      </c>
      <c r="AB37" s="21">
        <v>0</v>
      </c>
      <c r="AC37" s="21">
        <v>0</v>
      </c>
      <c r="AD37" s="21">
        <v>0</v>
      </c>
      <c r="AE37" s="21">
        <v>0</v>
      </c>
      <c r="AF37" s="21">
        <v>28000</v>
      </c>
      <c r="AG37" s="21">
        <v>0</v>
      </c>
      <c r="AH37" s="21">
        <v>0</v>
      </c>
      <c r="AI37" s="21">
        <v>0</v>
      </c>
      <c r="AJ37" s="21">
        <v>10000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21">
        <v>0</v>
      </c>
      <c r="AR37" s="21">
        <v>15000</v>
      </c>
      <c r="AS37" s="21">
        <v>0</v>
      </c>
      <c r="AT37" s="21">
        <v>0</v>
      </c>
      <c r="AU37" s="21">
        <v>0</v>
      </c>
      <c r="AV37" s="21">
        <v>0</v>
      </c>
      <c r="AW37" s="21"/>
      <c r="AX37" s="21">
        <v>6646</v>
      </c>
      <c r="AY37" s="21">
        <f t="shared" si="6"/>
        <v>4646</v>
      </c>
      <c r="AZ37" s="21">
        <f t="shared" si="7"/>
        <v>6646</v>
      </c>
      <c r="BA37" s="21">
        <f t="shared" si="8"/>
        <v>4646</v>
      </c>
      <c r="BB37" s="21">
        <v>0</v>
      </c>
      <c r="BC37" s="21">
        <v>2000</v>
      </c>
      <c r="BD37" s="21">
        <v>0</v>
      </c>
      <c r="BE37" s="21">
        <v>0</v>
      </c>
      <c r="BF37" s="21">
        <f t="shared" si="9"/>
        <v>653000</v>
      </c>
      <c r="BG37" s="21">
        <v>541541</v>
      </c>
      <c r="BH37" s="21" t="s">
        <v>39</v>
      </c>
      <c r="BI37" s="21" t="s">
        <v>2253</v>
      </c>
      <c r="BJ37" s="21" t="s">
        <v>2253</v>
      </c>
      <c r="BK37" s="21">
        <v>1128503</v>
      </c>
      <c r="BL37" s="21">
        <f>10000+2100+51400</f>
        <v>63500</v>
      </c>
      <c r="BM37" s="21">
        <f t="shared" si="10"/>
        <v>47959</v>
      </c>
      <c r="BN37" s="25">
        <v>45471</v>
      </c>
      <c r="BO37" s="21"/>
      <c r="BP37" s="21"/>
      <c r="BQ37" s="21"/>
      <c r="BR37" s="21"/>
      <c r="BS37" s="21"/>
      <c r="BT37" s="21"/>
      <c r="BU37" s="26"/>
      <c r="BV37" s="27"/>
      <c r="BW37" s="27"/>
      <c r="BX37" s="27">
        <v>0</v>
      </c>
      <c r="BY37" s="27">
        <v>0</v>
      </c>
      <c r="BZ37" s="27">
        <v>0</v>
      </c>
      <c r="CA37" s="27" t="str">
        <f t="shared" si="5"/>
        <v>NO</v>
      </c>
      <c r="CB37" s="27"/>
      <c r="CC37" s="27"/>
      <c r="CD37" s="27"/>
      <c r="CE37" s="27"/>
      <c r="CF37" s="27"/>
      <c r="CG37" s="28"/>
    </row>
    <row r="38" spans="1:85" s="20" customFormat="1" ht="15.75" hidden="1" customHeight="1" x14ac:dyDescent="0.3">
      <c r="A38" s="21">
        <v>13</v>
      </c>
      <c r="B38" s="22" t="s">
        <v>2324</v>
      </c>
      <c r="C38" s="22" t="s">
        <v>1320</v>
      </c>
      <c r="D38" s="23" t="s">
        <v>2325</v>
      </c>
      <c r="E38" s="24">
        <v>45447</v>
      </c>
      <c r="F38" s="24">
        <v>45451</v>
      </c>
      <c r="G38" s="22" t="s">
        <v>260</v>
      </c>
      <c r="H38" s="22" t="s">
        <v>260</v>
      </c>
      <c r="I38" s="22" t="s">
        <v>2249</v>
      </c>
      <c r="J38" s="23" t="s">
        <v>1318</v>
      </c>
      <c r="K38" s="22"/>
      <c r="L38" s="22"/>
      <c r="M38" s="24" t="s">
        <v>310</v>
      </c>
      <c r="N38" s="24" t="s">
        <v>310</v>
      </c>
      <c r="O38" s="22" t="s">
        <v>2326</v>
      </c>
      <c r="P38" s="22">
        <v>425000</v>
      </c>
      <c r="Q38" s="22" t="s">
        <v>2327</v>
      </c>
      <c r="R38" s="22" t="s">
        <v>260</v>
      </c>
      <c r="S38" s="21" t="s">
        <v>1309</v>
      </c>
      <c r="T38" s="8" t="s">
        <v>3092</v>
      </c>
      <c r="U38" s="8" t="s">
        <v>2252</v>
      </c>
      <c r="V38" s="21">
        <v>561885</v>
      </c>
      <c r="W38" s="21">
        <v>53351</v>
      </c>
      <c r="X38" s="21">
        <v>24500</v>
      </c>
      <c r="Y38" s="21">
        <v>0</v>
      </c>
      <c r="Z38" s="21">
        <v>500</v>
      </c>
      <c r="AA38" s="21" t="s">
        <v>2253</v>
      </c>
      <c r="AB38" s="21">
        <v>0</v>
      </c>
      <c r="AC38" s="21">
        <v>0</v>
      </c>
      <c r="AD38" s="21">
        <v>0</v>
      </c>
      <c r="AE38" s="21">
        <v>0</v>
      </c>
      <c r="AF38" s="21">
        <v>22690</v>
      </c>
      <c r="AG38" s="21">
        <v>0</v>
      </c>
      <c r="AH38" s="21">
        <v>0</v>
      </c>
      <c r="AI38" s="21">
        <v>0</v>
      </c>
      <c r="AJ38" s="21">
        <v>10000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  <c r="AP38" s="21">
        <v>0</v>
      </c>
      <c r="AQ38" s="21">
        <v>0</v>
      </c>
      <c r="AR38" s="21">
        <v>15000</v>
      </c>
      <c r="AS38" s="21">
        <v>0</v>
      </c>
      <c r="AT38" s="21">
        <v>0</v>
      </c>
      <c r="AU38" s="21">
        <v>0</v>
      </c>
      <c r="AV38" s="21">
        <v>0</v>
      </c>
      <c r="AW38" s="21"/>
      <c r="AX38" s="21">
        <v>12926</v>
      </c>
      <c r="AY38" s="21">
        <f t="shared" si="6"/>
        <v>10926</v>
      </c>
      <c r="AZ38" s="21">
        <f t="shared" si="7"/>
        <v>12926</v>
      </c>
      <c r="BA38" s="21">
        <f t="shared" si="8"/>
        <v>10926</v>
      </c>
      <c r="BB38" s="21">
        <v>0</v>
      </c>
      <c r="BC38" s="21">
        <v>2000</v>
      </c>
      <c r="BD38" s="21">
        <v>0</v>
      </c>
      <c r="BE38" s="21">
        <v>0</v>
      </c>
      <c r="BF38" s="21">
        <f t="shared" si="9"/>
        <v>625000</v>
      </c>
      <c r="BG38" s="21">
        <v>414287</v>
      </c>
      <c r="BH38" s="21" t="s">
        <v>39</v>
      </c>
      <c r="BI38" s="21" t="s">
        <v>2253</v>
      </c>
      <c r="BJ38" s="21" t="s">
        <v>2253</v>
      </c>
      <c r="BK38" s="21" t="s">
        <v>2328</v>
      </c>
      <c r="BL38" s="21">
        <f>200000</f>
        <v>200000</v>
      </c>
      <c r="BM38" s="21">
        <f t="shared" si="10"/>
        <v>10713</v>
      </c>
      <c r="BN38" s="25">
        <v>45449</v>
      </c>
      <c r="BO38" s="21"/>
      <c r="BP38" s="21"/>
      <c r="BQ38" s="21"/>
      <c r="BR38" s="21"/>
      <c r="BS38" s="21"/>
      <c r="BT38" s="21"/>
      <c r="BU38" s="26"/>
      <c r="BV38" s="27"/>
      <c r="BW38" s="27"/>
      <c r="BX38" s="27">
        <v>0</v>
      </c>
      <c r="BY38" s="27">
        <v>0</v>
      </c>
      <c r="BZ38" s="27">
        <v>0</v>
      </c>
      <c r="CA38" s="27" t="str">
        <f t="shared" si="5"/>
        <v>NO</v>
      </c>
      <c r="CB38" s="27"/>
      <c r="CC38" s="27"/>
      <c r="CD38" s="27"/>
      <c r="CE38" s="27"/>
      <c r="CF38" s="27"/>
      <c r="CG38" s="28"/>
    </row>
    <row r="39" spans="1:85" s="20" customFormat="1" ht="15.75" hidden="1" customHeight="1" x14ac:dyDescent="0.3">
      <c r="A39" s="21">
        <v>29</v>
      </c>
      <c r="B39" s="22" t="s">
        <v>2387</v>
      </c>
      <c r="C39" s="22" t="s">
        <v>1360</v>
      </c>
      <c r="D39" s="23" t="s">
        <v>2388</v>
      </c>
      <c r="E39" s="24">
        <v>45450</v>
      </c>
      <c r="F39" s="24">
        <v>45451</v>
      </c>
      <c r="G39" s="22" t="s">
        <v>260</v>
      </c>
      <c r="H39" s="22" t="s">
        <v>260</v>
      </c>
      <c r="I39" s="22" t="s">
        <v>2249</v>
      </c>
      <c r="J39" s="22" t="s">
        <v>2389</v>
      </c>
      <c r="K39" s="22"/>
      <c r="L39" s="22"/>
      <c r="M39" s="24" t="s">
        <v>310</v>
      </c>
      <c r="N39" s="24" t="s">
        <v>310</v>
      </c>
      <c r="O39" s="22" t="s">
        <v>2250</v>
      </c>
      <c r="P39" s="22">
        <v>590000</v>
      </c>
      <c r="Q39" s="22" t="s">
        <v>2271</v>
      </c>
      <c r="R39" s="22" t="s">
        <v>260</v>
      </c>
      <c r="S39" s="21" t="s">
        <v>1309</v>
      </c>
      <c r="T39" s="8" t="s">
        <v>3092</v>
      </c>
      <c r="U39" s="8" t="s">
        <v>2252</v>
      </c>
      <c r="V39" s="21">
        <v>568885</v>
      </c>
      <c r="W39" s="21">
        <v>53911</v>
      </c>
      <c r="X39" s="21">
        <v>24500</v>
      </c>
      <c r="Y39" s="21">
        <v>8850</v>
      </c>
      <c r="Z39" s="21">
        <v>500</v>
      </c>
      <c r="AA39" s="21" t="s">
        <v>2253</v>
      </c>
      <c r="AB39" s="21">
        <v>0</v>
      </c>
      <c r="AC39" s="21">
        <v>0</v>
      </c>
      <c r="AD39" s="21">
        <v>0</v>
      </c>
      <c r="AE39" s="21">
        <v>0</v>
      </c>
      <c r="AF39" s="21">
        <v>31290</v>
      </c>
      <c r="AG39" s="21">
        <v>0</v>
      </c>
      <c r="AH39" s="21">
        <v>0</v>
      </c>
      <c r="AI39" s="21">
        <v>0</v>
      </c>
      <c r="AJ39" s="21">
        <v>10000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21">
        <v>0</v>
      </c>
      <c r="AR39" s="21">
        <v>15000</v>
      </c>
      <c r="AS39" s="21">
        <v>0</v>
      </c>
      <c r="AT39" s="21">
        <v>0</v>
      </c>
      <c r="AU39" s="21">
        <v>5290</v>
      </c>
      <c r="AV39" s="21">
        <v>0</v>
      </c>
      <c r="AW39" s="21"/>
      <c r="AX39" s="21">
        <v>7646</v>
      </c>
      <c r="AY39" s="21">
        <f t="shared" si="6"/>
        <v>10936</v>
      </c>
      <c r="AZ39" s="21">
        <f t="shared" si="7"/>
        <v>12936</v>
      </c>
      <c r="BA39" s="21">
        <f t="shared" si="8"/>
        <v>10936</v>
      </c>
      <c r="BB39" s="21">
        <v>0</v>
      </c>
      <c r="BC39" s="21">
        <v>2000</v>
      </c>
      <c r="BD39" s="21">
        <v>0</v>
      </c>
      <c r="BE39" s="21">
        <v>0</v>
      </c>
      <c r="BF39" s="21">
        <f t="shared" si="9"/>
        <v>650000</v>
      </c>
      <c r="BG39" s="21">
        <v>567952</v>
      </c>
      <c r="BH39" s="21" t="s">
        <v>39</v>
      </c>
      <c r="BI39" s="21" t="s">
        <v>2253</v>
      </c>
      <c r="BJ39" s="21" t="s">
        <v>2253</v>
      </c>
      <c r="BK39" s="21">
        <v>13399841</v>
      </c>
      <c r="BL39" s="21">
        <f>25000+5000</f>
        <v>30000</v>
      </c>
      <c r="BM39" s="21">
        <f t="shared" si="10"/>
        <v>52048</v>
      </c>
      <c r="BN39" s="25">
        <v>45453</v>
      </c>
      <c r="BO39" s="21"/>
      <c r="BP39" s="21"/>
      <c r="BQ39" s="21"/>
      <c r="BR39" s="21"/>
      <c r="BS39" s="21"/>
      <c r="BT39" s="21"/>
      <c r="BU39" s="26"/>
      <c r="BV39" s="27"/>
      <c r="BW39" s="27"/>
      <c r="BX39" s="27">
        <v>0</v>
      </c>
      <c r="BY39" s="27">
        <v>0</v>
      </c>
      <c r="BZ39" s="27">
        <v>0</v>
      </c>
      <c r="CA39" s="27" t="str">
        <f t="shared" si="5"/>
        <v>NO</v>
      </c>
      <c r="CB39" s="27"/>
      <c r="CC39" s="27"/>
      <c r="CD39" s="27"/>
      <c r="CE39" s="27"/>
      <c r="CF39" s="27"/>
      <c r="CG39" s="28"/>
    </row>
    <row r="40" spans="1:85" s="20" customFormat="1" ht="15.75" hidden="1" customHeight="1" x14ac:dyDescent="0.3">
      <c r="A40" s="21">
        <v>142</v>
      </c>
      <c r="B40" s="22" t="s">
        <v>2769</v>
      </c>
      <c r="C40" s="22" t="s">
        <v>1668</v>
      </c>
      <c r="D40" s="23" t="s">
        <v>2770</v>
      </c>
      <c r="E40" s="24">
        <v>45470</v>
      </c>
      <c r="F40" s="24">
        <v>45472</v>
      </c>
      <c r="G40" s="22" t="s">
        <v>260</v>
      </c>
      <c r="H40" s="22" t="s">
        <v>260</v>
      </c>
      <c r="I40" s="22" t="s">
        <v>2249</v>
      </c>
      <c r="J40" s="22" t="s">
        <v>1666</v>
      </c>
      <c r="K40" s="22"/>
      <c r="L40" s="22"/>
      <c r="M40" s="24" t="s">
        <v>310</v>
      </c>
      <c r="N40" s="24" t="s">
        <v>310</v>
      </c>
      <c r="O40" s="22" t="s">
        <v>2497</v>
      </c>
      <c r="P40" s="22">
        <v>550000</v>
      </c>
      <c r="Q40" s="22" t="s">
        <v>2265</v>
      </c>
      <c r="R40" s="22" t="s">
        <v>260</v>
      </c>
      <c r="S40" s="21" t="s">
        <v>1309</v>
      </c>
      <c r="T40" s="8" t="s">
        <v>3092</v>
      </c>
      <c r="U40" s="8" t="s">
        <v>2252</v>
      </c>
      <c r="V40" s="21">
        <v>561885</v>
      </c>
      <c r="W40" s="21">
        <v>53351</v>
      </c>
      <c r="X40" s="21">
        <v>25000</v>
      </c>
      <c r="Y40" s="21">
        <v>8744</v>
      </c>
      <c r="Z40" s="21">
        <v>500</v>
      </c>
      <c r="AA40" s="21" t="s">
        <v>2253</v>
      </c>
      <c r="AB40" s="21">
        <v>0</v>
      </c>
      <c r="AC40" s="21">
        <v>2726</v>
      </c>
      <c r="AD40" s="21">
        <v>26338</v>
      </c>
      <c r="AE40" s="21">
        <v>0</v>
      </c>
      <c r="AF40" s="21">
        <v>30000</v>
      </c>
      <c r="AG40" s="21">
        <v>0</v>
      </c>
      <c r="AH40" s="21">
        <v>0</v>
      </c>
      <c r="AI40" s="21">
        <v>0</v>
      </c>
      <c r="AJ40" s="21">
        <v>10000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  <c r="AP40" s="21">
        <v>0</v>
      </c>
      <c r="AQ40" s="21">
        <v>0</v>
      </c>
      <c r="AR40" s="21">
        <v>15000</v>
      </c>
      <c r="AS40" s="21">
        <v>0</v>
      </c>
      <c r="AT40" s="21">
        <v>0</v>
      </c>
      <c r="AU40" s="21">
        <v>0</v>
      </c>
      <c r="AV40" s="21">
        <v>0</v>
      </c>
      <c r="AW40" s="21"/>
      <c r="AX40" s="21">
        <v>7206</v>
      </c>
      <c r="AY40" s="21">
        <f t="shared" si="6"/>
        <v>5206</v>
      </c>
      <c r="AZ40" s="21">
        <f t="shared" si="7"/>
        <v>7206</v>
      </c>
      <c r="BA40" s="21">
        <f t="shared" si="8"/>
        <v>5206</v>
      </c>
      <c r="BB40" s="21">
        <v>0</v>
      </c>
      <c r="BC40" s="21">
        <v>2000</v>
      </c>
      <c r="BD40" s="21">
        <v>0</v>
      </c>
      <c r="BE40" s="21">
        <v>0</v>
      </c>
      <c r="BF40" s="21">
        <f t="shared" si="9"/>
        <v>676338</v>
      </c>
      <c r="BG40" s="21">
        <v>561885</v>
      </c>
      <c r="BH40" s="21" t="s">
        <v>39</v>
      </c>
      <c r="BI40" s="21" t="s">
        <v>2253</v>
      </c>
      <c r="BJ40" s="21" t="s">
        <v>2253</v>
      </c>
      <c r="BK40" s="21">
        <v>146273163</v>
      </c>
      <c r="BL40" s="21">
        <f>5000+57500+51953</f>
        <v>114453</v>
      </c>
      <c r="BM40" s="21">
        <f t="shared" si="10"/>
        <v>0</v>
      </c>
      <c r="BN40" s="25"/>
      <c r="BO40" s="21"/>
      <c r="BP40" s="21"/>
      <c r="BQ40" s="21"/>
      <c r="BR40" s="21"/>
      <c r="BS40" s="21"/>
      <c r="BT40" s="21"/>
      <c r="BU40" s="26"/>
      <c r="BV40" s="27"/>
      <c r="BW40" s="27"/>
      <c r="BX40" s="27">
        <v>0</v>
      </c>
      <c r="BY40" s="27">
        <v>0</v>
      </c>
      <c r="BZ40" s="27">
        <v>0</v>
      </c>
      <c r="CA40" s="27" t="str">
        <f t="shared" si="5"/>
        <v>NO</v>
      </c>
      <c r="CB40" s="27"/>
      <c r="CC40" s="27"/>
      <c r="CD40" s="27"/>
      <c r="CE40" s="27"/>
      <c r="CF40" s="27"/>
      <c r="CG40" s="28"/>
    </row>
    <row r="41" spans="1:85" s="20" customFormat="1" ht="15.75" hidden="1" customHeight="1" x14ac:dyDescent="0.3">
      <c r="A41" s="21">
        <v>2</v>
      </c>
      <c r="B41" s="22" t="s">
        <v>2254</v>
      </c>
      <c r="C41" s="22" t="s">
        <v>626</v>
      </c>
      <c r="D41" s="23" t="s">
        <v>2255</v>
      </c>
      <c r="E41" s="24">
        <v>45444</v>
      </c>
      <c r="F41" s="24">
        <v>45446</v>
      </c>
      <c r="G41" s="22" t="s">
        <v>646</v>
      </c>
      <c r="H41" s="22" t="s">
        <v>646</v>
      </c>
      <c r="I41" s="22" t="s">
        <v>2249</v>
      </c>
      <c r="J41" s="22" t="s">
        <v>624</v>
      </c>
      <c r="K41" s="22"/>
      <c r="L41" s="22"/>
      <c r="M41" s="24" t="s">
        <v>310</v>
      </c>
      <c r="N41" s="24" t="s">
        <v>310</v>
      </c>
      <c r="O41" s="22" t="s">
        <v>2256</v>
      </c>
      <c r="P41" s="22">
        <v>800000</v>
      </c>
      <c r="Q41" s="22" t="s">
        <v>2257</v>
      </c>
      <c r="R41" s="22" t="s">
        <v>613</v>
      </c>
      <c r="S41" s="21" t="s">
        <v>2258</v>
      </c>
      <c r="T41" s="8" t="s">
        <v>3079</v>
      </c>
      <c r="U41" s="8" t="s">
        <v>2259</v>
      </c>
      <c r="V41" s="21">
        <v>568000</v>
      </c>
      <c r="W41" s="21">
        <v>0</v>
      </c>
      <c r="X41" s="21">
        <v>26500</v>
      </c>
      <c r="Y41" s="21">
        <v>0</v>
      </c>
      <c r="Z41" s="21">
        <v>500</v>
      </c>
      <c r="AA41" s="21" t="s">
        <v>2260</v>
      </c>
      <c r="AB41" s="21">
        <v>4500</v>
      </c>
      <c r="AC41" s="21">
        <v>0</v>
      </c>
      <c r="AD41" s="21">
        <v>0</v>
      </c>
      <c r="AE41" s="21">
        <v>0</v>
      </c>
      <c r="AF41" s="21">
        <v>18500</v>
      </c>
      <c r="AG41" s="21">
        <v>0</v>
      </c>
      <c r="AH41" s="21">
        <v>0</v>
      </c>
      <c r="AI41" s="21">
        <v>0</v>
      </c>
      <c r="AJ41" s="21">
        <v>10000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3100</v>
      </c>
      <c r="AR41" s="21">
        <v>15000</v>
      </c>
      <c r="AS41" s="21">
        <v>0</v>
      </c>
      <c r="AT41" s="21">
        <v>0</v>
      </c>
      <c r="AU41" s="21">
        <v>0</v>
      </c>
      <c r="AV41" s="21">
        <v>0</v>
      </c>
      <c r="AW41" s="21"/>
      <c r="AX41" s="21">
        <v>2500</v>
      </c>
      <c r="AY41" s="21">
        <f t="shared" si="6"/>
        <v>2500</v>
      </c>
      <c r="AZ41" s="21">
        <f t="shared" si="7"/>
        <v>2500</v>
      </c>
      <c r="BA41" s="21">
        <f t="shared" si="8"/>
        <v>2500</v>
      </c>
      <c r="BB41" s="21">
        <v>0</v>
      </c>
      <c r="BC41" s="21">
        <v>0</v>
      </c>
      <c r="BD41" s="21">
        <v>0</v>
      </c>
      <c r="BE41" s="21">
        <v>0</v>
      </c>
      <c r="BF41" s="21">
        <f t="shared" si="9"/>
        <v>587400</v>
      </c>
      <c r="BG41" s="21">
        <v>530000</v>
      </c>
      <c r="BH41" s="21">
        <v>0</v>
      </c>
      <c r="BI41" s="21">
        <v>0</v>
      </c>
      <c r="BJ41" s="21">
        <v>0</v>
      </c>
      <c r="BK41" s="21">
        <v>0</v>
      </c>
      <c r="BL41" s="21">
        <f>2000+99000+17000+8000</f>
        <v>126000</v>
      </c>
      <c r="BM41" s="21">
        <f t="shared" si="10"/>
        <v>-68600</v>
      </c>
      <c r="BN41" s="25"/>
      <c r="BO41" s="21"/>
      <c r="BP41" s="21"/>
      <c r="BQ41" s="21"/>
      <c r="BR41" s="21"/>
      <c r="BS41" s="21"/>
      <c r="BT41" s="21"/>
      <c r="BU41" s="26"/>
      <c r="BV41" s="27"/>
      <c r="BW41" s="27"/>
      <c r="BX41" s="27">
        <v>0</v>
      </c>
      <c r="BY41" s="27">
        <v>0</v>
      </c>
      <c r="BZ41" s="27">
        <v>0</v>
      </c>
      <c r="CA41" s="27" t="str">
        <f t="shared" si="5"/>
        <v>NO</v>
      </c>
      <c r="CB41" s="27"/>
      <c r="CC41" s="27"/>
      <c r="CD41" s="27"/>
      <c r="CE41" s="27"/>
      <c r="CF41" s="27"/>
      <c r="CG41" s="28"/>
    </row>
    <row r="42" spans="1:85" s="20" customFormat="1" ht="15.75" hidden="1" customHeight="1" x14ac:dyDescent="0.3">
      <c r="A42" s="21">
        <v>98</v>
      </c>
      <c r="B42" s="22" t="s">
        <v>2627</v>
      </c>
      <c r="C42" s="22">
        <v>820661</v>
      </c>
      <c r="D42" s="23" t="s">
        <v>2628</v>
      </c>
      <c r="E42" s="24">
        <v>45463</v>
      </c>
      <c r="F42" s="24">
        <v>45464</v>
      </c>
      <c r="G42" s="22" t="s">
        <v>646</v>
      </c>
      <c r="H42" s="22" t="s">
        <v>646</v>
      </c>
      <c r="I42" s="22" t="s">
        <v>2249</v>
      </c>
      <c r="J42" s="22" t="s">
        <v>773</v>
      </c>
      <c r="K42" s="22"/>
      <c r="L42" s="22"/>
      <c r="M42" s="24" t="s">
        <v>2263</v>
      </c>
      <c r="N42" s="24" t="s">
        <v>2263</v>
      </c>
      <c r="O42" s="22" t="s">
        <v>2321</v>
      </c>
      <c r="P42" s="22">
        <v>700000</v>
      </c>
      <c r="Q42" s="22" t="s">
        <v>2277</v>
      </c>
      <c r="R42" s="22" t="s">
        <v>2629</v>
      </c>
      <c r="S42" s="21" t="s">
        <v>2258</v>
      </c>
      <c r="T42" s="8" t="s">
        <v>3079</v>
      </c>
      <c r="U42" s="8" t="s">
        <v>2259</v>
      </c>
      <c r="V42" s="21">
        <v>983885</v>
      </c>
      <c r="W42" s="21">
        <v>0</v>
      </c>
      <c r="X42" s="21">
        <v>38000</v>
      </c>
      <c r="Y42" s="21">
        <v>16709</v>
      </c>
      <c r="Z42" s="21">
        <v>500</v>
      </c>
      <c r="AA42" s="21" t="s">
        <v>2253</v>
      </c>
      <c r="AB42" s="21">
        <v>5000</v>
      </c>
      <c r="AC42" s="21">
        <v>0</v>
      </c>
      <c r="AD42" s="21">
        <v>0</v>
      </c>
      <c r="AE42" s="21">
        <v>0</v>
      </c>
      <c r="AF42" s="21">
        <v>1990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5000</v>
      </c>
      <c r="AW42" s="21"/>
      <c r="AX42" s="21">
        <v>0</v>
      </c>
      <c r="AY42" s="21">
        <f t="shared" si="6"/>
        <v>5000</v>
      </c>
      <c r="AZ42" s="21">
        <f t="shared" si="7"/>
        <v>5000</v>
      </c>
      <c r="BA42" s="21">
        <f t="shared" si="8"/>
        <v>5000</v>
      </c>
      <c r="BB42" s="21">
        <v>0</v>
      </c>
      <c r="BC42" s="21">
        <v>0</v>
      </c>
      <c r="BD42" s="21">
        <v>0</v>
      </c>
      <c r="BE42" s="21">
        <v>0</v>
      </c>
      <c r="BF42" s="21">
        <f t="shared" si="9"/>
        <v>1041084</v>
      </c>
      <c r="BG42" s="21">
        <v>700000</v>
      </c>
      <c r="BH42" s="21" t="s">
        <v>39</v>
      </c>
      <c r="BI42" s="21" t="s">
        <v>2260</v>
      </c>
      <c r="BJ42" s="21" t="s">
        <v>2260</v>
      </c>
      <c r="BK42" s="21">
        <v>88939720</v>
      </c>
      <c r="BL42" s="21">
        <f>11000+328094+1990</f>
        <v>341084</v>
      </c>
      <c r="BM42" s="21">
        <f t="shared" si="10"/>
        <v>0</v>
      </c>
      <c r="BN42" s="25"/>
      <c r="BO42" s="21"/>
      <c r="BP42" s="21"/>
      <c r="BQ42" s="21"/>
      <c r="BR42" s="21"/>
      <c r="BS42" s="21"/>
      <c r="BT42" s="21"/>
      <c r="BU42" s="26"/>
      <c r="BV42" s="27"/>
      <c r="BW42" s="27"/>
      <c r="BX42" s="27">
        <v>0</v>
      </c>
      <c r="BY42" s="27">
        <v>0</v>
      </c>
      <c r="BZ42" s="27">
        <v>0</v>
      </c>
      <c r="CA42" s="27" t="str">
        <f t="shared" si="5"/>
        <v>NO</v>
      </c>
      <c r="CB42" s="27"/>
      <c r="CC42" s="27"/>
      <c r="CD42" s="27"/>
      <c r="CE42" s="27"/>
      <c r="CF42" s="27"/>
      <c r="CG42" s="28"/>
    </row>
    <row r="43" spans="1:85" s="20" customFormat="1" ht="15.75" hidden="1" customHeight="1" x14ac:dyDescent="0.3">
      <c r="A43" s="21">
        <v>126</v>
      </c>
      <c r="B43" s="22" t="s">
        <v>2720</v>
      </c>
      <c r="C43" s="22">
        <v>825086</v>
      </c>
      <c r="D43" s="23" t="s">
        <v>2721</v>
      </c>
      <c r="E43" s="24">
        <v>45468</v>
      </c>
      <c r="F43" s="24">
        <v>45469</v>
      </c>
      <c r="G43" s="22" t="s">
        <v>646</v>
      </c>
      <c r="H43" s="22" t="s">
        <v>646</v>
      </c>
      <c r="I43" s="22" t="s">
        <v>2249</v>
      </c>
      <c r="J43" s="22" t="s">
        <v>815</v>
      </c>
      <c r="K43" s="22"/>
      <c r="L43" s="22"/>
      <c r="M43" s="24" t="s">
        <v>2263</v>
      </c>
      <c r="N43" s="24" t="s">
        <v>2263</v>
      </c>
      <c r="O43" s="22" t="s">
        <v>2264</v>
      </c>
      <c r="P43" s="22">
        <v>1000000</v>
      </c>
      <c r="Q43" s="22" t="s">
        <v>817</v>
      </c>
      <c r="R43" s="22" t="s">
        <v>613</v>
      </c>
      <c r="S43" s="21" t="s">
        <v>2258</v>
      </c>
      <c r="T43" s="8" t="s">
        <v>3079</v>
      </c>
      <c r="U43" s="8" t="s">
        <v>2259</v>
      </c>
      <c r="V43" s="21">
        <v>1078885</v>
      </c>
      <c r="W43" s="21">
        <v>0</v>
      </c>
      <c r="X43" s="21">
        <v>35000</v>
      </c>
      <c r="Y43" s="21">
        <v>0</v>
      </c>
      <c r="Z43" s="21">
        <v>500</v>
      </c>
      <c r="AA43" s="21" t="s">
        <v>2253</v>
      </c>
      <c r="AB43" s="21">
        <v>5000</v>
      </c>
      <c r="AC43" s="21">
        <v>0</v>
      </c>
      <c r="AD43" s="21">
        <v>10789</v>
      </c>
      <c r="AE43" s="21">
        <v>0</v>
      </c>
      <c r="AF43" s="21">
        <v>26900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/>
      <c r="AX43" s="21">
        <v>0</v>
      </c>
      <c r="AY43" s="21">
        <f t="shared" si="6"/>
        <v>0</v>
      </c>
      <c r="AZ43" s="21">
        <f t="shared" si="7"/>
        <v>0</v>
      </c>
      <c r="BA43" s="21">
        <f t="shared" si="8"/>
        <v>0</v>
      </c>
      <c r="BB43" s="21">
        <v>0</v>
      </c>
      <c r="BC43" s="21">
        <v>0</v>
      </c>
      <c r="BD43" s="21">
        <v>0</v>
      </c>
      <c r="BE43" s="21">
        <v>0</v>
      </c>
      <c r="BF43" s="21">
        <f t="shared" si="9"/>
        <v>1157074</v>
      </c>
      <c r="BG43" s="21">
        <v>1160000</v>
      </c>
      <c r="BH43" s="21" t="s">
        <v>2287</v>
      </c>
      <c r="BI43" s="21" t="s">
        <v>2260</v>
      </c>
      <c r="BJ43" s="21" t="s">
        <v>2260</v>
      </c>
      <c r="BK43" s="21">
        <v>0</v>
      </c>
      <c r="BL43" s="21">
        <f>9000+2000+4400</f>
        <v>15400</v>
      </c>
      <c r="BM43" s="21">
        <f t="shared" si="10"/>
        <v>-18326</v>
      </c>
      <c r="BN43" s="25"/>
      <c r="BO43" s="21"/>
      <c r="BP43" s="21"/>
      <c r="BQ43" s="21"/>
      <c r="BR43" s="21"/>
      <c r="BS43" s="21"/>
      <c r="BT43" s="21"/>
      <c r="BU43" s="26"/>
      <c r="BV43" s="27"/>
      <c r="BW43" s="27"/>
      <c r="BX43" s="27">
        <v>0</v>
      </c>
      <c r="BY43" s="27">
        <v>0</v>
      </c>
      <c r="BZ43" s="27">
        <v>0</v>
      </c>
      <c r="CA43" s="27" t="str">
        <f t="shared" si="5"/>
        <v>NO</v>
      </c>
      <c r="CB43" s="27"/>
      <c r="CC43" s="27"/>
      <c r="CD43" s="27"/>
      <c r="CE43" s="27"/>
      <c r="CF43" s="27"/>
      <c r="CG43" s="28"/>
    </row>
    <row r="44" spans="1:85" s="20" customFormat="1" ht="15.75" hidden="1" customHeight="1" x14ac:dyDescent="0.3">
      <c r="A44" s="21">
        <v>127</v>
      </c>
      <c r="B44" s="22" t="s">
        <v>2722</v>
      </c>
      <c r="C44" s="22" t="s">
        <v>563</v>
      </c>
      <c r="D44" s="23" t="s">
        <v>2723</v>
      </c>
      <c r="E44" s="24">
        <v>45468</v>
      </c>
      <c r="F44" s="24">
        <v>45471</v>
      </c>
      <c r="G44" s="22" t="s">
        <v>393</v>
      </c>
      <c r="H44" s="22" t="s">
        <v>393</v>
      </c>
      <c r="I44" s="22" t="s">
        <v>2249</v>
      </c>
      <c r="J44" s="22" t="s">
        <v>561</v>
      </c>
      <c r="K44" s="22"/>
      <c r="L44" s="22"/>
      <c r="M44" s="24" t="s">
        <v>310</v>
      </c>
      <c r="N44" s="24" t="s">
        <v>310</v>
      </c>
      <c r="O44" s="22" t="s">
        <v>2250</v>
      </c>
      <c r="P44" s="22">
        <v>540000</v>
      </c>
      <c r="Q44" s="22" t="s">
        <v>2265</v>
      </c>
      <c r="R44" s="22" t="s">
        <v>393</v>
      </c>
      <c r="S44" s="21" t="s">
        <v>2724</v>
      </c>
      <c r="T44" s="8" t="s">
        <v>3091</v>
      </c>
      <c r="U44" s="8" t="s">
        <v>2312</v>
      </c>
      <c r="V44" s="21">
        <v>568000</v>
      </c>
      <c r="W44" s="21">
        <v>53911</v>
      </c>
      <c r="X44" s="21">
        <v>26000</v>
      </c>
      <c r="Y44" s="21">
        <v>0</v>
      </c>
      <c r="Z44" s="21">
        <v>0</v>
      </c>
      <c r="AA44" s="21" t="s">
        <v>2260</v>
      </c>
      <c r="AB44" s="21">
        <v>0</v>
      </c>
      <c r="AC44" s="21">
        <v>0</v>
      </c>
      <c r="AD44" s="21">
        <v>44200</v>
      </c>
      <c r="AE44" s="21">
        <v>0</v>
      </c>
      <c r="AF44" s="21">
        <v>5000</v>
      </c>
      <c r="AG44" s="21">
        <v>0</v>
      </c>
      <c r="AH44" s="21">
        <v>0</v>
      </c>
      <c r="AI44" s="21">
        <v>0</v>
      </c>
      <c r="AJ44" s="21">
        <v>10000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15000</v>
      </c>
      <c r="AS44" s="21">
        <v>0</v>
      </c>
      <c r="AT44" s="21">
        <v>0</v>
      </c>
      <c r="AU44" s="21">
        <v>0</v>
      </c>
      <c r="AV44" s="21">
        <v>0</v>
      </c>
      <c r="AW44" s="21"/>
      <c r="AX44" s="21">
        <v>21911</v>
      </c>
      <c r="AY44" s="21">
        <f t="shared" si="6"/>
        <v>19911</v>
      </c>
      <c r="AZ44" s="21">
        <f t="shared" si="7"/>
        <v>21911</v>
      </c>
      <c r="BA44" s="21">
        <f t="shared" si="8"/>
        <v>19911</v>
      </c>
      <c r="BB44" s="21">
        <v>0</v>
      </c>
      <c r="BC44" s="21">
        <v>2000</v>
      </c>
      <c r="BD44" s="21">
        <v>0</v>
      </c>
      <c r="BE44" s="21">
        <v>0</v>
      </c>
      <c r="BF44" s="21">
        <f t="shared" si="9"/>
        <v>650200</v>
      </c>
      <c r="BG44" s="21">
        <v>568000</v>
      </c>
      <c r="BH44" s="21" t="s">
        <v>39</v>
      </c>
      <c r="BI44" s="21" t="s">
        <v>2253</v>
      </c>
      <c r="BJ44" s="21" t="s">
        <v>2253</v>
      </c>
      <c r="BK44" s="21">
        <v>146202444</v>
      </c>
      <c r="BL44" s="21">
        <f>5000+77200</f>
        <v>82200</v>
      </c>
      <c r="BM44" s="21">
        <f t="shared" si="10"/>
        <v>0</v>
      </c>
      <c r="BN44" s="25"/>
      <c r="BO44" s="21"/>
      <c r="BP44" s="21"/>
      <c r="BQ44" s="21"/>
      <c r="BR44" s="21"/>
      <c r="BS44" s="21"/>
      <c r="BT44" s="21"/>
      <c r="BU44" s="26"/>
      <c r="BV44" s="27"/>
      <c r="BW44" s="27"/>
      <c r="BX44" s="27">
        <v>0</v>
      </c>
      <c r="BY44" s="27">
        <v>0</v>
      </c>
      <c r="BZ44" s="27">
        <v>0</v>
      </c>
      <c r="CA44" s="27" t="str">
        <f t="shared" si="5"/>
        <v>NO</v>
      </c>
      <c r="CB44" s="27"/>
      <c r="CC44" s="27"/>
      <c r="CD44" s="27"/>
      <c r="CE44" s="27"/>
      <c r="CF44" s="27"/>
      <c r="CG44" s="28"/>
    </row>
    <row r="45" spans="1:85" s="20" customFormat="1" ht="15.75" hidden="1" customHeight="1" x14ac:dyDescent="0.3">
      <c r="A45" s="21">
        <v>128</v>
      </c>
      <c r="B45" s="22" t="s">
        <v>2725</v>
      </c>
      <c r="C45" s="22" t="s">
        <v>574</v>
      </c>
      <c r="D45" s="23" t="s">
        <v>2726</v>
      </c>
      <c r="E45" s="24">
        <v>45468</v>
      </c>
      <c r="F45" s="24">
        <v>45470</v>
      </c>
      <c r="G45" s="22" t="s">
        <v>393</v>
      </c>
      <c r="H45" s="22" t="s">
        <v>393</v>
      </c>
      <c r="I45" s="22" t="s">
        <v>2249</v>
      </c>
      <c r="J45" s="22" t="s">
        <v>572</v>
      </c>
      <c r="K45" s="22"/>
      <c r="L45" s="22"/>
      <c r="M45" s="24" t="s">
        <v>310</v>
      </c>
      <c r="N45" s="24" t="s">
        <v>310</v>
      </c>
      <c r="O45" s="22" t="s">
        <v>2326</v>
      </c>
      <c r="P45" s="22">
        <v>520000</v>
      </c>
      <c r="Q45" s="22" t="s">
        <v>2251</v>
      </c>
      <c r="R45" s="22" t="s">
        <v>393</v>
      </c>
      <c r="S45" s="21" t="s">
        <v>2724</v>
      </c>
      <c r="T45" s="8" t="s">
        <v>3091</v>
      </c>
      <c r="U45" s="8" t="s">
        <v>2312</v>
      </c>
      <c r="V45" s="21">
        <v>561885</v>
      </c>
      <c r="W45" s="21">
        <v>53351</v>
      </c>
      <c r="X45" s="21">
        <v>25000</v>
      </c>
      <c r="Y45" s="21">
        <v>0</v>
      </c>
      <c r="Z45" s="21">
        <v>0</v>
      </c>
      <c r="AA45" s="21" t="s">
        <v>2253</v>
      </c>
      <c r="AB45" s="21">
        <v>0</v>
      </c>
      <c r="AC45" s="21">
        <v>0</v>
      </c>
      <c r="AD45" s="21">
        <v>0</v>
      </c>
      <c r="AE45" s="21">
        <v>0</v>
      </c>
      <c r="AF45" s="21">
        <v>30200</v>
      </c>
      <c r="AG45" s="21">
        <v>0</v>
      </c>
      <c r="AH45" s="21">
        <v>0</v>
      </c>
      <c r="AI45" s="21">
        <v>0</v>
      </c>
      <c r="AJ45" s="21">
        <v>10000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21">
        <v>0</v>
      </c>
      <c r="AR45" s="21">
        <v>15000</v>
      </c>
      <c r="AS45" s="21">
        <v>0</v>
      </c>
      <c r="AT45" s="21">
        <v>0</v>
      </c>
      <c r="AU45" s="21">
        <v>0</v>
      </c>
      <c r="AV45" s="21">
        <v>0</v>
      </c>
      <c r="AW45" s="21"/>
      <c r="AX45" s="21">
        <v>13436</v>
      </c>
      <c r="AY45" s="21">
        <f t="shared" si="6"/>
        <v>11436</v>
      </c>
      <c r="AZ45" s="21">
        <f t="shared" si="7"/>
        <v>13436</v>
      </c>
      <c r="BA45" s="21">
        <f t="shared" si="8"/>
        <v>11436</v>
      </c>
      <c r="BB45" s="21">
        <v>0</v>
      </c>
      <c r="BC45" s="21">
        <v>2000</v>
      </c>
      <c r="BD45" s="21">
        <v>0</v>
      </c>
      <c r="BE45" s="21">
        <v>0</v>
      </c>
      <c r="BF45" s="21">
        <f t="shared" si="9"/>
        <v>632000</v>
      </c>
      <c r="BG45" s="21">
        <v>502052</v>
      </c>
      <c r="BH45" s="21" t="s">
        <v>39</v>
      </c>
      <c r="BI45" s="21" t="s">
        <v>2253</v>
      </c>
      <c r="BJ45" s="21" t="s">
        <v>2253</v>
      </c>
      <c r="BK45" s="21">
        <v>1352363</v>
      </c>
      <c r="BL45" s="21">
        <f>2000+128000</f>
        <v>130000</v>
      </c>
      <c r="BM45" s="21">
        <f t="shared" si="10"/>
        <v>-52</v>
      </c>
      <c r="BN45" s="25"/>
      <c r="BO45" s="21"/>
      <c r="BP45" s="21"/>
      <c r="BQ45" s="21"/>
      <c r="BR45" s="21"/>
      <c r="BS45" s="21"/>
      <c r="BT45" s="21"/>
      <c r="BU45" s="26"/>
      <c r="BV45" s="27"/>
      <c r="BW45" s="27"/>
      <c r="BX45" s="27">
        <v>0</v>
      </c>
      <c r="BY45" s="27">
        <v>0</v>
      </c>
      <c r="BZ45" s="27">
        <v>0</v>
      </c>
      <c r="CA45" s="27" t="str">
        <f t="shared" si="5"/>
        <v>NO</v>
      </c>
      <c r="CB45" s="27"/>
      <c r="CC45" s="27"/>
      <c r="CD45" s="27"/>
      <c r="CE45" s="27"/>
      <c r="CF45" s="27"/>
      <c r="CG45" s="28"/>
    </row>
    <row r="46" spans="1:85" s="20" customFormat="1" ht="15.75" hidden="1" customHeight="1" x14ac:dyDescent="0.3">
      <c r="A46" s="21">
        <v>160</v>
      </c>
      <c r="B46" s="22" t="s">
        <v>2824</v>
      </c>
      <c r="C46" s="22" t="s">
        <v>2825</v>
      </c>
      <c r="D46" s="23" t="s">
        <v>2826</v>
      </c>
      <c r="E46" s="24">
        <v>45472</v>
      </c>
      <c r="F46" s="24">
        <v>45473</v>
      </c>
      <c r="G46" s="22" t="s">
        <v>393</v>
      </c>
      <c r="H46" s="22" t="s">
        <v>393</v>
      </c>
      <c r="I46" s="22" t="s">
        <v>2249</v>
      </c>
      <c r="J46" s="22" t="s">
        <v>592</v>
      </c>
      <c r="K46" s="22"/>
      <c r="L46" s="22"/>
      <c r="M46" s="24" t="s">
        <v>310</v>
      </c>
      <c r="N46" s="24" t="s">
        <v>310</v>
      </c>
      <c r="O46" s="22" t="s">
        <v>2250</v>
      </c>
      <c r="P46" s="22">
        <v>407231</v>
      </c>
      <c r="Q46" s="22" t="s">
        <v>595</v>
      </c>
      <c r="R46" s="22" t="s">
        <v>393</v>
      </c>
      <c r="S46" s="21" t="s">
        <v>2724</v>
      </c>
      <c r="T46" s="8" t="s">
        <v>3091</v>
      </c>
      <c r="U46" s="8" t="s">
        <v>2312</v>
      </c>
      <c r="V46" s="21">
        <v>568885</v>
      </c>
      <c r="W46" s="21">
        <v>53911</v>
      </c>
      <c r="X46" s="21">
        <v>26000</v>
      </c>
      <c r="Y46" s="21">
        <v>0</v>
      </c>
      <c r="Z46" s="21">
        <v>0</v>
      </c>
      <c r="AA46" s="21" t="s">
        <v>2253</v>
      </c>
      <c r="AB46" s="21">
        <v>0</v>
      </c>
      <c r="AC46" s="21">
        <v>0</v>
      </c>
      <c r="AD46" s="21">
        <v>0</v>
      </c>
      <c r="AE46" s="21">
        <v>0</v>
      </c>
      <c r="AF46" s="21">
        <v>33500</v>
      </c>
      <c r="AG46" s="21">
        <v>0</v>
      </c>
      <c r="AH46" s="21">
        <v>0</v>
      </c>
      <c r="AI46" s="21">
        <v>0</v>
      </c>
      <c r="AJ46" s="21">
        <v>10000</v>
      </c>
      <c r="AK46" s="21">
        <v>0</v>
      </c>
      <c r="AL46" s="21">
        <v>0</v>
      </c>
      <c r="AM46" s="21">
        <v>0</v>
      </c>
      <c r="AN46" s="21">
        <v>0</v>
      </c>
      <c r="AO46" s="21">
        <v>0</v>
      </c>
      <c r="AP46" s="21">
        <v>0</v>
      </c>
      <c r="AQ46" s="21">
        <v>2100</v>
      </c>
      <c r="AR46" s="21">
        <v>15000</v>
      </c>
      <c r="AS46" s="21">
        <v>0</v>
      </c>
      <c r="AT46" s="21">
        <v>0</v>
      </c>
      <c r="AU46" s="21">
        <v>0</v>
      </c>
      <c r="AV46" s="21">
        <v>0</v>
      </c>
      <c r="AW46" s="21"/>
      <c r="AX46" s="21">
        <v>15196</v>
      </c>
      <c r="AY46" s="21">
        <f t="shared" si="6"/>
        <v>13196</v>
      </c>
      <c r="AZ46" s="21">
        <f t="shared" si="7"/>
        <v>15196</v>
      </c>
      <c r="BA46" s="21">
        <f t="shared" si="8"/>
        <v>13196</v>
      </c>
      <c r="BB46" s="21">
        <v>0</v>
      </c>
      <c r="BC46" s="21">
        <v>2000</v>
      </c>
      <c r="BD46" s="21">
        <v>0</v>
      </c>
      <c r="BE46" s="21">
        <v>0</v>
      </c>
      <c r="BF46" s="21">
        <f t="shared" si="9"/>
        <v>640000</v>
      </c>
      <c r="BG46" s="21">
        <v>649396</v>
      </c>
      <c r="BH46" s="21" t="s">
        <v>39</v>
      </c>
      <c r="BI46" s="21" t="s">
        <v>2260</v>
      </c>
      <c r="BJ46" s="21" t="s">
        <v>2260</v>
      </c>
      <c r="BK46" s="21">
        <v>114426820</v>
      </c>
      <c r="BL46" s="21">
        <f>11000</f>
        <v>11000</v>
      </c>
      <c r="BM46" s="21">
        <f t="shared" si="10"/>
        <v>-20396</v>
      </c>
      <c r="BN46" s="25"/>
      <c r="BO46" s="21"/>
      <c r="BP46" s="21"/>
      <c r="BQ46" s="21"/>
      <c r="BR46" s="21"/>
      <c r="BS46" s="21"/>
      <c r="BT46" s="21"/>
      <c r="BU46" s="26"/>
      <c r="BV46" s="27"/>
      <c r="BW46" s="27"/>
      <c r="BX46" s="27">
        <v>0</v>
      </c>
      <c r="BY46" s="27">
        <v>0</v>
      </c>
      <c r="BZ46" s="27">
        <v>0</v>
      </c>
      <c r="CA46" s="27" t="str">
        <f t="shared" si="5"/>
        <v>NO</v>
      </c>
      <c r="CB46" s="27"/>
      <c r="CC46" s="27"/>
      <c r="CD46" s="27"/>
      <c r="CE46" s="27"/>
      <c r="CF46" s="27"/>
      <c r="CG46" s="28"/>
    </row>
    <row r="47" spans="1:85" s="20" customFormat="1" ht="15.75" hidden="1" customHeight="1" x14ac:dyDescent="0.3">
      <c r="A47" s="21">
        <v>20</v>
      </c>
      <c r="B47" s="22" t="s">
        <v>2352</v>
      </c>
      <c r="C47" s="22" t="s">
        <v>1338</v>
      </c>
      <c r="D47" s="23" t="s">
        <v>2353</v>
      </c>
      <c r="E47" s="24">
        <v>45449</v>
      </c>
      <c r="F47" s="24">
        <v>45454</v>
      </c>
      <c r="G47" s="22" t="s">
        <v>260</v>
      </c>
      <c r="H47" s="22" t="s">
        <v>260</v>
      </c>
      <c r="I47" s="22" t="s">
        <v>2249</v>
      </c>
      <c r="J47" s="22" t="s">
        <v>1336</v>
      </c>
      <c r="K47" s="22"/>
      <c r="L47" s="22"/>
      <c r="M47" s="24" t="s">
        <v>310</v>
      </c>
      <c r="N47" s="24" t="s">
        <v>310</v>
      </c>
      <c r="O47" s="22" t="s">
        <v>2250</v>
      </c>
      <c r="P47" s="22">
        <v>580000</v>
      </c>
      <c r="Q47" s="22" t="s">
        <v>2271</v>
      </c>
      <c r="R47" s="22" t="s">
        <v>260</v>
      </c>
      <c r="S47" s="21" t="s">
        <v>2354</v>
      </c>
      <c r="T47" s="8" t="s">
        <v>3087</v>
      </c>
      <c r="U47" s="8" t="s">
        <v>2299</v>
      </c>
      <c r="V47" s="21">
        <v>568885</v>
      </c>
      <c r="W47" s="21">
        <v>53911</v>
      </c>
      <c r="X47" s="21">
        <v>24356</v>
      </c>
      <c r="Y47" s="21">
        <v>8850</v>
      </c>
      <c r="Z47" s="21">
        <v>500</v>
      </c>
      <c r="AA47" s="21" t="s">
        <v>2253</v>
      </c>
      <c r="AB47" s="21">
        <v>0</v>
      </c>
      <c r="AC47" s="21">
        <v>2898</v>
      </c>
      <c r="AD47" s="21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J47" s="21">
        <v>10000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21">
        <v>3100</v>
      </c>
      <c r="AR47" s="21">
        <v>15000</v>
      </c>
      <c r="AS47" s="21">
        <v>0</v>
      </c>
      <c r="AT47" s="21">
        <v>0</v>
      </c>
      <c r="AU47" s="21">
        <v>1900</v>
      </c>
      <c r="AV47" s="21">
        <v>0</v>
      </c>
      <c r="AW47" s="21"/>
      <c r="AX47" s="21">
        <v>2400</v>
      </c>
      <c r="AY47" s="21">
        <f t="shared" si="6"/>
        <v>2300</v>
      </c>
      <c r="AZ47" s="21">
        <f t="shared" si="7"/>
        <v>4300</v>
      </c>
      <c r="BA47" s="21">
        <f t="shared" si="8"/>
        <v>2300</v>
      </c>
      <c r="BB47" s="21">
        <v>0</v>
      </c>
      <c r="BC47" s="21">
        <v>2000</v>
      </c>
      <c r="BD47" s="21">
        <v>0</v>
      </c>
      <c r="BE47" s="21">
        <v>0</v>
      </c>
      <c r="BF47" s="21">
        <f t="shared" si="9"/>
        <v>627000</v>
      </c>
      <c r="BG47" s="21">
        <v>557000</v>
      </c>
      <c r="BH47" s="21" t="s">
        <v>39</v>
      </c>
      <c r="BI47" s="21" t="s">
        <v>2253</v>
      </c>
      <c r="BJ47" s="21" t="s">
        <v>2253</v>
      </c>
      <c r="BK47" s="21">
        <v>13379982</v>
      </c>
      <c r="BL47" s="21">
        <f>51900+5100</f>
        <v>57000</v>
      </c>
      <c r="BM47" s="21">
        <f t="shared" si="10"/>
        <v>13000</v>
      </c>
      <c r="BN47" s="25">
        <v>45449</v>
      </c>
      <c r="BO47" s="21"/>
      <c r="BP47" s="21"/>
      <c r="BQ47" s="21"/>
      <c r="BR47" s="21"/>
      <c r="BS47" s="21"/>
      <c r="BT47" s="21"/>
      <c r="BU47" s="26"/>
      <c r="BV47" s="27"/>
      <c r="BW47" s="27"/>
      <c r="BX47" s="27">
        <v>0</v>
      </c>
      <c r="BY47" s="27">
        <v>0</v>
      </c>
      <c r="BZ47" s="27">
        <v>0</v>
      </c>
      <c r="CA47" s="27" t="str">
        <f t="shared" si="5"/>
        <v>NO</v>
      </c>
      <c r="CB47" s="27"/>
      <c r="CC47" s="27"/>
      <c r="CD47" s="27"/>
      <c r="CE47" s="27"/>
      <c r="CF47" s="27"/>
      <c r="CG47" s="28"/>
    </row>
    <row r="48" spans="1:85" s="20" customFormat="1" ht="15.75" hidden="1" customHeight="1" x14ac:dyDescent="0.3">
      <c r="A48" s="21">
        <v>42</v>
      </c>
      <c r="B48" s="22" t="s">
        <v>2437</v>
      </c>
      <c r="C48" s="22">
        <v>809687</v>
      </c>
      <c r="D48" s="23" t="s">
        <v>2438</v>
      </c>
      <c r="E48" s="24">
        <v>45453</v>
      </c>
      <c r="F48" s="24">
        <v>45456</v>
      </c>
      <c r="G48" s="22" t="s">
        <v>260</v>
      </c>
      <c r="H48" s="22" t="s">
        <v>260</v>
      </c>
      <c r="I48" s="22" t="s">
        <v>2249</v>
      </c>
      <c r="J48" s="22" t="s">
        <v>1387</v>
      </c>
      <c r="K48" s="22"/>
      <c r="L48" s="22"/>
      <c r="M48" s="24" t="s">
        <v>2263</v>
      </c>
      <c r="N48" s="24" t="s">
        <v>2263</v>
      </c>
      <c r="O48" s="22" t="s">
        <v>2321</v>
      </c>
      <c r="P48" s="22">
        <v>990000</v>
      </c>
      <c r="Q48" s="22" t="s">
        <v>2271</v>
      </c>
      <c r="R48" s="22" t="s">
        <v>260</v>
      </c>
      <c r="S48" s="21" t="s">
        <v>2354</v>
      </c>
      <c r="T48" s="8" t="s">
        <v>3087</v>
      </c>
      <c r="U48" s="8" t="s">
        <v>2299</v>
      </c>
      <c r="V48" s="21">
        <v>983885</v>
      </c>
      <c r="W48" s="21">
        <v>86811</v>
      </c>
      <c r="X48" s="21">
        <v>32096</v>
      </c>
      <c r="Y48" s="21">
        <v>16709</v>
      </c>
      <c r="Z48" s="21">
        <v>500</v>
      </c>
      <c r="AA48" s="21" t="s">
        <v>2253</v>
      </c>
      <c r="AB48" s="21">
        <v>0</v>
      </c>
      <c r="AC48" s="21">
        <v>0</v>
      </c>
      <c r="AD48" s="21">
        <v>0</v>
      </c>
      <c r="AE48" s="21">
        <v>0</v>
      </c>
      <c r="AF48" s="21">
        <v>40000</v>
      </c>
      <c r="AG48" s="21">
        <v>0</v>
      </c>
      <c r="AH48" s="21">
        <v>430000</v>
      </c>
      <c r="AI48" s="21">
        <v>285590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/>
      <c r="AX48" s="21">
        <v>0</v>
      </c>
      <c r="AY48" s="21">
        <f t="shared" si="6"/>
        <v>-2000</v>
      </c>
      <c r="AZ48" s="21">
        <f t="shared" si="7"/>
        <v>0</v>
      </c>
      <c r="BA48" s="21">
        <f t="shared" si="8"/>
        <v>0</v>
      </c>
      <c r="BB48" s="21">
        <v>0</v>
      </c>
      <c r="BC48" s="21">
        <v>2000</v>
      </c>
      <c r="BD48" s="21">
        <v>0</v>
      </c>
      <c r="BE48" s="21">
        <v>0</v>
      </c>
      <c r="BF48" s="21">
        <f t="shared" si="9"/>
        <v>1445591</v>
      </c>
      <c r="BG48" s="21">
        <v>999759</v>
      </c>
      <c r="BH48" s="21" t="s">
        <v>39</v>
      </c>
      <c r="BI48" s="21" t="s">
        <v>2253</v>
      </c>
      <c r="BJ48" s="21" t="s">
        <v>2253</v>
      </c>
      <c r="BK48" s="21">
        <v>13418639</v>
      </c>
      <c r="BL48" s="21">
        <f>10000+5000+590</f>
        <v>15590</v>
      </c>
      <c r="BM48" s="21">
        <f t="shared" si="10"/>
        <v>242</v>
      </c>
      <c r="BN48" s="25">
        <v>45458</v>
      </c>
      <c r="BO48" s="21"/>
      <c r="BP48" s="21" t="s">
        <v>2253</v>
      </c>
      <c r="BQ48" s="21" t="s">
        <v>2253</v>
      </c>
      <c r="BR48" s="21" t="s">
        <v>2253</v>
      </c>
      <c r="BS48" s="21" t="s">
        <v>2439</v>
      </c>
      <c r="BT48" s="21"/>
      <c r="BU48" s="26"/>
      <c r="BV48" s="27"/>
      <c r="BW48" s="27"/>
      <c r="BX48" s="27">
        <v>0</v>
      </c>
      <c r="BY48" s="27">
        <v>0</v>
      </c>
      <c r="BZ48" s="27">
        <v>0</v>
      </c>
      <c r="CA48" s="27" t="str">
        <f t="shared" si="5"/>
        <v>NO</v>
      </c>
      <c r="CB48" s="27"/>
      <c r="CC48" s="27"/>
      <c r="CD48" s="27"/>
      <c r="CE48" s="27"/>
      <c r="CF48" s="27"/>
      <c r="CG48" s="28"/>
    </row>
    <row r="49" spans="1:85" s="20" customFormat="1" ht="15.75" hidden="1" customHeight="1" x14ac:dyDescent="0.3">
      <c r="A49" s="21">
        <v>157</v>
      </c>
      <c r="B49" s="29" t="s">
        <v>2811</v>
      </c>
      <c r="C49" s="22">
        <v>821551</v>
      </c>
      <c r="D49" s="23" t="s">
        <v>2812</v>
      </c>
      <c r="E49" s="24">
        <v>45472</v>
      </c>
      <c r="F49" s="24">
        <v>45473</v>
      </c>
      <c r="G49" s="22" t="s">
        <v>333</v>
      </c>
      <c r="H49" s="22" t="s">
        <v>333</v>
      </c>
      <c r="I49" s="22" t="s">
        <v>2249</v>
      </c>
      <c r="J49" s="22" t="s">
        <v>1248</v>
      </c>
      <c r="K49" s="22"/>
      <c r="L49" s="22"/>
      <c r="M49" s="24" t="s">
        <v>2263</v>
      </c>
      <c r="N49" s="24" t="s">
        <v>2263</v>
      </c>
      <c r="O49" s="22" t="s">
        <v>2813</v>
      </c>
      <c r="P49" s="22">
        <v>1078800</v>
      </c>
      <c r="Q49" s="22" t="s">
        <v>2277</v>
      </c>
      <c r="R49" s="22" t="s">
        <v>2814</v>
      </c>
      <c r="S49" s="21" t="s">
        <v>2815</v>
      </c>
      <c r="T49" s="8" t="s">
        <v>3075</v>
      </c>
      <c r="U49" s="8" t="s">
        <v>2417</v>
      </c>
      <c r="V49" s="21">
        <v>1078885</v>
      </c>
      <c r="W49" s="21">
        <v>115988</v>
      </c>
      <c r="X49" s="21">
        <v>36500</v>
      </c>
      <c r="Y49" s="21">
        <v>18325</v>
      </c>
      <c r="Z49" s="21">
        <v>500</v>
      </c>
      <c r="AA49" s="21" t="s">
        <v>2253</v>
      </c>
      <c r="AB49" s="21">
        <v>0</v>
      </c>
      <c r="AC49" s="21">
        <v>0</v>
      </c>
      <c r="AD49" s="21">
        <v>10789</v>
      </c>
      <c r="AE49" s="21">
        <v>0</v>
      </c>
      <c r="AF49" s="21">
        <v>40000</v>
      </c>
      <c r="AG49" s="21">
        <v>0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/>
      <c r="AX49" s="21">
        <v>0</v>
      </c>
      <c r="AY49" s="21">
        <f t="shared" si="6"/>
        <v>-2000</v>
      </c>
      <c r="AZ49" s="21">
        <f t="shared" si="7"/>
        <v>0</v>
      </c>
      <c r="BA49" s="21">
        <f t="shared" si="8"/>
        <v>0</v>
      </c>
      <c r="BB49" s="21">
        <v>0</v>
      </c>
      <c r="BC49" s="21">
        <v>2000</v>
      </c>
      <c r="BD49" s="21">
        <v>0</v>
      </c>
      <c r="BE49" s="21">
        <v>0</v>
      </c>
      <c r="BF49" s="21">
        <f t="shared" si="9"/>
        <v>1300987</v>
      </c>
      <c r="BG49" s="21">
        <v>1078800</v>
      </c>
      <c r="BH49" s="21" t="s">
        <v>39</v>
      </c>
      <c r="BI49" s="21" t="s">
        <v>2253</v>
      </c>
      <c r="BJ49" s="21" t="s">
        <v>2253</v>
      </c>
      <c r="BK49" s="21">
        <v>29138589</v>
      </c>
      <c r="BL49" s="21">
        <f>5000+26400+55000</f>
        <v>86400</v>
      </c>
      <c r="BM49" s="21">
        <f t="shared" si="10"/>
        <v>135787</v>
      </c>
      <c r="BN49" s="25">
        <v>45474</v>
      </c>
      <c r="BO49" s="21"/>
      <c r="BP49" s="21"/>
      <c r="BQ49" s="21"/>
      <c r="BR49" s="21"/>
      <c r="BS49" s="21"/>
      <c r="BT49" s="21"/>
      <c r="BU49" s="26"/>
      <c r="BV49" s="27"/>
      <c r="BW49" s="27"/>
      <c r="BX49" s="27">
        <v>0</v>
      </c>
      <c r="BY49" s="27">
        <v>0</v>
      </c>
      <c r="BZ49" s="27">
        <v>0</v>
      </c>
      <c r="CA49" s="27" t="str">
        <f t="shared" si="5"/>
        <v>NO</v>
      </c>
      <c r="CB49" s="27"/>
      <c r="CC49" s="27"/>
      <c r="CD49" s="27"/>
      <c r="CE49" s="27"/>
      <c r="CF49" s="27"/>
      <c r="CG49" s="28"/>
    </row>
    <row r="50" spans="1:85" s="20" customFormat="1" ht="15.75" hidden="1" customHeight="1" x14ac:dyDescent="0.3">
      <c r="A50" s="21">
        <v>8</v>
      </c>
      <c r="B50" s="22" t="s">
        <v>2294</v>
      </c>
      <c r="C50" s="22">
        <v>271974</v>
      </c>
      <c r="D50" s="22" t="s">
        <v>2295</v>
      </c>
      <c r="E50" s="24">
        <v>45446</v>
      </c>
      <c r="F50" s="24">
        <v>45455</v>
      </c>
      <c r="G50" s="22" t="s">
        <v>260</v>
      </c>
      <c r="H50" s="22" t="s">
        <v>260</v>
      </c>
      <c r="I50" s="22" t="s">
        <v>2249</v>
      </c>
      <c r="J50" s="22" t="s">
        <v>1283</v>
      </c>
      <c r="K50" s="22"/>
      <c r="L50" s="22"/>
      <c r="M50" s="24" t="s">
        <v>2296</v>
      </c>
      <c r="N50" s="24" t="s">
        <v>2296</v>
      </c>
      <c r="O50" s="22" t="s">
        <v>2297</v>
      </c>
      <c r="P50" s="22">
        <v>290000</v>
      </c>
      <c r="Q50" s="22" t="s">
        <v>2298</v>
      </c>
      <c r="R50" s="22" t="s">
        <v>260</v>
      </c>
      <c r="S50" s="21" t="s">
        <v>1391</v>
      </c>
      <c r="T50" s="8" t="s">
        <v>3084</v>
      </c>
      <c r="U50" s="8" t="s">
        <v>2299</v>
      </c>
      <c r="V50" s="21">
        <v>612385</v>
      </c>
      <c r="W50" s="21">
        <v>56691</v>
      </c>
      <c r="X50" s="21">
        <v>20000</v>
      </c>
      <c r="Y50" s="21">
        <v>9534</v>
      </c>
      <c r="Z50" s="21">
        <v>500</v>
      </c>
      <c r="AA50" s="21" t="s">
        <v>2253</v>
      </c>
      <c r="AB50" s="21">
        <v>0</v>
      </c>
      <c r="AC50" s="21">
        <v>3199</v>
      </c>
      <c r="AD50" s="21">
        <v>0</v>
      </c>
      <c r="AE50" s="21">
        <v>0</v>
      </c>
      <c r="AF50" s="21">
        <v>31350</v>
      </c>
      <c r="AG50" s="21">
        <v>0</v>
      </c>
      <c r="AH50" s="21">
        <v>0</v>
      </c>
      <c r="AI50" s="21">
        <v>0</v>
      </c>
      <c r="AJ50" s="21">
        <v>18000</v>
      </c>
      <c r="AK50" s="21">
        <v>0</v>
      </c>
      <c r="AL50" s="21">
        <v>0</v>
      </c>
      <c r="AM50" s="21">
        <v>0</v>
      </c>
      <c r="AN50" s="21">
        <v>0</v>
      </c>
      <c r="AO50" s="21">
        <v>0</v>
      </c>
      <c r="AP50" s="21">
        <v>0</v>
      </c>
      <c r="AQ50" s="21">
        <v>0</v>
      </c>
      <c r="AR50" s="21">
        <v>17000</v>
      </c>
      <c r="AS50" s="21">
        <v>0</v>
      </c>
      <c r="AT50" s="21">
        <v>0</v>
      </c>
      <c r="AU50" s="21">
        <v>5000</v>
      </c>
      <c r="AV50" s="21">
        <v>0</v>
      </c>
      <c r="AW50" s="21"/>
      <c r="AX50" s="21">
        <v>3659</v>
      </c>
      <c r="AY50" s="21">
        <f t="shared" si="6"/>
        <v>6659</v>
      </c>
      <c r="AZ50" s="21">
        <f t="shared" si="7"/>
        <v>8659</v>
      </c>
      <c r="BA50" s="21">
        <f t="shared" si="8"/>
        <v>6659</v>
      </c>
      <c r="BB50" s="21">
        <v>0</v>
      </c>
      <c r="BC50" s="21">
        <v>2000</v>
      </c>
      <c r="BD50" s="21">
        <v>0</v>
      </c>
      <c r="BE50" s="21">
        <v>0</v>
      </c>
      <c r="BF50" s="21">
        <f t="shared" si="9"/>
        <v>690000</v>
      </c>
      <c r="BG50" s="21">
        <v>290000</v>
      </c>
      <c r="BH50" s="21" t="s">
        <v>39</v>
      </c>
      <c r="BI50" s="21" t="s">
        <v>2253</v>
      </c>
      <c r="BJ50" s="21" t="s">
        <v>2253</v>
      </c>
      <c r="BK50" s="29" t="s">
        <v>2300</v>
      </c>
      <c r="BL50" s="21">
        <f>195000</f>
        <v>195000</v>
      </c>
      <c r="BM50" s="21">
        <f t="shared" si="10"/>
        <v>205000</v>
      </c>
      <c r="BN50" s="25" t="s">
        <v>2301</v>
      </c>
      <c r="BO50" s="21"/>
      <c r="BP50" s="21"/>
      <c r="BQ50" s="21"/>
      <c r="BR50" s="21"/>
      <c r="BS50" s="21"/>
      <c r="BT50" s="21"/>
      <c r="BU50" s="26"/>
      <c r="BV50" s="27"/>
      <c r="BW50" s="27"/>
      <c r="BX50" s="27">
        <v>0</v>
      </c>
      <c r="BY50" s="27">
        <v>0</v>
      </c>
      <c r="BZ50" s="27">
        <v>0</v>
      </c>
      <c r="CA50" s="27" t="str">
        <f t="shared" si="5"/>
        <v>NO</v>
      </c>
      <c r="CB50" s="27"/>
      <c r="CC50" s="27"/>
      <c r="CD50" s="27"/>
      <c r="CE50" s="27"/>
      <c r="CF50" s="27"/>
      <c r="CG50" s="28"/>
    </row>
    <row r="51" spans="1:85" s="20" customFormat="1" ht="15.75" hidden="1" customHeight="1" x14ac:dyDescent="0.3">
      <c r="A51" s="21">
        <v>54</v>
      </c>
      <c r="B51" s="22" t="s">
        <v>2484</v>
      </c>
      <c r="C51" s="22" t="s">
        <v>1428</v>
      </c>
      <c r="D51" s="23" t="s">
        <v>2485</v>
      </c>
      <c r="E51" s="24">
        <v>45455</v>
      </c>
      <c r="F51" s="24">
        <v>45456</v>
      </c>
      <c r="G51" s="22" t="s">
        <v>260</v>
      </c>
      <c r="H51" s="22" t="s">
        <v>260</v>
      </c>
      <c r="I51" s="22" t="s">
        <v>2249</v>
      </c>
      <c r="J51" s="22" t="s">
        <v>1426</v>
      </c>
      <c r="K51" s="22"/>
      <c r="L51" s="22"/>
      <c r="M51" s="24" t="s">
        <v>310</v>
      </c>
      <c r="N51" s="24" t="s">
        <v>310</v>
      </c>
      <c r="O51" s="22" t="s">
        <v>2326</v>
      </c>
      <c r="P51" s="22">
        <v>515000</v>
      </c>
      <c r="Q51" s="22" t="s">
        <v>2271</v>
      </c>
      <c r="R51" s="22" t="s">
        <v>260</v>
      </c>
      <c r="S51" s="21" t="s">
        <v>1391</v>
      </c>
      <c r="T51" s="8" t="s">
        <v>3084</v>
      </c>
      <c r="U51" s="8" t="s">
        <v>2299</v>
      </c>
      <c r="V51" s="21">
        <v>561000</v>
      </c>
      <c r="W51" s="21">
        <v>53351</v>
      </c>
      <c r="X51" s="21">
        <v>24130</v>
      </c>
      <c r="Y51" s="21">
        <v>8744</v>
      </c>
      <c r="Z51" s="21">
        <v>500</v>
      </c>
      <c r="AA51" s="21" t="s">
        <v>2260</v>
      </c>
      <c r="AB51" s="21">
        <v>0</v>
      </c>
      <c r="AC51" s="21">
        <v>2875</v>
      </c>
      <c r="AD51" s="21">
        <v>0</v>
      </c>
      <c r="AE51" s="21">
        <v>0</v>
      </c>
      <c r="AF51" s="21">
        <v>31500</v>
      </c>
      <c r="AG51" s="21">
        <v>3000</v>
      </c>
      <c r="AH51" s="21">
        <v>0</v>
      </c>
      <c r="AI51" s="21">
        <v>0</v>
      </c>
      <c r="AJ51" s="21">
        <v>10000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2100</v>
      </c>
      <c r="AR51" s="21">
        <v>15000</v>
      </c>
      <c r="AS51" s="21">
        <v>0</v>
      </c>
      <c r="AT51" s="21">
        <v>0</v>
      </c>
      <c r="AU51" s="21">
        <v>5000</v>
      </c>
      <c r="AV51" s="21">
        <v>0</v>
      </c>
      <c r="AW51" s="21"/>
      <c r="AX51" s="21">
        <v>0</v>
      </c>
      <c r="AY51" s="21">
        <f t="shared" si="6"/>
        <v>3000</v>
      </c>
      <c r="AZ51" s="21">
        <f t="shared" si="7"/>
        <v>5000</v>
      </c>
      <c r="BA51" s="21">
        <f t="shared" si="8"/>
        <v>3000</v>
      </c>
      <c r="BB51" s="21">
        <v>0</v>
      </c>
      <c r="BC51" s="21">
        <v>2000</v>
      </c>
      <c r="BD51" s="21">
        <v>0</v>
      </c>
      <c r="BE51" s="21">
        <v>0</v>
      </c>
      <c r="BF51" s="21">
        <f t="shared" si="9"/>
        <v>653000</v>
      </c>
      <c r="BG51" s="21">
        <v>498083</v>
      </c>
      <c r="BH51" s="21" t="s">
        <v>39</v>
      </c>
      <c r="BI51" s="21" t="s">
        <v>2253</v>
      </c>
      <c r="BJ51" s="21" t="s">
        <v>2253</v>
      </c>
      <c r="BK51" s="21">
        <v>13441896</v>
      </c>
      <c r="BL51" s="21">
        <f>50000+103000</f>
        <v>153000</v>
      </c>
      <c r="BM51" s="21">
        <f t="shared" si="10"/>
        <v>1917</v>
      </c>
      <c r="BN51" s="25"/>
      <c r="BO51" s="21"/>
      <c r="BP51" s="21"/>
      <c r="BQ51" s="21"/>
      <c r="BR51" s="21"/>
      <c r="BS51" s="21"/>
      <c r="BT51" s="21"/>
      <c r="BU51" s="26"/>
      <c r="BV51" s="27"/>
      <c r="BW51" s="27"/>
      <c r="BX51" s="27">
        <v>0</v>
      </c>
      <c r="BY51" s="27">
        <v>0</v>
      </c>
      <c r="BZ51" s="27">
        <v>0</v>
      </c>
      <c r="CA51" s="27" t="str">
        <f t="shared" si="5"/>
        <v>NO</v>
      </c>
      <c r="CB51" s="27"/>
      <c r="CC51" s="27"/>
      <c r="CD51" s="27"/>
      <c r="CE51" s="27"/>
      <c r="CF51" s="27"/>
      <c r="CG51" s="28"/>
    </row>
    <row r="52" spans="1:85" s="20" customFormat="1" ht="15.75" hidden="1" customHeight="1" x14ac:dyDescent="0.3">
      <c r="A52" s="21">
        <v>58</v>
      </c>
      <c r="B52" s="22" t="s">
        <v>2492</v>
      </c>
      <c r="C52" s="22" t="s">
        <v>1438</v>
      </c>
      <c r="D52" s="23" t="s">
        <v>2493</v>
      </c>
      <c r="E52" s="24">
        <v>45456</v>
      </c>
      <c r="F52" s="24">
        <v>45458</v>
      </c>
      <c r="G52" s="22" t="s">
        <v>260</v>
      </c>
      <c r="H52" s="22" t="s">
        <v>260</v>
      </c>
      <c r="I52" s="22" t="s">
        <v>2249</v>
      </c>
      <c r="J52" s="22" t="s">
        <v>1436</v>
      </c>
      <c r="K52" s="22"/>
      <c r="L52" s="22"/>
      <c r="M52" s="24" t="s">
        <v>310</v>
      </c>
      <c r="N52" s="24" t="s">
        <v>310</v>
      </c>
      <c r="O52" s="22" t="s">
        <v>2333</v>
      </c>
      <c r="P52" s="22">
        <v>550000</v>
      </c>
      <c r="Q52" s="22" t="s">
        <v>2251</v>
      </c>
      <c r="R52" s="22" t="s">
        <v>260</v>
      </c>
      <c r="S52" s="21" t="s">
        <v>1391</v>
      </c>
      <c r="T52" s="8" t="s">
        <v>3084</v>
      </c>
      <c r="U52" s="8" t="s">
        <v>2299</v>
      </c>
      <c r="V52" s="21">
        <v>561000</v>
      </c>
      <c r="W52" s="21">
        <v>51000</v>
      </c>
      <c r="X52" s="21">
        <v>24130</v>
      </c>
      <c r="Y52" s="21">
        <v>8744</v>
      </c>
      <c r="Z52" s="21">
        <v>500</v>
      </c>
      <c r="AA52" s="21" t="s">
        <v>2253</v>
      </c>
      <c r="AB52" s="21">
        <v>0</v>
      </c>
      <c r="AC52" s="21">
        <v>2726</v>
      </c>
      <c r="AD52" s="21">
        <v>0</v>
      </c>
      <c r="AE52" s="21">
        <v>0</v>
      </c>
      <c r="AF52" s="21">
        <v>30000</v>
      </c>
      <c r="AG52" s="21">
        <v>0</v>
      </c>
      <c r="AH52" s="21">
        <v>0</v>
      </c>
      <c r="AI52" s="21">
        <v>0</v>
      </c>
      <c r="AJ52" s="21">
        <v>10000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21">
        <v>3100</v>
      </c>
      <c r="AR52" s="21">
        <v>15000</v>
      </c>
      <c r="AS52" s="21">
        <v>0</v>
      </c>
      <c r="AT52" s="21">
        <v>0</v>
      </c>
      <c r="AU52" s="21">
        <v>5000</v>
      </c>
      <c r="AV52" s="21">
        <v>0</v>
      </c>
      <c r="AW52" s="21"/>
      <c r="AX52" s="21">
        <v>0</v>
      </c>
      <c r="AY52" s="21">
        <f t="shared" si="6"/>
        <v>5000</v>
      </c>
      <c r="AZ52" s="21">
        <f t="shared" si="7"/>
        <v>5000</v>
      </c>
      <c r="BA52" s="21">
        <f t="shared" si="8"/>
        <v>5000</v>
      </c>
      <c r="BB52" s="21">
        <v>5000</v>
      </c>
      <c r="BC52" s="21">
        <v>0</v>
      </c>
      <c r="BD52" s="21">
        <v>0</v>
      </c>
      <c r="BE52" s="21">
        <v>0</v>
      </c>
      <c r="BF52" s="21">
        <f t="shared" si="9"/>
        <v>640000</v>
      </c>
      <c r="BG52" s="21">
        <v>537095</v>
      </c>
      <c r="BH52" s="21" t="s">
        <v>39</v>
      </c>
      <c r="BI52" s="21" t="s">
        <v>2253</v>
      </c>
      <c r="BJ52" s="21" t="s">
        <v>2253</v>
      </c>
      <c r="BK52" s="21">
        <v>1307299</v>
      </c>
      <c r="BL52" s="21">
        <f>805+2100+100000</f>
        <v>102905</v>
      </c>
      <c r="BM52" s="21">
        <f t="shared" si="10"/>
        <v>0</v>
      </c>
      <c r="BN52" s="25"/>
      <c r="BO52" s="21"/>
      <c r="BP52" s="21"/>
      <c r="BQ52" s="21"/>
      <c r="BR52" s="21"/>
      <c r="BS52" s="21"/>
      <c r="BT52" s="21"/>
      <c r="BU52" s="26"/>
      <c r="BV52" s="27"/>
      <c r="BW52" s="27"/>
      <c r="BX52" s="27">
        <v>0</v>
      </c>
      <c r="BY52" s="27">
        <v>0</v>
      </c>
      <c r="BZ52" s="27">
        <v>0</v>
      </c>
      <c r="CA52" s="27" t="str">
        <f t="shared" si="5"/>
        <v>NO</v>
      </c>
      <c r="CB52" s="27"/>
      <c r="CC52" s="27"/>
      <c r="CD52" s="27"/>
      <c r="CE52" s="27"/>
      <c r="CF52" s="27"/>
      <c r="CG52" s="28"/>
    </row>
    <row r="53" spans="1:85" s="20" customFormat="1" ht="15.75" hidden="1" customHeight="1" x14ac:dyDescent="0.3">
      <c r="A53" s="21">
        <v>77</v>
      </c>
      <c r="B53" s="22" t="s">
        <v>2555</v>
      </c>
      <c r="C53" s="22" t="s">
        <v>1472</v>
      </c>
      <c r="D53" s="23" t="s">
        <v>2556</v>
      </c>
      <c r="E53" s="24">
        <v>45460</v>
      </c>
      <c r="F53" s="24">
        <v>45461</v>
      </c>
      <c r="G53" s="22" t="s">
        <v>260</v>
      </c>
      <c r="H53" s="22" t="s">
        <v>260</v>
      </c>
      <c r="I53" s="22" t="s">
        <v>2249</v>
      </c>
      <c r="J53" s="22" t="s">
        <v>1470</v>
      </c>
      <c r="K53" s="22"/>
      <c r="L53" s="22"/>
      <c r="M53" s="24" t="s">
        <v>310</v>
      </c>
      <c r="N53" s="24" t="s">
        <v>310</v>
      </c>
      <c r="O53" s="22" t="s">
        <v>2333</v>
      </c>
      <c r="P53" s="22">
        <v>550000</v>
      </c>
      <c r="Q53" s="22" t="s">
        <v>2284</v>
      </c>
      <c r="R53" s="22" t="s">
        <v>2557</v>
      </c>
      <c r="S53" s="21" t="s">
        <v>1391</v>
      </c>
      <c r="T53" s="8" t="s">
        <v>3084</v>
      </c>
      <c r="U53" s="8" t="s">
        <v>2299</v>
      </c>
      <c r="V53" s="21">
        <v>561000</v>
      </c>
      <c r="W53" s="21">
        <v>53351</v>
      </c>
      <c r="X53" s="21">
        <v>24000</v>
      </c>
      <c r="Y53" s="21">
        <v>8744</v>
      </c>
      <c r="Z53" s="21">
        <v>500</v>
      </c>
      <c r="AA53" s="21" t="s">
        <v>2260</v>
      </c>
      <c r="AB53" s="21">
        <v>0</v>
      </c>
      <c r="AC53" s="21">
        <v>2726</v>
      </c>
      <c r="AD53" s="21">
        <v>0</v>
      </c>
      <c r="AE53" s="21">
        <v>0</v>
      </c>
      <c r="AF53" s="21">
        <v>30000</v>
      </c>
      <c r="AG53" s="21">
        <v>0</v>
      </c>
      <c r="AH53" s="21">
        <v>0</v>
      </c>
      <c r="AI53" s="21">
        <v>0</v>
      </c>
      <c r="AJ53" s="21">
        <v>10000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3100</v>
      </c>
      <c r="AR53" s="21">
        <v>15000</v>
      </c>
      <c r="AS53" s="21">
        <v>0</v>
      </c>
      <c r="AT53" s="21">
        <v>0</v>
      </c>
      <c r="AU53" s="21">
        <v>6000</v>
      </c>
      <c r="AV53" s="21">
        <v>0</v>
      </c>
      <c r="AW53" s="21"/>
      <c r="AX53" s="21">
        <v>1221</v>
      </c>
      <c r="AY53" s="21">
        <f t="shared" si="6"/>
        <v>5221</v>
      </c>
      <c r="AZ53" s="21">
        <f t="shared" si="7"/>
        <v>7221</v>
      </c>
      <c r="BA53" s="21">
        <f t="shared" si="8"/>
        <v>5221</v>
      </c>
      <c r="BB53" s="21">
        <v>0</v>
      </c>
      <c r="BC53" s="21">
        <v>2000</v>
      </c>
      <c r="BD53" s="21">
        <v>0</v>
      </c>
      <c r="BE53" s="21">
        <v>0</v>
      </c>
      <c r="BF53" s="21">
        <f t="shared" si="9"/>
        <v>645000</v>
      </c>
      <c r="BG53" s="21">
        <v>550000</v>
      </c>
      <c r="BH53" s="21" t="s">
        <v>2287</v>
      </c>
      <c r="BI53" s="21" t="s">
        <v>2253</v>
      </c>
      <c r="BJ53" s="21" t="s">
        <v>2253</v>
      </c>
      <c r="BK53" s="21">
        <v>0</v>
      </c>
      <c r="BL53" s="21">
        <f>95000</f>
        <v>95000</v>
      </c>
      <c r="BM53" s="21">
        <f t="shared" si="10"/>
        <v>0</v>
      </c>
      <c r="BN53" s="25"/>
      <c r="BO53" s="21"/>
      <c r="BP53" s="21"/>
      <c r="BQ53" s="21"/>
      <c r="BR53" s="21"/>
      <c r="BS53" s="21"/>
      <c r="BT53" s="21"/>
      <c r="BU53" s="26"/>
      <c r="BV53" s="27"/>
      <c r="BW53" s="27"/>
      <c r="BX53" s="27">
        <v>0</v>
      </c>
      <c r="BY53" s="27">
        <v>0</v>
      </c>
      <c r="BZ53" s="27">
        <v>0</v>
      </c>
      <c r="CA53" s="27" t="str">
        <f t="shared" si="5"/>
        <v>NO</v>
      </c>
      <c r="CB53" s="27"/>
      <c r="CC53" s="27"/>
      <c r="CD53" s="27"/>
      <c r="CE53" s="27"/>
      <c r="CF53" s="27"/>
      <c r="CG53" s="28"/>
    </row>
    <row r="54" spans="1:85" s="20" customFormat="1" ht="15.75" hidden="1" customHeight="1" x14ac:dyDescent="0.3">
      <c r="A54" s="21">
        <v>66</v>
      </c>
      <c r="B54" s="22" t="s">
        <v>2519</v>
      </c>
      <c r="C54" s="22" t="s">
        <v>2031</v>
      </c>
      <c r="D54" s="23" t="s">
        <v>2520</v>
      </c>
      <c r="E54" s="24">
        <v>45458</v>
      </c>
      <c r="F54" s="24">
        <v>45461</v>
      </c>
      <c r="G54" s="22" t="s">
        <v>2521</v>
      </c>
      <c r="H54" s="22" t="s">
        <v>2521</v>
      </c>
      <c r="I54" s="22" t="s">
        <v>2249</v>
      </c>
      <c r="J54" s="22" t="s">
        <v>2029</v>
      </c>
      <c r="K54" s="22"/>
      <c r="L54" s="22"/>
      <c r="M54" s="24" t="s">
        <v>310</v>
      </c>
      <c r="N54" s="24" t="s">
        <v>310</v>
      </c>
      <c r="O54" s="22" t="s">
        <v>2326</v>
      </c>
      <c r="P54" s="22">
        <v>450000</v>
      </c>
      <c r="Q54" s="22" t="s">
        <v>2271</v>
      </c>
      <c r="R54" s="22" t="s">
        <v>2521</v>
      </c>
      <c r="S54" s="139" t="s">
        <v>2522</v>
      </c>
      <c r="T54" s="8" t="s">
        <v>3088</v>
      </c>
      <c r="U54" s="8" t="s">
        <v>2523</v>
      </c>
      <c r="V54" s="21">
        <v>561885</v>
      </c>
      <c r="W54" s="21">
        <v>53351</v>
      </c>
      <c r="X54" s="21">
        <v>26100</v>
      </c>
      <c r="Y54" s="21">
        <v>8850</v>
      </c>
      <c r="Z54" s="21">
        <v>500</v>
      </c>
      <c r="AA54" s="21" t="s">
        <v>2253</v>
      </c>
      <c r="AB54" s="21">
        <v>0</v>
      </c>
      <c r="AC54" s="21">
        <v>2750</v>
      </c>
      <c r="AD54" s="21">
        <v>0</v>
      </c>
      <c r="AE54" s="21">
        <v>0</v>
      </c>
      <c r="AF54" s="21">
        <v>24790</v>
      </c>
      <c r="AG54" s="21">
        <v>0</v>
      </c>
      <c r="AH54" s="21">
        <v>0</v>
      </c>
      <c r="AI54" s="21">
        <v>0</v>
      </c>
      <c r="AJ54" s="21">
        <v>10000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3100</v>
      </c>
      <c r="AR54" s="21">
        <v>15000</v>
      </c>
      <c r="AS54" s="21">
        <v>0</v>
      </c>
      <c r="AT54" s="21">
        <v>0</v>
      </c>
      <c r="AU54" s="21">
        <v>0</v>
      </c>
      <c r="AV54" s="21">
        <v>0</v>
      </c>
      <c r="AW54" s="21"/>
      <c r="AX54" s="21">
        <v>16500</v>
      </c>
      <c r="AY54" s="21">
        <f t="shared" si="6"/>
        <v>14500</v>
      </c>
      <c r="AZ54" s="21">
        <f t="shared" si="7"/>
        <v>16500</v>
      </c>
      <c r="BA54" s="21">
        <f t="shared" si="8"/>
        <v>14500</v>
      </c>
      <c r="BB54" s="21">
        <v>0</v>
      </c>
      <c r="BC54" s="21">
        <v>2000</v>
      </c>
      <c r="BD54" s="21">
        <v>0</v>
      </c>
      <c r="BE54" s="21">
        <v>0</v>
      </c>
      <c r="BF54" s="21">
        <f t="shared" si="9"/>
        <v>633626</v>
      </c>
      <c r="BG54" s="21">
        <v>435000</v>
      </c>
      <c r="BH54" s="21" t="s">
        <v>39</v>
      </c>
      <c r="BI54" s="21" t="s">
        <v>2253</v>
      </c>
      <c r="BJ54" s="21" t="s">
        <v>2253</v>
      </c>
      <c r="BK54" s="21">
        <v>13376944</v>
      </c>
      <c r="BL54" s="21">
        <f>2100+95000+101526</f>
        <v>198626</v>
      </c>
      <c r="BM54" s="21">
        <f t="shared" si="10"/>
        <v>0</v>
      </c>
      <c r="BN54" s="25"/>
      <c r="BO54" s="21"/>
      <c r="BP54" s="21"/>
      <c r="BQ54" s="21"/>
      <c r="BR54" s="21"/>
      <c r="BS54" s="21"/>
      <c r="BT54" s="21"/>
      <c r="BU54" s="26"/>
      <c r="BV54" s="27"/>
      <c r="BW54" s="27"/>
      <c r="BX54" s="27">
        <v>0</v>
      </c>
      <c r="BY54" s="27">
        <v>0</v>
      </c>
      <c r="BZ54" s="27">
        <v>0</v>
      </c>
      <c r="CA54" s="27" t="str">
        <f t="shared" si="5"/>
        <v>NO</v>
      </c>
      <c r="CB54" s="27"/>
      <c r="CC54" s="27"/>
      <c r="CD54" s="27"/>
      <c r="CE54" s="27"/>
      <c r="CF54" s="27"/>
      <c r="CG54" s="28"/>
    </row>
    <row r="55" spans="1:85" s="20" customFormat="1" ht="15.75" hidden="1" customHeight="1" x14ac:dyDescent="0.3">
      <c r="A55" s="21">
        <v>80</v>
      </c>
      <c r="B55" s="22" t="s">
        <v>2564</v>
      </c>
      <c r="C55" s="22" t="s">
        <v>1492</v>
      </c>
      <c r="D55" s="23" t="s">
        <v>2565</v>
      </c>
      <c r="E55" s="24">
        <v>45460</v>
      </c>
      <c r="F55" s="24">
        <v>45461</v>
      </c>
      <c r="G55" s="22" t="s">
        <v>260</v>
      </c>
      <c r="H55" s="22" t="s">
        <v>260</v>
      </c>
      <c r="I55" s="22" t="s">
        <v>2249</v>
      </c>
      <c r="J55" s="22" t="s">
        <v>1490</v>
      </c>
      <c r="K55" s="22"/>
      <c r="L55" s="22"/>
      <c r="M55" s="24" t="s">
        <v>310</v>
      </c>
      <c r="N55" s="24" t="s">
        <v>310</v>
      </c>
      <c r="O55" s="22" t="s">
        <v>2326</v>
      </c>
      <c r="P55" s="22">
        <v>500000</v>
      </c>
      <c r="Q55" s="22" t="s">
        <v>2373</v>
      </c>
      <c r="R55" s="22" t="s">
        <v>1744</v>
      </c>
      <c r="S55" s="21" t="s">
        <v>2566</v>
      </c>
      <c r="T55" s="8" t="s">
        <v>3077</v>
      </c>
      <c r="U55" s="8" t="s">
        <v>2252</v>
      </c>
      <c r="V55" s="21">
        <v>561885</v>
      </c>
      <c r="W55" s="21">
        <v>53351</v>
      </c>
      <c r="X55" s="21">
        <v>25248</v>
      </c>
      <c r="Y55" s="21">
        <v>8744</v>
      </c>
      <c r="Z55" s="21">
        <v>500</v>
      </c>
      <c r="AA55" s="21" t="s">
        <v>2253</v>
      </c>
      <c r="AB55" s="21">
        <v>0</v>
      </c>
      <c r="AC55" s="21">
        <v>2726</v>
      </c>
      <c r="AD55" s="21">
        <v>0</v>
      </c>
      <c r="AE55" s="21">
        <v>0</v>
      </c>
      <c r="AF55" s="21">
        <v>25800</v>
      </c>
      <c r="AG55" s="21">
        <v>0</v>
      </c>
      <c r="AH55" s="21">
        <v>0</v>
      </c>
      <c r="AI55" s="21">
        <v>0</v>
      </c>
      <c r="AJ55" s="21">
        <v>10000</v>
      </c>
      <c r="AK55" s="21">
        <v>0</v>
      </c>
      <c r="AL55" s="21">
        <v>0</v>
      </c>
      <c r="AM55" s="21">
        <v>0</v>
      </c>
      <c r="AN55" s="21">
        <v>0</v>
      </c>
      <c r="AO55" s="21">
        <v>0</v>
      </c>
      <c r="AP55" s="21">
        <v>0</v>
      </c>
      <c r="AQ55" s="21">
        <v>0</v>
      </c>
      <c r="AR55" s="21">
        <v>15000</v>
      </c>
      <c r="AS55" s="21">
        <v>0</v>
      </c>
      <c r="AT55" s="21">
        <v>0</v>
      </c>
      <c r="AU55" s="21">
        <v>0</v>
      </c>
      <c r="AV55" s="21">
        <v>0</v>
      </c>
      <c r="AW55" s="21"/>
      <c r="AX55" s="21">
        <v>11546</v>
      </c>
      <c r="AY55" s="21">
        <f t="shared" si="6"/>
        <v>9546</v>
      </c>
      <c r="AZ55" s="21">
        <f t="shared" si="7"/>
        <v>11546</v>
      </c>
      <c r="BA55" s="21">
        <f t="shared" si="8"/>
        <v>9546</v>
      </c>
      <c r="BB55" s="21">
        <v>0</v>
      </c>
      <c r="BC55" s="21">
        <v>2000</v>
      </c>
      <c r="BD55" s="21">
        <v>0</v>
      </c>
      <c r="BE55" s="21">
        <v>0</v>
      </c>
      <c r="BF55" s="21">
        <f t="shared" si="9"/>
        <v>641708</v>
      </c>
      <c r="BG55" s="21">
        <v>500000</v>
      </c>
      <c r="BH55" s="21" t="s">
        <v>2287</v>
      </c>
      <c r="BI55" s="21" t="s">
        <v>2260</v>
      </c>
      <c r="BJ55" s="21" t="s">
        <v>2260</v>
      </c>
      <c r="BK55" s="21">
        <v>0</v>
      </c>
      <c r="BL55" s="21">
        <f>90000+39453</f>
        <v>129453</v>
      </c>
      <c r="BM55" s="21">
        <f t="shared" si="10"/>
        <v>12255</v>
      </c>
      <c r="BN55" s="25">
        <v>45484</v>
      </c>
      <c r="BO55" s="21"/>
      <c r="BP55" s="21"/>
      <c r="BQ55" s="21"/>
      <c r="BR55" s="21"/>
      <c r="BS55" s="21"/>
      <c r="BT55" s="21"/>
      <c r="BU55" s="26"/>
      <c r="BV55" s="27"/>
      <c r="BW55" s="27"/>
      <c r="BX55" s="27">
        <v>0</v>
      </c>
      <c r="BY55" s="27">
        <v>0</v>
      </c>
      <c r="BZ55" s="27">
        <v>0</v>
      </c>
      <c r="CA55" s="27" t="str">
        <f t="shared" si="5"/>
        <v>NO</v>
      </c>
      <c r="CB55" s="27"/>
      <c r="CC55" s="27"/>
      <c r="CD55" s="27"/>
      <c r="CE55" s="27"/>
      <c r="CF55" s="27"/>
      <c r="CG55" s="28"/>
    </row>
    <row r="56" spans="1:85" s="20" customFormat="1" ht="15.75" hidden="1" customHeight="1" x14ac:dyDescent="0.3">
      <c r="A56" s="21">
        <v>87</v>
      </c>
      <c r="B56" s="22" t="s">
        <v>2591</v>
      </c>
      <c r="C56" s="22">
        <v>897400</v>
      </c>
      <c r="D56" s="23" t="s">
        <v>2592</v>
      </c>
      <c r="E56" s="24">
        <v>45462</v>
      </c>
      <c r="F56" s="24">
        <v>45470</v>
      </c>
      <c r="G56" s="22" t="s">
        <v>260</v>
      </c>
      <c r="H56" s="22" t="s">
        <v>260</v>
      </c>
      <c r="I56" s="22" t="s">
        <v>2249</v>
      </c>
      <c r="J56" s="22" t="s">
        <v>1512</v>
      </c>
      <c r="K56" s="22"/>
      <c r="L56" s="22"/>
      <c r="M56" s="24" t="s">
        <v>248</v>
      </c>
      <c r="N56" s="24" t="s">
        <v>248</v>
      </c>
      <c r="O56" s="22" t="s">
        <v>2593</v>
      </c>
      <c r="P56" s="22">
        <v>657127</v>
      </c>
      <c r="Q56" s="22" t="s">
        <v>2271</v>
      </c>
      <c r="R56" s="22" t="s">
        <v>260</v>
      </c>
      <c r="S56" s="21" t="s">
        <v>2594</v>
      </c>
      <c r="T56" s="8" t="s">
        <v>3093</v>
      </c>
      <c r="U56" s="8" t="s">
        <v>2252</v>
      </c>
      <c r="V56" s="21">
        <v>657127</v>
      </c>
      <c r="W56" s="21">
        <v>60170</v>
      </c>
      <c r="X56" s="21">
        <v>22576</v>
      </c>
      <c r="Y56" s="21">
        <v>11163</v>
      </c>
      <c r="Z56" s="21">
        <v>500</v>
      </c>
      <c r="AA56" s="21" t="s">
        <v>2253</v>
      </c>
      <c r="AB56" s="21">
        <v>0</v>
      </c>
      <c r="AC56" s="21">
        <v>3464</v>
      </c>
      <c r="AD56" s="21">
        <v>0</v>
      </c>
      <c r="AE56" s="21">
        <v>0</v>
      </c>
      <c r="AF56" s="21">
        <v>8000</v>
      </c>
      <c r="AG56" s="21">
        <v>0</v>
      </c>
      <c r="AH56" s="21">
        <v>170000</v>
      </c>
      <c r="AI56" s="21">
        <v>0</v>
      </c>
      <c r="AJ56" s="21">
        <v>10000</v>
      </c>
      <c r="AK56" s="21">
        <v>0</v>
      </c>
      <c r="AL56" s="21">
        <v>0</v>
      </c>
      <c r="AM56" s="21">
        <v>0</v>
      </c>
      <c r="AN56" s="21">
        <v>0</v>
      </c>
      <c r="AO56" s="21">
        <v>0</v>
      </c>
      <c r="AP56" s="21">
        <v>0</v>
      </c>
      <c r="AQ56" s="21">
        <v>0</v>
      </c>
      <c r="AR56" s="21">
        <v>5000</v>
      </c>
      <c r="AS56" s="21">
        <v>0</v>
      </c>
      <c r="AT56" s="21">
        <v>0</v>
      </c>
      <c r="AU56" s="21">
        <v>0</v>
      </c>
      <c r="AV56" s="21">
        <v>0</v>
      </c>
      <c r="AW56" s="21"/>
      <c r="AX56" s="21">
        <v>7900</v>
      </c>
      <c r="AY56" s="21">
        <f t="shared" si="6"/>
        <v>5900</v>
      </c>
      <c r="AZ56" s="21">
        <f t="shared" si="7"/>
        <v>7900</v>
      </c>
      <c r="BA56" s="21">
        <f t="shared" si="8"/>
        <v>5900</v>
      </c>
      <c r="BB56" s="21">
        <v>15000</v>
      </c>
      <c r="BC56" s="21">
        <v>2000</v>
      </c>
      <c r="BD56" s="21">
        <v>0</v>
      </c>
      <c r="BE56" s="21">
        <v>0</v>
      </c>
      <c r="BF56" s="21">
        <f t="shared" si="9"/>
        <v>725100</v>
      </c>
      <c r="BG56" s="21">
        <v>540615</v>
      </c>
      <c r="BH56" s="21" t="s">
        <v>39</v>
      </c>
      <c r="BI56" s="21" t="s">
        <v>2253</v>
      </c>
      <c r="BJ56" s="21" t="s">
        <v>2253</v>
      </c>
      <c r="BK56" s="29">
        <v>13507016</v>
      </c>
      <c r="BL56" s="21">
        <f>2100+13000</f>
        <v>15100</v>
      </c>
      <c r="BM56" s="21">
        <f t="shared" si="10"/>
        <v>-615</v>
      </c>
      <c r="BN56" s="25"/>
      <c r="BO56" s="21"/>
      <c r="BP56" s="21" t="s">
        <v>2253</v>
      </c>
      <c r="BQ56" s="21" t="s">
        <v>2253</v>
      </c>
      <c r="BR56" s="21" t="s">
        <v>2253</v>
      </c>
      <c r="BS56" s="21" t="s">
        <v>2439</v>
      </c>
      <c r="BT56" s="21"/>
      <c r="BU56" s="26"/>
      <c r="BV56" s="27"/>
      <c r="BW56" s="27"/>
      <c r="BX56" s="27">
        <v>0</v>
      </c>
      <c r="BY56" s="27">
        <v>0</v>
      </c>
      <c r="BZ56" s="27">
        <v>0</v>
      </c>
      <c r="CA56" s="27" t="str">
        <f t="shared" si="5"/>
        <v>NO</v>
      </c>
      <c r="CB56" s="27"/>
      <c r="CC56" s="27"/>
      <c r="CD56" s="27"/>
      <c r="CE56" s="27"/>
      <c r="CF56" s="27"/>
      <c r="CG56" s="28"/>
    </row>
    <row r="57" spans="1:85" s="20" customFormat="1" ht="15.75" hidden="1" customHeight="1" x14ac:dyDescent="0.3">
      <c r="A57" s="21">
        <v>6</v>
      </c>
      <c r="B57" s="22" t="s">
        <v>2281</v>
      </c>
      <c r="C57" s="22" t="s">
        <v>2094</v>
      </c>
      <c r="D57" s="23" t="s">
        <v>2282</v>
      </c>
      <c r="E57" s="24">
        <v>45446</v>
      </c>
      <c r="F57" s="24">
        <v>45447</v>
      </c>
      <c r="G57" s="22" t="s">
        <v>2283</v>
      </c>
      <c r="H57" s="22" t="s">
        <v>2283</v>
      </c>
      <c r="I57" s="22" t="s">
        <v>2249</v>
      </c>
      <c r="J57" s="22" t="s">
        <v>2092</v>
      </c>
      <c r="K57" s="22"/>
      <c r="L57" s="22"/>
      <c r="M57" s="24" t="s">
        <v>310</v>
      </c>
      <c r="N57" s="24" t="s">
        <v>310</v>
      </c>
      <c r="O57" s="22" t="s">
        <v>2250</v>
      </c>
      <c r="P57" s="22">
        <v>630000</v>
      </c>
      <c r="Q57" s="22" t="s">
        <v>2284</v>
      </c>
      <c r="R57" s="22" t="s">
        <v>2285</v>
      </c>
      <c r="S57" s="21" t="s">
        <v>2286</v>
      </c>
      <c r="T57" s="8" t="s">
        <v>3078</v>
      </c>
      <c r="U57" s="8" t="s">
        <v>2286</v>
      </c>
      <c r="V57" s="21">
        <v>568885</v>
      </c>
      <c r="W57" s="21">
        <v>53911</v>
      </c>
      <c r="X57" s="21">
        <v>25000</v>
      </c>
      <c r="Y57" s="21">
        <v>8850</v>
      </c>
      <c r="Z57" s="21">
        <v>0</v>
      </c>
      <c r="AA57" s="21" t="s">
        <v>2253</v>
      </c>
      <c r="AB57" s="21">
        <v>0</v>
      </c>
      <c r="AC57" s="21">
        <v>0</v>
      </c>
      <c r="AD57" s="21">
        <v>0</v>
      </c>
      <c r="AE57" s="21">
        <v>0</v>
      </c>
      <c r="AF57" s="21">
        <v>3280</v>
      </c>
      <c r="AG57" s="21">
        <v>0</v>
      </c>
      <c r="AH57" s="21">
        <v>0</v>
      </c>
      <c r="AI57" s="21">
        <v>0</v>
      </c>
      <c r="AJ57" s="21">
        <v>10000</v>
      </c>
      <c r="AK57" s="21">
        <v>0</v>
      </c>
      <c r="AL57" s="21">
        <v>0</v>
      </c>
      <c r="AM57" s="21">
        <v>0</v>
      </c>
      <c r="AN57" s="21">
        <v>0</v>
      </c>
      <c r="AO57" s="21">
        <v>0</v>
      </c>
      <c r="AP57" s="21">
        <v>0</v>
      </c>
      <c r="AQ57" s="21">
        <v>0</v>
      </c>
      <c r="AR57" s="21">
        <v>15000</v>
      </c>
      <c r="AS57" s="21">
        <v>0</v>
      </c>
      <c r="AT57" s="21">
        <v>0</v>
      </c>
      <c r="AU57" s="21">
        <v>0</v>
      </c>
      <c r="AV57" s="21">
        <v>0</v>
      </c>
      <c r="AW57" s="21"/>
      <c r="AX57" s="21">
        <v>9926</v>
      </c>
      <c r="AY57" s="21">
        <f t="shared" si="6"/>
        <v>7926</v>
      </c>
      <c r="AZ57" s="21">
        <f t="shared" si="7"/>
        <v>9926</v>
      </c>
      <c r="BA57" s="21">
        <f t="shared" si="8"/>
        <v>7926</v>
      </c>
      <c r="BB57" s="21">
        <v>0</v>
      </c>
      <c r="BC57" s="21">
        <v>2000</v>
      </c>
      <c r="BD57" s="21">
        <v>0</v>
      </c>
      <c r="BE57" s="21">
        <v>0</v>
      </c>
      <c r="BF57" s="21">
        <f t="shared" si="9"/>
        <v>625000</v>
      </c>
      <c r="BG57" s="21">
        <v>630000</v>
      </c>
      <c r="BH57" s="21" t="s">
        <v>2287</v>
      </c>
      <c r="BI57" s="21" t="s">
        <v>2260</v>
      </c>
      <c r="BJ57" s="21" t="s">
        <v>2260</v>
      </c>
      <c r="BK57" s="21">
        <v>0</v>
      </c>
      <c r="BL57" s="21">
        <v>0</v>
      </c>
      <c r="BM57" s="21">
        <f t="shared" si="10"/>
        <v>-5000</v>
      </c>
      <c r="BN57" s="25"/>
      <c r="BO57" s="26"/>
      <c r="BP57" s="21"/>
      <c r="BQ57" s="21"/>
      <c r="BR57" s="21"/>
      <c r="BS57" s="21"/>
      <c r="BT57" s="21"/>
      <c r="BU57" s="26"/>
      <c r="BV57" s="27"/>
      <c r="BW57" s="27"/>
      <c r="BX57" s="27">
        <v>0</v>
      </c>
      <c r="BY57" s="27">
        <v>0</v>
      </c>
      <c r="BZ57" s="27">
        <v>0</v>
      </c>
      <c r="CA57" s="27" t="str">
        <f t="shared" si="5"/>
        <v>NO</v>
      </c>
      <c r="CB57" s="27"/>
      <c r="CC57" s="27"/>
      <c r="CD57" s="27"/>
      <c r="CE57" s="27"/>
      <c r="CF57" s="27"/>
      <c r="CG57" s="28"/>
    </row>
    <row r="58" spans="1:85" s="20" customFormat="1" ht="15.75" hidden="1" customHeight="1" x14ac:dyDescent="0.3">
      <c r="A58" s="21">
        <v>75</v>
      </c>
      <c r="B58" s="22" t="s">
        <v>2549</v>
      </c>
      <c r="C58" s="22">
        <v>806330</v>
      </c>
      <c r="D58" s="23" t="s">
        <v>2550</v>
      </c>
      <c r="E58" s="24">
        <v>45459</v>
      </c>
      <c r="F58" s="24">
        <v>45462</v>
      </c>
      <c r="G58" s="22" t="s">
        <v>2283</v>
      </c>
      <c r="H58" s="22" t="s">
        <v>2283</v>
      </c>
      <c r="I58" s="22" t="s">
        <v>2249</v>
      </c>
      <c r="J58" s="22" t="s">
        <v>2122</v>
      </c>
      <c r="K58" s="22"/>
      <c r="L58" s="22"/>
      <c r="M58" s="24" t="s">
        <v>2263</v>
      </c>
      <c r="N58" s="24" t="s">
        <v>2263</v>
      </c>
      <c r="O58" s="22" t="s">
        <v>2321</v>
      </c>
      <c r="P58" s="22">
        <v>800000</v>
      </c>
      <c r="Q58" s="22" t="s">
        <v>2271</v>
      </c>
      <c r="R58" s="22" t="s">
        <v>1930</v>
      </c>
      <c r="S58" s="21" t="s">
        <v>2286</v>
      </c>
      <c r="T58" s="8" t="s">
        <v>3078</v>
      </c>
      <c r="U58" s="8" t="s">
        <v>2286</v>
      </c>
      <c r="V58" s="21">
        <v>983885</v>
      </c>
      <c r="W58" s="21">
        <v>86811</v>
      </c>
      <c r="X58" s="21">
        <v>35000</v>
      </c>
      <c r="Y58" s="21">
        <v>0</v>
      </c>
      <c r="Z58" s="21">
        <v>0</v>
      </c>
      <c r="AA58" s="21" t="s">
        <v>2253</v>
      </c>
      <c r="AB58" s="21">
        <v>0</v>
      </c>
      <c r="AC58" s="21">
        <v>0</v>
      </c>
      <c r="AD58" s="21">
        <v>0</v>
      </c>
      <c r="AE58" s="21">
        <v>0</v>
      </c>
      <c r="AF58" s="21">
        <v>37000</v>
      </c>
      <c r="AG58" s="21">
        <v>0</v>
      </c>
      <c r="AH58" s="21">
        <v>300000</v>
      </c>
      <c r="AI58" s="21">
        <v>88000</v>
      </c>
      <c r="AJ58" s="21">
        <v>0</v>
      </c>
      <c r="AK58" s="21">
        <v>0</v>
      </c>
      <c r="AL58" s="21">
        <v>0</v>
      </c>
      <c r="AM58" s="21">
        <v>0</v>
      </c>
      <c r="AN58" s="21">
        <v>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/>
      <c r="AX58" s="21">
        <v>5000</v>
      </c>
      <c r="AY58" s="21">
        <f t="shared" si="6"/>
        <v>3000</v>
      </c>
      <c r="AZ58" s="21">
        <f t="shared" si="7"/>
        <v>5000</v>
      </c>
      <c r="BA58" s="21">
        <f t="shared" si="8"/>
        <v>3000</v>
      </c>
      <c r="BB58" s="21">
        <v>0</v>
      </c>
      <c r="BC58" s="21">
        <v>2000</v>
      </c>
      <c r="BD58" s="21">
        <v>0</v>
      </c>
      <c r="BE58" s="21">
        <v>0</v>
      </c>
      <c r="BF58" s="21">
        <f t="shared" si="9"/>
        <v>1225696</v>
      </c>
      <c r="BG58" s="21">
        <v>772000</v>
      </c>
      <c r="BH58" s="21" t="s">
        <v>39</v>
      </c>
      <c r="BI58" s="21" t="s">
        <v>2253</v>
      </c>
      <c r="BJ58" s="21" t="s">
        <v>2253</v>
      </c>
      <c r="BK58" s="21">
        <v>13464757</v>
      </c>
      <c r="BL58" s="21">
        <f>5000+40000</f>
        <v>45000</v>
      </c>
      <c r="BM58" s="21">
        <f t="shared" si="10"/>
        <v>108696</v>
      </c>
      <c r="BN58" s="25">
        <v>45478</v>
      </c>
      <c r="BO58" s="21"/>
      <c r="BP58" s="21" t="s">
        <v>2253</v>
      </c>
      <c r="BQ58" s="21" t="s">
        <v>2253</v>
      </c>
      <c r="BR58" s="21" t="s">
        <v>2253</v>
      </c>
      <c r="BS58" s="21" t="s">
        <v>2293</v>
      </c>
      <c r="BT58" s="21"/>
      <c r="BU58" s="26"/>
      <c r="BV58" s="27"/>
      <c r="BW58" s="27"/>
      <c r="BX58" s="27">
        <v>0</v>
      </c>
      <c r="BY58" s="27">
        <v>0</v>
      </c>
      <c r="BZ58" s="27">
        <v>0</v>
      </c>
      <c r="CA58" s="27" t="str">
        <f t="shared" si="5"/>
        <v>NO</v>
      </c>
      <c r="CB58" s="27"/>
      <c r="CC58" s="27"/>
      <c r="CD58" s="27"/>
      <c r="CE58" s="27"/>
      <c r="CF58" s="27"/>
      <c r="CG58" s="28"/>
    </row>
    <row r="59" spans="1:85" s="20" customFormat="1" ht="15.75" hidden="1" customHeight="1" x14ac:dyDescent="0.3">
      <c r="A59" s="21">
        <v>105</v>
      </c>
      <c r="B59" s="22" t="s">
        <v>2646</v>
      </c>
      <c r="C59" s="22" t="s">
        <v>1554</v>
      </c>
      <c r="D59" s="23" t="s">
        <v>2647</v>
      </c>
      <c r="E59" s="24">
        <v>45464</v>
      </c>
      <c r="F59" s="24">
        <v>45468</v>
      </c>
      <c r="G59" s="22" t="s">
        <v>260</v>
      </c>
      <c r="H59" s="22" t="s">
        <v>260</v>
      </c>
      <c r="I59" s="22" t="s">
        <v>2249</v>
      </c>
      <c r="J59" s="22" t="s">
        <v>1552</v>
      </c>
      <c r="K59" s="22"/>
      <c r="L59" s="22"/>
      <c r="M59" s="24" t="s">
        <v>310</v>
      </c>
      <c r="N59" s="24" t="s">
        <v>310</v>
      </c>
      <c r="O59" s="22" t="s">
        <v>2497</v>
      </c>
      <c r="P59" s="22">
        <v>570000</v>
      </c>
      <c r="Q59" s="22" t="s">
        <v>2271</v>
      </c>
      <c r="R59" s="22" t="s">
        <v>260</v>
      </c>
      <c r="S59" s="21" t="s">
        <v>2648</v>
      </c>
      <c r="T59" s="8" t="s">
        <v>3080</v>
      </c>
      <c r="U59" s="8" t="s">
        <v>2648</v>
      </c>
      <c r="V59" s="21">
        <v>561885</v>
      </c>
      <c r="W59" s="21">
        <v>53351</v>
      </c>
      <c r="X59" s="21">
        <v>25000</v>
      </c>
      <c r="Y59" s="21">
        <v>8744</v>
      </c>
      <c r="Z59" s="21">
        <v>500</v>
      </c>
      <c r="AA59" s="21" t="s">
        <v>2253</v>
      </c>
      <c r="AB59" s="21">
        <v>0</v>
      </c>
      <c r="AC59" s="21">
        <v>2726</v>
      </c>
      <c r="AD59" s="21">
        <v>0</v>
      </c>
      <c r="AE59" s="21">
        <v>0</v>
      </c>
      <c r="AF59" s="21">
        <v>30000</v>
      </c>
      <c r="AG59" s="21">
        <v>0</v>
      </c>
      <c r="AH59" s="21">
        <v>0</v>
      </c>
      <c r="AI59" s="21">
        <v>0</v>
      </c>
      <c r="AJ59" s="21">
        <v>10000</v>
      </c>
      <c r="AK59" s="21">
        <v>0</v>
      </c>
      <c r="AL59" s="21">
        <v>0</v>
      </c>
      <c r="AM59" s="21">
        <v>0</v>
      </c>
      <c r="AN59" s="21">
        <v>0</v>
      </c>
      <c r="AO59" s="21">
        <v>0</v>
      </c>
      <c r="AP59" s="21">
        <v>0</v>
      </c>
      <c r="AQ59" s="21">
        <v>0</v>
      </c>
      <c r="AR59" s="21">
        <v>15000</v>
      </c>
      <c r="AS59" s="21">
        <v>0</v>
      </c>
      <c r="AT59" s="21">
        <v>0</v>
      </c>
      <c r="AU59" s="21">
        <v>2206</v>
      </c>
      <c r="AV59" s="21">
        <v>0</v>
      </c>
      <c r="AW59" s="21"/>
      <c r="AX59" s="21">
        <v>0</v>
      </c>
      <c r="AY59" s="21">
        <f t="shared" si="6"/>
        <v>206</v>
      </c>
      <c r="AZ59" s="21">
        <f t="shared" si="7"/>
        <v>2206</v>
      </c>
      <c r="BA59" s="21">
        <f t="shared" si="8"/>
        <v>206</v>
      </c>
      <c r="BB59" s="21">
        <v>0</v>
      </c>
      <c r="BC59" s="21">
        <v>2000</v>
      </c>
      <c r="BD59" s="21">
        <v>0</v>
      </c>
      <c r="BE59" s="21">
        <v>0</v>
      </c>
      <c r="BF59" s="21">
        <f t="shared" si="9"/>
        <v>655000</v>
      </c>
      <c r="BG59" s="21">
        <v>551134</v>
      </c>
      <c r="BH59" s="21" t="s">
        <v>39</v>
      </c>
      <c r="BI59" s="21" t="s">
        <v>2253</v>
      </c>
      <c r="BJ59" s="21" t="s">
        <v>2253</v>
      </c>
      <c r="BK59" s="29">
        <v>13531356</v>
      </c>
      <c r="BL59" s="21">
        <v>104000</v>
      </c>
      <c r="BM59" s="21">
        <f t="shared" si="10"/>
        <v>-134</v>
      </c>
      <c r="BN59" s="25"/>
      <c r="BO59" s="21"/>
      <c r="BP59" s="21"/>
      <c r="BQ59" s="21"/>
      <c r="BR59" s="21"/>
      <c r="BS59" s="21"/>
      <c r="BT59" s="21"/>
      <c r="BU59" s="26"/>
      <c r="BV59" s="27"/>
      <c r="BW59" s="27"/>
      <c r="BX59" s="27">
        <v>0</v>
      </c>
      <c r="BY59" s="27">
        <v>0</v>
      </c>
      <c r="BZ59" s="27">
        <v>0</v>
      </c>
      <c r="CA59" s="27" t="str">
        <f t="shared" si="5"/>
        <v>NO</v>
      </c>
      <c r="CB59" s="27"/>
      <c r="CC59" s="27"/>
      <c r="CD59" s="27"/>
      <c r="CE59" s="27"/>
      <c r="CF59" s="27"/>
      <c r="CG59" s="28"/>
    </row>
    <row r="60" spans="1:85" s="20" customFormat="1" ht="15.75" hidden="1" customHeight="1" x14ac:dyDescent="0.3">
      <c r="A60" s="21">
        <v>123</v>
      </c>
      <c r="B60" s="22" t="s">
        <v>2707</v>
      </c>
      <c r="C60" s="22" t="s">
        <v>1608</v>
      </c>
      <c r="D60" s="23" t="s">
        <v>2708</v>
      </c>
      <c r="E60" s="24">
        <v>45467</v>
      </c>
      <c r="F60" s="24">
        <v>45471</v>
      </c>
      <c r="G60" s="22" t="s">
        <v>260</v>
      </c>
      <c r="H60" s="22" t="s">
        <v>260</v>
      </c>
      <c r="I60" s="22" t="s">
        <v>2249</v>
      </c>
      <c r="J60" s="22" t="s">
        <v>1606</v>
      </c>
      <c r="K60" s="22"/>
      <c r="L60" s="22"/>
      <c r="M60" s="24" t="s">
        <v>310</v>
      </c>
      <c r="N60" s="24" t="s">
        <v>310</v>
      </c>
      <c r="O60" s="22" t="s">
        <v>2709</v>
      </c>
      <c r="P60" s="22">
        <v>550000</v>
      </c>
      <c r="Q60" s="22" t="s">
        <v>406</v>
      </c>
      <c r="R60" s="22" t="s">
        <v>2710</v>
      </c>
      <c r="S60" s="139" t="s">
        <v>2711</v>
      </c>
      <c r="T60" s="8" t="s">
        <v>3061</v>
      </c>
      <c r="U60" s="8" t="s">
        <v>2252</v>
      </c>
      <c r="V60" s="21">
        <v>532885</v>
      </c>
      <c r="W60" s="21">
        <v>51031</v>
      </c>
      <c r="X60" s="21">
        <v>25000</v>
      </c>
      <c r="Y60" s="21">
        <v>0</v>
      </c>
      <c r="Z60" s="21">
        <v>500</v>
      </c>
      <c r="AA60" s="21" t="s">
        <v>2253</v>
      </c>
      <c r="AB60" s="21">
        <v>0</v>
      </c>
      <c r="AC60" s="21">
        <v>0</v>
      </c>
      <c r="AD60" s="21">
        <v>0</v>
      </c>
      <c r="AE60" s="21">
        <v>0</v>
      </c>
      <c r="AF60" s="21">
        <v>10000</v>
      </c>
      <c r="AG60" s="21">
        <v>0</v>
      </c>
      <c r="AH60" s="21">
        <v>0</v>
      </c>
      <c r="AI60" s="21">
        <v>0</v>
      </c>
      <c r="AJ60" s="21">
        <v>10000</v>
      </c>
      <c r="AK60" s="21">
        <v>0</v>
      </c>
      <c r="AL60" s="21">
        <v>0</v>
      </c>
      <c r="AM60" s="21">
        <v>0</v>
      </c>
      <c r="AN60" s="21">
        <v>0</v>
      </c>
      <c r="AO60" s="21">
        <v>0</v>
      </c>
      <c r="AP60" s="21">
        <v>0</v>
      </c>
      <c r="AQ60" s="21">
        <v>0</v>
      </c>
      <c r="AR60" s="21">
        <v>15000</v>
      </c>
      <c r="AS60" s="21">
        <v>0</v>
      </c>
      <c r="AT60" s="21">
        <v>0</v>
      </c>
      <c r="AU60" s="21">
        <v>0</v>
      </c>
      <c r="AV60" s="21">
        <v>0</v>
      </c>
      <c r="AW60" s="21"/>
      <c r="AX60" s="21">
        <v>14416</v>
      </c>
      <c r="AY60" s="21">
        <f t="shared" si="6"/>
        <v>12416</v>
      </c>
      <c r="AZ60" s="21">
        <f t="shared" si="7"/>
        <v>14416</v>
      </c>
      <c r="BA60" s="21">
        <f t="shared" si="8"/>
        <v>12416</v>
      </c>
      <c r="BB60" s="21">
        <v>0</v>
      </c>
      <c r="BC60" s="21">
        <v>2000</v>
      </c>
      <c r="BD60" s="21">
        <v>0</v>
      </c>
      <c r="BE60" s="21">
        <v>0</v>
      </c>
      <c r="BF60" s="21">
        <f t="shared" si="9"/>
        <v>580000</v>
      </c>
      <c r="BG60" s="21">
        <v>560000</v>
      </c>
      <c r="BH60" s="21" t="s">
        <v>2287</v>
      </c>
      <c r="BI60" s="21" t="s">
        <v>2253</v>
      </c>
      <c r="BJ60" s="21" t="s">
        <v>2253</v>
      </c>
      <c r="BK60" s="21">
        <v>0</v>
      </c>
      <c r="BL60" s="21">
        <v>10000</v>
      </c>
      <c r="BM60" s="21">
        <f t="shared" si="10"/>
        <v>10000</v>
      </c>
      <c r="BN60" s="25">
        <v>45468</v>
      </c>
      <c r="BO60" s="21"/>
      <c r="BP60" s="21"/>
      <c r="BQ60" s="21"/>
      <c r="BR60" s="21"/>
      <c r="BS60" s="21"/>
      <c r="BT60" s="21"/>
      <c r="BU60" s="26"/>
      <c r="BV60" s="27"/>
      <c r="BW60" s="27"/>
      <c r="BX60" s="27">
        <v>0</v>
      </c>
      <c r="BY60" s="27">
        <v>0</v>
      </c>
      <c r="BZ60" s="27">
        <v>0</v>
      </c>
      <c r="CA60" s="27" t="str">
        <f t="shared" si="5"/>
        <v>NO</v>
      </c>
      <c r="CB60" s="27"/>
      <c r="CC60" s="27"/>
      <c r="CD60" s="27"/>
      <c r="CE60" s="27"/>
      <c r="CF60" s="27"/>
      <c r="CG60" s="28"/>
    </row>
    <row r="61" spans="1:85" s="20" customFormat="1" ht="15.75" hidden="1" customHeight="1" x14ac:dyDescent="0.3">
      <c r="A61" s="21">
        <v>76</v>
      </c>
      <c r="B61" s="22" t="s">
        <v>2551</v>
      </c>
      <c r="C61" s="22" t="s">
        <v>1461</v>
      </c>
      <c r="D61" s="23" t="s">
        <v>2552</v>
      </c>
      <c r="E61" s="24">
        <v>45459</v>
      </c>
      <c r="F61" s="24">
        <v>45463</v>
      </c>
      <c r="G61" s="22" t="s">
        <v>260</v>
      </c>
      <c r="H61" s="22" t="s">
        <v>260</v>
      </c>
      <c r="I61" s="22" t="s">
        <v>2249</v>
      </c>
      <c r="J61" s="22" t="s">
        <v>1459</v>
      </c>
      <c r="K61" s="22"/>
      <c r="L61" s="22"/>
      <c r="M61" s="24" t="s">
        <v>310</v>
      </c>
      <c r="N61" s="24" t="s">
        <v>310</v>
      </c>
      <c r="O61" s="22" t="s">
        <v>2326</v>
      </c>
      <c r="P61" s="22">
        <v>497000</v>
      </c>
      <c r="Q61" s="22" t="s">
        <v>2298</v>
      </c>
      <c r="R61" s="22" t="s">
        <v>260</v>
      </c>
      <c r="S61" s="21" t="s">
        <v>2553</v>
      </c>
      <c r="T61" s="8" t="s">
        <v>3072</v>
      </c>
      <c r="U61" s="140" t="s">
        <v>2553</v>
      </c>
      <c r="V61" s="21">
        <v>561885</v>
      </c>
      <c r="W61" s="21">
        <v>53351</v>
      </c>
      <c r="X61" s="21">
        <v>24521</v>
      </c>
      <c r="Y61" s="21">
        <v>8744</v>
      </c>
      <c r="Z61" s="21">
        <v>500</v>
      </c>
      <c r="AA61" s="21" t="s">
        <v>2253</v>
      </c>
      <c r="AB61" s="21">
        <v>0</v>
      </c>
      <c r="AC61" s="21">
        <v>0</v>
      </c>
      <c r="AD61" s="21">
        <v>0</v>
      </c>
      <c r="AE61" s="21">
        <v>0</v>
      </c>
      <c r="AF61" s="21">
        <v>27690</v>
      </c>
      <c r="AG61" s="21">
        <v>0</v>
      </c>
      <c r="AH61" s="21">
        <v>0</v>
      </c>
      <c r="AI61" s="21">
        <v>0</v>
      </c>
      <c r="AJ61" s="21">
        <v>10000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  <c r="AP61" s="21">
        <v>0</v>
      </c>
      <c r="AQ61" s="21">
        <v>3100</v>
      </c>
      <c r="AR61" s="21">
        <v>15000</v>
      </c>
      <c r="AS61" s="21">
        <v>0</v>
      </c>
      <c r="AT61" s="21">
        <v>0</v>
      </c>
      <c r="AU61" s="21">
        <v>3690</v>
      </c>
      <c r="AV61" s="21">
        <v>0</v>
      </c>
      <c r="AW61" s="21"/>
      <c r="AX61" s="21">
        <v>9900</v>
      </c>
      <c r="AY61" s="21">
        <f t="shared" si="6"/>
        <v>11590</v>
      </c>
      <c r="AZ61" s="21">
        <f t="shared" si="7"/>
        <v>13590</v>
      </c>
      <c r="BA61" s="21">
        <f t="shared" si="8"/>
        <v>11590</v>
      </c>
      <c r="BB61" s="21">
        <v>0</v>
      </c>
      <c r="BC61" s="21">
        <v>2000</v>
      </c>
      <c r="BD61" s="21">
        <v>0</v>
      </c>
      <c r="BE61" s="21">
        <v>0</v>
      </c>
      <c r="BF61" s="21">
        <f t="shared" si="9"/>
        <v>635001</v>
      </c>
      <c r="BG61" s="21">
        <v>497000</v>
      </c>
      <c r="BH61" s="21" t="s">
        <v>39</v>
      </c>
      <c r="BI61" s="21" t="s">
        <v>2253</v>
      </c>
      <c r="BJ61" s="21" t="s">
        <v>2253</v>
      </c>
      <c r="BK61" s="21" t="s">
        <v>2554</v>
      </c>
      <c r="BL61" s="21">
        <f>118900+2100+15000</f>
        <v>136000</v>
      </c>
      <c r="BM61" s="21">
        <f t="shared" si="10"/>
        <v>2001</v>
      </c>
      <c r="BN61" s="25">
        <v>45462</v>
      </c>
      <c r="BO61" s="21"/>
      <c r="BP61" s="21"/>
      <c r="BQ61" s="21"/>
      <c r="BR61" s="21"/>
      <c r="BS61" s="21"/>
      <c r="BT61" s="21"/>
      <c r="BU61" s="26"/>
      <c r="BV61" s="27"/>
      <c r="BW61" s="27"/>
      <c r="BX61" s="27">
        <v>0</v>
      </c>
      <c r="BY61" s="27">
        <v>0</v>
      </c>
      <c r="BZ61" s="27">
        <v>0</v>
      </c>
      <c r="CA61" s="27" t="str">
        <f t="shared" si="5"/>
        <v>NO</v>
      </c>
      <c r="CB61" s="27"/>
      <c r="CC61" s="27"/>
      <c r="CD61" s="27"/>
      <c r="CE61" s="27"/>
      <c r="CF61" s="27"/>
      <c r="CG61" s="28"/>
    </row>
    <row r="62" spans="1:85" s="20" customFormat="1" ht="15.75" hidden="1" customHeight="1" x14ac:dyDescent="0.3">
      <c r="A62" s="21">
        <v>145</v>
      </c>
      <c r="B62" s="22" t="s">
        <v>2775</v>
      </c>
      <c r="C62" s="22">
        <v>822564</v>
      </c>
      <c r="D62" s="23" t="s">
        <v>2776</v>
      </c>
      <c r="E62" s="24">
        <v>45470</v>
      </c>
      <c r="F62" s="24">
        <v>45471</v>
      </c>
      <c r="G62" s="22" t="s">
        <v>871</v>
      </c>
      <c r="H62" s="22" t="s">
        <v>646</v>
      </c>
      <c r="I62" s="22" t="s">
        <v>2249</v>
      </c>
      <c r="J62" s="22" t="s">
        <v>2777</v>
      </c>
      <c r="K62" s="22"/>
      <c r="L62" s="22"/>
      <c r="M62" s="24" t="s">
        <v>2263</v>
      </c>
      <c r="N62" s="24" t="s">
        <v>2263</v>
      </c>
      <c r="O62" s="22" t="s">
        <v>2264</v>
      </c>
      <c r="P62" s="22">
        <v>982706</v>
      </c>
      <c r="Q62" s="22" t="s">
        <v>2306</v>
      </c>
      <c r="R62" s="22" t="s">
        <v>613</v>
      </c>
      <c r="S62" s="139" t="s">
        <v>2778</v>
      </c>
      <c r="T62" s="8" t="s">
        <v>3085</v>
      </c>
      <c r="U62" s="8" t="s">
        <v>2316</v>
      </c>
      <c r="V62" s="21">
        <v>1078885</v>
      </c>
      <c r="W62" s="21">
        <v>0</v>
      </c>
      <c r="X62" s="21">
        <v>34000</v>
      </c>
      <c r="Y62" s="21">
        <v>18325</v>
      </c>
      <c r="Z62" s="21">
        <v>500</v>
      </c>
      <c r="AA62" s="21" t="s">
        <v>2253</v>
      </c>
      <c r="AB62" s="21">
        <v>5000</v>
      </c>
      <c r="AC62" s="21">
        <v>0</v>
      </c>
      <c r="AD62" s="21">
        <v>10789</v>
      </c>
      <c r="AE62" s="21">
        <v>0</v>
      </c>
      <c r="AF62" s="21">
        <v>59400</v>
      </c>
      <c r="AG62" s="21">
        <v>0</v>
      </c>
      <c r="AH62" s="21">
        <v>0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21">
        <v>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/>
      <c r="AX62" s="21">
        <v>0</v>
      </c>
      <c r="AY62" s="21">
        <f t="shared" si="6"/>
        <v>0</v>
      </c>
      <c r="AZ62" s="21">
        <f t="shared" si="7"/>
        <v>0</v>
      </c>
      <c r="BA62" s="21">
        <f t="shared" si="8"/>
        <v>0</v>
      </c>
      <c r="BB62" s="21">
        <v>0</v>
      </c>
      <c r="BC62" s="21">
        <v>0</v>
      </c>
      <c r="BD62" s="21">
        <v>0</v>
      </c>
      <c r="BE62" s="21">
        <v>0</v>
      </c>
      <c r="BF62" s="21">
        <f t="shared" si="9"/>
        <v>1206899</v>
      </c>
      <c r="BG62" s="21">
        <v>959404</v>
      </c>
      <c r="BH62" s="21" t="s">
        <v>2287</v>
      </c>
      <c r="BI62" s="21" t="s">
        <v>2260</v>
      </c>
      <c r="BJ62" s="21" t="s">
        <v>2260</v>
      </c>
      <c r="BK62" s="21">
        <v>0</v>
      </c>
      <c r="BL62" s="21">
        <f>5100+2100+50000+90000+50000+50295</f>
        <v>247495</v>
      </c>
      <c r="BM62" s="21">
        <f t="shared" si="10"/>
        <v>0</v>
      </c>
      <c r="BN62" s="25"/>
      <c r="BO62" s="21"/>
      <c r="BP62" s="21"/>
      <c r="BQ62" s="21"/>
      <c r="BR62" s="21"/>
      <c r="BS62" s="21"/>
      <c r="BT62" s="21"/>
      <c r="BU62" s="26"/>
      <c r="BV62" s="27"/>
      <c r="BW62" s="27"/>
      <c r="BX62" s="27">
        <v>0</v>
      </c>
      <c r="BY62" s="27">
        <v>0</v>
      </c>
      <c r="BZ62" s="27">
        <v>0</v>
      </c>
      <c r="CA62" s="27" t="str">
        <f t="shared" si="5"/>
        <v>NO</v>
      </c>
      <c r="CB62" s="27"/>
      <c r="CC62" s="27"/>
      <c r="CD62" s="27"/>
      <c r="CE62" s="27"/>
      <c r="CF62" s="27"/>
      <c r="CG62" s="28"/>
    </row>
    <row r="63" spans="1:85" s="20" customFormat="1" ht="15.75" hidden="1" customHeight="1" x14ac:dyDescent="0.3">
      <c r="A63" s="21">
        <v>30</v>
      </c>
      <c r="B63" s="22" t="s">
        <v>2390</v>
      </c>
      <c r="C63" s="22">
        <v>362662</v>
      </c>
      <c r="D63" s="23" t="s">
        <v>2391</v>
      </c>
      <c r="E63" s="24">
        <v>45450</v>
      </c>
      <c r="F63" s="24">
        <v>45462</v>
      </c>
      <c r="G63" s="22" t="s">
        <v>871</v>
      </c>
      <c r="H63" s="22" t="s">
        <v>333</v>
      </c>
      <c r="I63" s="22" t="s">
        <v>2249</v>
      </c>
      <c r="J63" s="22" t="s">
        <v>887</v>
      </c>
      <c r="K63" s="22"/>
      <c r="L63" s="22"/>
      <c r="M63" s="24" t="s">
        <v>2275</v>
      </c>
      <c r="N63" s="22" t="s">
        <v>2990</v>
      </c>
      <c r="O63" s="22" t="s">
        <v>2392</v>
      </c>
      <c r="P63" s="22">
        <v>600000</v>
      </c>
      <c r="Q63" s="22" t="s">
        <v>2265</v>
      </c>
      <c r="R63" s="22" t="s">
        <v>333</v>
      </c>
      <c r="S63" s="21" t="s">
        <v>2393</v>
      </c>
      <c r="T63" s="8" t="s">
        <v>889</v>
      </c>
      <c r="U63" s="8" t="s">
        <v>2316</v>
      </c>
      <c r="V63" s="21">
        <v>970385</v>
      </c>
      <c r="W63" s="21">
        <v>85331</v>
      </c>
      <c r="X63" s="21">
        <v>32119</v>
      </c>
      <c r="Y63" s="21">
        <v>0</v>
      </c>
      <c r="Z63" s="21">
        <v>500</v>
      </c>
      <c r="AA63" s="21" t="s">
        <v>2253</v>
      </c>
      <c r="AB63" s="21">
        <v>0</v>
      </c>
      <c r="AC63" s="21">
        <v>0</v>
      </c>
      <c r="AD63" s="21">
        <v>374100</v>
      </c>
      <c r="AE63" s="21">
        <v>0</v>
      </c>
      <c r="AF63" s="21">
        <v>48000</v>
      </c>
      <c r="AG63" s="21">
        <v>0</v>
      </c>
      <c r="AH63" s="21">
        <v>0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21">
        <v>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</v>
      </c>
      <c r="AU63" s="21">
        <v>0</v>
      </c>
      <c r="AV63" s="21">
        <v>0</v>
      </c>
      <c r="AW63" s="21"/>
      <c r="AX63" s="21">
        <v>5335</v>
      </c>
      <c r="AY63" s="21">
        <f t="shared" si="6"/>
        <v>3335</v>
      </c>
      <c r="AZ63" s="21">
        <f t="shared" si="7"/>
        <v>5335</v>
      </c>
      <c r="BA63" s="21">
        <f t="shared" si="8"/>
        <v>3335</v>
      </c>
      <c r="BB63" s="21">
        <v>0</v>
      </c>
      <c r="BC63" s="21">
        <v>2000</v>
      </c>
      <c r="BD63" s="21">
        <v>0</v>
      </c>
      <c r="BE63" s="21">
        <v>0</v>
      </c>
      <c r="BF63" s="21">
        <f t="shared" si="9"/>
        <v>1505100</v>
      </c>
      <c r="BG63" s="21">
        <v>970000</v>
      </c>
      <c r="BH63" s="21" t="s">
        <v>39</v>
      </c>
      <c r="BI63" s="21" t="s">
        <v>2253</v>
      </c>
      <c r="BJ63" s="21" t="s">
        <v>2253</v>
      </c>
      <c r="BK63" s="21">
        <v>146003679</v>
      </c>
      <c r="BL63" s="21">
        <f>5100+500000</f>
        <v>505100</v>
      </c>
      <c r="BM63" s="21">
        <f t="shared" si="10"/>
        <v>30000</v>
      </c>
      <c r="BN63" s="25">
        <v>45454</v>
      </c>
      <c r="BO63" s="21"/>
      <c r="BP63" s="21"/>
      <c r="BQ63" s="21"/>
      <c r="BR63" s="21"/>
      <c r="BS63" s="21"/>
      <c r="BT63" s="21"/>
      <c r="BU63" s="26"/>
      <c r="BV63" s="27"/>
      <c r="BW63" s="27"/>
      <c r="BX63" s="27">
        <v>0</v>
      </c>
      <c r="BY63" s="27">
        <v>0</v>
      </c>
      <c r="BZ63" s="27">
        <v>0</v>
      </c>
      <c r="CA63" s="27" t="str">
        <f t="shared" si="5"/>
        <v>NO</v>
      </c>
      <c r="CB63" s="27"/>
      <c r="CC63" s="27"/>
      <c r="CD63" s="27"/>
      <c r="CE63" s="27"/>
      <c r="CF63" s="27"/>
      <c r="CG63" s="28"/>
    </row>
    <row r="64" spans="1:85" s="20" customFormat="1" ht="15.75" hidden="1" customHeight="1" x14ac:dyDescent="0.3">
      <c r="A64" s="21">
        <v>148</v>
      </c>
      <c r="B64" s="22" t="s">
        <v>2786</v>
      </c>
      <c r="C64" s="22" t="s">
        <v>921</v>
      </c>
      <c r="D64" s="23" t="s">
        <v>2787</v>
      </c>
      <c r="E64" s="24">
        <v>45470</v>
      </c>
      <c r="F64" s="24">
        <v>45471</v>
      </c>
      <c r="G64" s="22" t="s">
        <v>871</v>
      </c>
      <c r="H64" s="22" t="s">
        <v>646</v>
      </c>
      <c r="I64" s="22" t="s">
        <v>2249</v>
      </c>
      <c r="J64" s="22" t="s">
        <v>918</v>
      </c>
      <c r="K64" s="22"/>
      <c r="L64" s="22"/>
      <c r="M64" s="24" t="s">
        <v>310</v>
      </c>
      <c r="N64" s="24" t="s">
        <v>310</v>
      </c>
      <c r="O64" s="22" t="s">
        <v>2326</v>
      </c>
      <c r="P64" s="22">
        <v>400000</v>
      </c>
      <c r="Q64" s="22" t="s">
        <v>2251</v>
      </c>
      <c r="R64" s="22" t="s">
        <v>726</v>
      </c>
      <c r="S64" s="21" t="s">
        <v>2393</v>
      </c>
      <c r="T64" s="8" t="s">
        <v>889</v>
      </c>
      <c r="U64" s="8" t="s">
        <v>2316</v>
      </c>
      <c r="V64" s="21">
        <v>561885</v>
      </c>
      <c r="W64" s="21">
        <v>0</v>
      </c>
      <c r="X64" s="21">
        <v>26500</v>
      </c>
      <c r="Y64" s="21">
        <v>0</v>
      </c>
      <c r="Z64" s="21">
        <v>500</v>
      </c>
      <c r="AA64" s="21" t="s">
        <v>2253</v>
      </c>
      <c r="AB64" s="21">
        <v>5000</v>
      </c>
      <c r="AC64" s="21">
        <v>0</v>
      </c>
      <c r="AD64" s="21">
        <v>0</v>
      </c>
      <c r="AE64" s="21">
        <v>0</v>
      </c>
      <c r="AF64" s="21">
        <v>2300</v>
      </c>
      <c r="AG64" s="21">
        <v>0</v>
      </c>
      <c r="AH64" s="21">
        <v>0</v>
      </c>
      <c r="AI64" s="21">
        <v>0</v>
      </c>
      <c r="AJ64" s="21">
        <v>10000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3100</v>
      </c>
      <c r="AR64" s="21">
        <v>15000</v>
      </c>
      <c r="AS64" s="21">
        <v>0</v>
      </c>
      <c r="AT64" s="21">
        <v>0</v>
      </c>
      <c r="AU64" s="21">
        <v>0</v>
      </c>
      <c r="AV64" s="21">
        <v>5000</v>
      </c>
      <c r="AW64" s="21"/>
      <c r="AX64" s="21">
        <v>3000</v>
      </c>
      <c r="AY64" s="21">
        <f t="shared" si="6"/>
        <v>8000</v>
      </c>
      <c r="AZ64" s="21">
        <f t="shared" si="7"/>
        <v>8000</v>
      </c>
      <c r="BA64" s="21">
        <f t="shared" si="8"/>
        <v>8000</v>
      </c>
      <c r="BB64" s="21">
        <v>0</v>
      </c>
      <c r="BC64" s="21">
        <v>0</v>
      </c>
      <c r="BD64" s="21">
        <v>0</v>
      </c>
      <c r="BE64" s="21">
        <v>0</v>
      </c>
      <c r="BF64" s="21">
        <f t="shared" si="9"/>
        <v>560085</v>
      </c>
      <c r="BG64" s="21">
        <v>384859</v>
      </c>
      <c r="BH64" s="21" t="s">
        <v>39</v>
      </c>
      <c r="BI64" s="21" t="s">
        <v>2253</v>
      </c>
      <c r="BJ64" s="21" t="s">
        <v>2253</v>
      </c>
      <c r="BK64" s="21">
        <v>1365034</v>
      </c>
      <c r="BL64" s="21">
        <f>1100+69240+104885</f>
        <v>175225</v>
      </c>
      <c r="BM64" s="21">
        <f t="shared" si="10"/>
        <v>1</v>
      </c>
      <c r="BN64" s="25"/>
      <c r="BO64" s="21"/>
      <c r="BP64" s="21"/>
      <c r="BQ64" s="21"/>
      <c r="BR64" s="21"/>
      <c r="BS64" s="21"/>
      <c r="BT64" s="21"/>
      <c r="BU64" s="26"/>
      <c r="BV64" s="27"/>
      <c r="BW64" s="27"/>
      <c r="BX64" s="27">
        <v>0</v>
      </c>
      <c r="BY64" s="27">
        <v>0</v>
      </c>
      <c r="BZ64" s="27">
        <v>0</v>
      </c>
      <c r="CA64" s="27" t="str">
        <f t="shared" si="5"/>
        <v>NO</v>
      </c>
      <c r="CB64" s="27"/>
      <c r="CC64" s="27"/>
      <c r="CD64" s="27"/>
      <c r="CE64" s="27"/>
      <c r="CF64" s="27"/>
      <c r="CG64" s="28"/>
    </row>
    <row r="65" spans="1:85" s="20" customFormat="1" ht="15.75" hidden="1" customHeight="1" x14ac:dyDescent="0.3">
      <c r="A65" s="21">
        <v>19</v>
      </c>
      <c r="B65" s="22" t="s">
        <v>2348</v>
      </c>
      <c r="C65" s="22">
        <v>398979</v>
      </c>
      <c r="D65" s="23" t="s">
        <v>2349</v>
      </c>
      <c r="E65" s="24">
        <v>45449</v>
      </c>
      <c r="F65" s="24">
        <v>45450</v>
      </c>
      <c r="G65" s="22" t="s">
        <v>393</v>
      </c>
      <c r="H65" s="22" t="s">
        <v>393</v>
      </c>
      <c r="I65" s="22" t="s">
        <v>2249</v>
      </c>
      <c r="J65" s="22" t="s">
        <v>414</v>
      </c>
      <c r="K65" s="22"/>
      <c r="L65" s="22"/>
      <c r="M65" s="24" t="s">
        <v>2275</v>
      </c>
      <c r="N65" s="22" t="s">
        <v>2990</v>
      </c>
      <c r="O65" s="22" t="s">
        <v>2350</v>
      </c>
      <c r="P65" s="22">
        <v>700000</v>
      </c>
      <c r="Q65" s="22" t="s">
        <v>2277</v>
      </c>
      <c r="R65" s="22" t="s">
        <v>393</v>
      </c>
      <c r="S65" s="21" t="s">
        <v>2351</v>
      </c>
      <c r="T65" s="8" t="s">
        <v>3070</v>
      </c>
      <c r="U65" s="8" t="s">
        <v>2312</v>
      </c>
      <c r="V65" s="21">
        <v>1115385</v>
      </c>
      <c r="W65" s="21">
        <v>119239</v>
      </c>
      <c r="X65" s="21">
        <v>34800</v>
      </c>
      <c r="Y65" s="21">
        <v>19045</v>
      </c>
      <c r="Z65" s="21">
        <v>0</v>
      </c>
      <c r="AA65" s="21" t="s">
        <v>2253</v>
      </c>
      <c r="AB65" s="21">
        <v>0</v>
      </c>
      <c r="AC65" s="21">
        <v>5523</v>
      </c>
      <c r="AD65" s="21">
        <v>11154</v>
      </c>
      <c r="AE65" s="21">
        <v>0</v>
      </c>
      <c r="AF65" s="21">
        <v>65000</v>
      </c>
      <c r="AG65" s="21">
        <v>0</v>
      </c>
      <c r="AH65" s="21"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21">
        <v>0</v>
      </c>
      <c r="AP65" s="21">
        <v>0</v>
      </c>
      <c r="AQ65" s="21">
        <v>0</v>
      </c>
      <c r="AR65" s="21">
        <v>10000</v>
      </c>
      <c r="AS65" s="21">
        <v>0</v>
      </c>
      <c r="AT65" s="21">
        <v>0</v>
      </c>
      <c r="AU65" s="21">
        <v>0</v>
      </c>
      <c r="AV65" s="21">
        <v>0</v>
      </c>
      <c r="AW65" s="21"/>
      <c r="AX65" s="21">
        <v>10146</v>
      </c>
      <c r="AY65" s="21">
        <f t="shared" si="6"/>
        <v>8146</v>
      </c>
      <c r="AZ65" s="21">
        <f t="shared" si="7"/>
        <v>10146</v>
      </c>
      <c r="BA65" s="21">
        <f t="shared" si="8"/>
        <v>8146</v>
      </c>
      <c r="BB65" s="21">
        <v>0</v>
      </c>
      <c r="BC65" s="21">
        <v>2000</v>
      </c>
      <c r="BD65" s="21">
        <v>0</v>
      </c>
      <c r="BE65" s="21">
        <v>0</v>
      </c>
      <c r="BF65" s="21">
        <f t="shared" si="9"/>
        <v>1350000</v>
      </c>
      <c r="BG65" s="21">
        <v>700000</v>
      </c>
      <c r="BH65" s="21" t="s">
        <v>39</v>
      </c>
      <c r="BI65" s="21" t="s">
        <v>2253</v>
      </c>
      <c r="BJ65" s="21" t="s">
        <v>2253</v>
      </c>
      <c r="BK65" s="21">
        <v>28660288</v>
      </c>
      <c r="BL65" s="21">
        <f>100000+370000+180000</f>
        <v>650000</v>
      </c>
      <c r="BM65" s="21">
        <f t="shared" si="10"/>
        <v>0</v>
      </c>
      <c r="BN65" s="25"/>
      <c r="BO65" s="21"/>
      <c r="BP65" s="21"/>
      <c r="BQ65" s="21"/>
      <c r="BR65" s="21"/>
      <c r="BS65" s="21"/>
      <c r="BT65" s="21"/>
      <c r="BU65" s="26"/>
      <c r="BV65" s="27"/>
      <c r="BW65" s="27"/>
      <c r="BX65" s="27">
        <v>0</v>
      </c>
      <c r="BY65" s="27">
        <v>0</v>
      </c>
      <c r="BZ65" s="27">
        <v>0</v>
      </c>
      <c r="CA65" s="27" t="str">
        <f t="shared" si="5"/>
        <v>NO</v>
      </c>
      <c r="CB65" s="27"/>
      <c r="CC65" s="27"/>
      <c r="CD65" s="27"/>
      <c r="CE65" s="27"/>
      <c r="CF65" s="27"/>
      <c r="CG65" s="28"/>
    </row>
    <row r="66" spans="1:85" s="20" customFormat="1" ht="15.75" hidden="1" customHeight="1" x14ac:dyDescent="0.3">
      <c r="A66" s="21">
        <v>22</v>
      </c>
      <c r="B66" s="22" t="s">
        <v>2360</v>
      </c>
      <c r="C66" s="22" t="s">
        <v>452</v>
      </c>
      <c r="D66" s="23" t="s">
        <v>2361</v>
      </c>
      <c r="E66" s="24">
        <v>45449</v>
      </c>
      <c r="F66" s="24">
        <v>45461</v>
      </c>
      <c r="G66" s="22" t="s">
        <v>393</v>
      </c>
      <c r="H66" s="22" t="s">
        <v>393</v>
      </c>
      <c r="I66" s="22" t="s">
        <v>2249</v>
      </c>
      <c r="J66" s="22" t="s">
        <v>450</v>
      </c>
      <c r="K66" s="22"/>
      <c r="L66" s="22"/>
      <c r="M66" s="24" t="s">
        <v>2362</v>
      </c>
      <c r="N66" s="24" t="s">
        <v>2362</v>
      </c>
      <c r="O66" s="22" t="s">
        <v>2363</v>
      </c>
      <c r="P66" s="22">
        <v>400000</v>
      </c>
      <c r="Q66" s="22" t="s">
        <v>2265</v>
      </c>
      <c r="R66" s="22" t="s">
        <v>393</v>
      </c>
      <c r="S66" s="21" t="s">
        <v>2351</v>
      </c>
      <c r="T66" s="8" t="s">
        <v>3070</v>
      </c>
      <c r="U66" s="8" t="s">
        <v>2312</v>
      </c>
      <c r="V66" s="21">
        <v>600385</v>
      </c>
      <c r="W66" s="21">
        <v>56531</v>
      </c>
      <c r="X66" s="21">
        <v>20000</v>
      </c>
      <c r="Y66" s="21">
        <v>9346</v>
      </c>
      <c r="Z66" s="21">
        <v>0</v>
      </c>
      <c r="AA66" s="21" t="s">
        <v>2253</v>
      </c>
      <c r="AB66" s="21">
        <v>0</v>
      </c>
      <c r="AC66" s="21">
        <v>0</v>
      </c>
      <c r="AD66" s="21">
        <v>206030</v>
      </c>
      <c r="AE66" s="21">
        <v>0</v>
      </c>
      <c r="AF66" s="21">
        <v>28000</v>
      </c>
      <c r="AG66" s="21">
        <v>0</v>
      </c>
      <c r="AH66" s="21">
        <v>630000</v>
      </c>
      <c r="AI66" s="21">
        <v>88300</v>
      </c>
      <c r="AJ66" s="21">
        <v>10000</v>
      </c>
      <c r="AK66" s="21">
        <v>0</v>
      </c>
      <c r="AL66" s="21">
        <v>0</v>
      </c>
      <c r="AM66" s="21">
        <v>0</v>
      </c>
      <c r="AN66" s="21">
        <v>0</v>
      </c>
      <c r="AO66" s="21">
        <v>0</v>
      </c>
      <c r="AP66" s="21">
        <v>0</v>
      </c>
      <c r="AQ66" s="21">
        <v>0</v>
      </c>
      <c r="AR66" s="21">
        <v>25000</v>
      </c>
      <c r="AS66" s="21">
        <v>0</v>
      </c>
      <c r="AT66" s="21">
        <v>0</v>
      </c>
      <c r="AU66" s="21">
        <v>0</v>
      </c>
      <c r="AV66" s="21">
        <v>0</v>
      </c>
      <c r="AW66" s="21"/>
      <c r="AX66" s="21">
        <v>31262</v>
      </c>
      <c r="AY66" s="21">
        <f t="shared" ref="AY66:AY97" si="11">+AU66+AV66+AW66+AX66-BC66</f>
        <v>29262</v>
      </c>
      <c r="AZ66" s="21">
        <f t="shared" ref="AZ66:AZ97" si="12">+SUM(AU66:AX66)</f>
        <v>31262</v>
      </c>
      <c r="BA66" s="21">
        <f t="shared" ref="BA66:BA97" si="13">+IF(AZ66&gt;=BC66,AZ66-BC66,0)</f>
        <v>29262</v>
      </c>
      <c r="BB66" s="21">
        <v>20000</v>
      </c>
      <c r="BC66" s="21">
        <v>2000</v>
      </c>
      <c r="BD66" s="21">
        <v>0</v>
      </c>
      <c r="BE66" s="21">
        <v>0</v>
      </c>
      <c r="BF66" s="21">
        <f t="shared" ref="BF66:BF97" si="14">V66+W66+X66+Y66+Z66+AB66+AE66+AF66+AG66+AI66-AJ66-AO66-AP66-AQ66-AR66-AS66-AT66-AX66-BB66-BD66-BE66-AW66-AU66+AD66-AV66-AN66+AC66</f>
        <v>922330</v>
      </c>
      <c r="BG66" s="21">
        <v>600385</v>
      </c>
      <c r="BH66" s="21" t="s">
        <v>39</v>
      </c>
      <c r="BI66" s="21" t="s">
        <v>2253</v>
      </c>
      <c r="BJ66" s="21" t="s">
        <v>2253</v>
      </c>
      <c r="BK66" s="21">
        <v>145987926</v>
      </c>
      <c r="BL66" s="21">
        <f>2000+8000+20000</f>
        <v>30000</v>
      </c>
      <c r="BM66" s="21">
        <f t="shared" ref="BM66:BM97" si="15">BF66-BG66-BL66-AH66</f>
        <v>-338055</v>
      </c>
      <c r="BN66" s="25"/>
      <c r="BO66" s="21"/>
      <c r="BP66" s="21" t="s">
        <v>2253</v>
      </c>
      <c r="BQ66" s="21" t="s">
        <v>2253</v>
      </c>
      <c r="BR66" s="21" t="s">
        <v>2253</v>
      </c>
      <c r="BS66" s="21" t="s">
        <v>2364</v>
      </c>
      <c r="BT66" s="21"/>
      <c r="BU66" s="26"/>
      <c r="BV66" s="27"/>
      <c r="BW66" s="27"/>
      <c r="BX66" s="27">
        <v>0</v>
      </c>
      <c r="BY66" s="27">
        <v>0</v>
      </c>
      <c r="BZ66" s="27">
        <v>0</v>
      </c>
      <c r="CA66" s="27" t="str">
        <f t="shared" si="5"/>
        <v>NO</v>
      </c>
      <c r="CB66" s="27"/>
      <c r="CC66" s="27"/>
      <c r="CD66" s="27"/>
      <c r="CE66" s="27"/>
      <c r="CF66" s="27"/>
      <c r="CG66" s="28"/>
    </row>
    <row r="67" spans="1:85" s="20" customFormat="1" ht="15.75" hidden="1" customHeight="1" x14ac:dyDescent="0.3">
      <c r="A67" s="21">
        <v>27</v>
      </c>
      <c r="B67" s="22" t="s">
        <v>2383</v>
      </c>
      <c r="C67" s="22" t="s">
        <v>428</v>
      </c>
      <c r="D67" s="23" t="s">
        <v>2384</v>
      </c>
      <c r="E67" s="24">
        <v>45450</v>
      </c>
      <c r="F67" s="24">
        <v>45451</v>
      </c>
      <c r="G67" s="22" t="s">
        <v>393</v>
      </c>
      <c r="H67" s="22" t="s">
        <v>393</v>
      </c>
      <c r="I67" s="22" t="s">
        <v>2249</v>
      </c>
      <c r="J67" s="22" t="s">
        <v>426</v>
      </c>
      <c r="K67" s="22"/>
      <c r="L67" s="22"/>
      <c r="M67" s="24" t="s">
        <v>310</v>
      </c>
      <c r="N67" s="24" t="s">
        <v>310</v>
      </c>
      <c r="O67" s="22" t="s">
        <v>2250</v>
      </c>
      <c r="P67" s="22">
        <v>580000</v>
      </c>
      <c r="Q67" s="22" t="s">
        <v>2271</v>
      </c>
      <c r="R67" s="22" t="s">
        <v>393</v>
      </c>
      <c r="S67" s="140" t="s">
        <v>2351</v>
      </c>
      <c r="T67" s="8" t="s">
        <v>3070</v>
      </c>
      <c r="U67" s="8" t="s">
        <v>2312</v>
      </c>
      <c r="V67" s="21">
        <v>568885</v>
      </c>
      <c r="W67" s="21">
        <v>53911</v>
      </c>
      <c r="X67" s="21">
        <v>26000</v>
      </c>
      <c r="Y67" s="21">
        <v>8850</v>
      </c>
      <c r="Z67" s="21">
        <v>0</v>
      </c>
      <c r="AA67" s="21" t="s">
        <v>2253</v>
      </c>
      <c r="AB67" s="21">
        <v>0</v>
      </c>
      <c r="AC67" s="21">
        <v>0</v>
      </c>
      <c r="AD67" s="21">
        <v>0</v>
      </c>
      <c r="AE67" s="21">
        <v>0</v>
      </c>
      <c r="AF67" s="21">
        <v>28000</v>
      </c>
      <c r="AG67" s="21">
        <v>0</v>
      </c>
      <c r="AH67" s="21">
        <v>0</v>
      </c>
      <c r="AI67" s="21">
        <v>0</v>
      </c>
      <c r="AJ67" s="21">
        <v>10000</v>
      </c>
      <c r="AK67" s="21">
        <v>0</v>
      </c>
      <c r="AL67" s="21">
        <v>0</v>
      </c>
      <c r="AM67" s="21">
        <v>0</v>
      </c>
      <c r="AN67" s="21">
        <v>0</v>
      </c>
      <c r="AO67" s="21">
        <v>0</v>
      </c>
      <c r="AP67" s="21">
        <v>0</v>
      </c>
      <c r="AQ67" s="21">
        <v>0</v>
      </c>
      <c r="AR67" s="21">
        <v>15000</v>
      </c>
      <c r="AS67" s="21">
        <v>0</v>
      </c>
      <c r="AT67" s="21">
        <v>0</v>
      </c>
      <c r="AU67" s="21">
        <v>0</v>
      </c>
      <c r="AV67" s="21">
        <v>0</v>
      </c>
      <c r="AW67" s="21"/>
      <c r="AX67" s="21">
        <v>20646</v>
      </c>
      <c r="AY67" s="21">
        <f t="shared" si="11"/>
        <v>18646</v>
      </c>
      <c r="AZ67" s="21">
        <f t="shared" si="12"/>
        <v>20646</v>
      </c>
      <c r="BA67" s="21">
        <f t="shared" si="13"/>
        <v>18646</v>
      </c>
      <c r="BB67" s="21">
        <v>0</v>
      </c>
      <c r="BC67" s="21">
        <v>2000</v>
      </c>
      <c r="BD67" s="21">
        <v>0</v>
      </c>
      <c r="BE67" s="21">
        <v>0</v>
      </c>
      <c r="BF67" s="21">
        <f t="shared" si="14"/>
        <v>640000</v>
      </c>
      <c r="BG67" s="21">
        <v>564066</v>
      </c>
      <c r="BH67" s="21" t="s">
        <v>39</v>
      </c>
      <c r="BI67" s="21" t="s">
        <v>2253</v>
      </c>
      <c r="BJ67" s="21" t="s">
        <v>2253</v>
      </c>
      <c r="BK67" s="21">
        <v>13374643</v>
      </c>
      <c r="BL67" s="21">
        <f>5000+21000+50000</f>
        <v>76000</v>
      </c>
      <c r="BM67" s="21">
        <f t="shared" si="15"/>
        <v>-66</v>
      </c>
      <c r="BN67" s="25"/>
      <c r="BO67" s="21"/>
      <c r="BP67" s="21"/>
      <c r="BQ67" s="21"/>
      <c r="BR67" s="21"/>
      <c r="BS67" s="21"/>
      <c r="BT67" s="21"/>
      <c r="BU67" s="26"/>
      <c r="BV67" s="27"/>
      <c r="BW67" s="27"/>
      <c r="BX67" s="27">
        <v>0</v>
      </c>
      <c r="BY67" s="27">
        <v>0</v>
      </c>
      <c r="BZ67" s="27">
        <v>0</v>
      </c>
      <c r="CA67" s="27" t="str">
        <f t="shared" ref="CA67:CA130" si="16">+IF(M67="Ertiga CNG","NO",IF(AND(AY67&lt;=0,AF67&gt;=30000,Y67&gt;0,X67&gt;0,AC67&gt;0),"YES","NO"))</f>
        <v>NO</v>
      </c>
      <c r="CB67" s="27"/>
      <c r="CC67" s="27"/>
      <c r="CD67" s="27"/>
      <c r="CE67" s="27"/>
      <c r="CF67" s="27"/>
      <c r="CG67" s="28"/>
    </row>
    <row r="68" spans="1:85" s="20" customFormat="1" ht="15.75" hidden="1" customHeight="1" x14ac:dyDescent="0.3">
      <c r="A68" s="21">
        <v>31</v>
      </c>
      <c r="B68" s="22" t="s">
        <v>2394</v>
      </c>
      <c r="C68" s="22" t="s">
        <v>465</v>
      </c>
      <c r="D68" s="23" t="s">
        <v>2395</v>
      </c>
      <c r="E68" s="24">
        <v>45450</v>
      </c>
      <c r="F68" s="24">
        <v>45450</v>
      </c>
      <c r="G68" s="22" t="s">
        <v>393</v>
      </c>
      <c r="H68" s="22" t="s">
        <v>393</v>
      </c>
      <c r="I68" s="22" t="s">
        <v>2249</v>
      </c>
      <c r="J68" s="22" t="s">
        <v>2396</v>
      </c>
      <c r="K68" s="22"/>
      <c r="L68" s="22"/>
      <c r="M68" s="24" t="s">
        <v>310</v>
      </c>
      <c r="N68" s="24" t="s">
        <v>310</v>
      </c>
      <c r="O68" s="22" t="s">
        <v>2397</v>
      </c>
      <c r="P68" s="22">
        <v>0</v>
      </c>
      <c r="Q68" s="22" t="s">
        <v>77</v>
      </c>
      <c r="R68" s="22" t="s">
        <v>393</v>
      </c>
      <c r="S68" s="21" t="s">
        <v>2351</v>
      </c>
      <c r="T68" s="8" t="s">
        <v>3070</v>
      </c>
      <c r="U68" s="8" t="s">
        <v>2312</v>
      </c>
      <c r="V68" s="21">
        <v>568885</v>
      </c>
      <c r="W68" s="21">
        <v>53911</v>
      </c>
      <c r="X68" s="21">
        <v>26000</v>
      </c>
      <c r="Y68" s="21">
        <v>8850</v>
      </c>
      <c r="Z68" s="21">
        <v>0</v>
      </c>
      <c r="AA68" s="21" t="s">
        <v>2253</v>
      </c>
      <c r="AB68" s="21">
        <v>0</v>
      </c>
      <c r="AC68" s="21">
        <v>2898</v>
      </c>
      <c r="AD68" s="21">
        <v>0</v>
      </c>
      <c r="AE68" s="21">
        <v>0</v>
      </c>
      <c r="AF68" s="21">
        <v>28000</v>
      </c>
      <c r="AG68" s="21">
        <v>0</v>
      </c>
      <c r="AH68" s="21">
        <v>0</v>
      </c>
      <c r="AI68" s="21">
        <v>0</v>
      </c>
      <c r="AJ68" s="21">
        <v>10000</v>
      </c>
      <c r="AK68" s="21">
        <v>0</v>
      </c>
      <c r="AL68" s="21">
        <v>0</v>
      </c>
      <c r="AM68" s="21">
        <v>0</v>
      </c>
      <c r="AN68" s="21">
        <v>0</v>
      </c>
      <c r="AO68" s="21">
        <v>0</v>
      </c>
      <c r="AP68" s="21">
        <v>0</v>
      </c>
      <c r="AQ68" s="21">
        <v>0</v>
      </c>
      <c r="AR68" s="21">
        <v>15000</v>
      </c>
      <c r="AS68" s="21">
        <v>0</v>
      </c>
      <c r="AT68" s="21">
        <v>0</v>
      </c>
      <c r="AU68" s="21">
        <v>0</v>
      </c>
      <c r="AV68" s="21">
        <v>0</v>
      </c>
      <c r="AW68" s="21"/>
      <c r="AX68" s="21">
        <v>23544</v>
      </c>
      <c r="AY68" s="21">
        <f t="shared" si="11"/>
        <v>21544</v>
      </c>
      <c r="AZ68" s="21">
        <f t="shared" si="12"/>
        <v>23544</v>
      </c>
      <c r="BA68" s="21">
        <f t="shared" si="13"/>
        <v>21544</v>
      </c>
      <c r="BB68" s="21">
        <v>0</v>
      </c>
      <c r="BC68" s="21">
        <v>2000</v>
      </c>
      <c r="BD68" s="21">
        <v>0</v>
      </c>
      <c r="BE68" s="21">
        <v>0</v>
      </c>
      <c r="BF68" s="21">
        <f t="shared" si="14"/>
        <v>640000</v>
      </c>
      <c r="BG68" s="21">
        <v>0</v>
      </c>
      <c r="BH68" s="21" t="s">
        <v>2287</v>
      </c>
      <c r="BI68" s="21" t="s">
        <v>2260</v>
      </c>
      <c r="BJ68" s="21" t="s">
        <v>2260</v>
      </c>
      <c r="BK68" s="21">
        <v>0</v>
      </c>
      <c r="BL68" s="21">
        <f>5000+190000</f>
        <v>195000</v>
      </c>
      <c r="BM68" s="21">
        <f t="shared" si="15"/>
        <v>445000</v>
      </c>
      <c r="BN68" s="25">
        <v>45457</v>
      </c>
      <c r="BO68" s="21"/>
      <c r="BP68" s="21"/>
      <c r="BQ68" s="21"/>
      <c r="BR68" s="21"/>
      <c r="BS68" s="21"/>
      <c r="BT68" s="21"/>
      <c r="BU68" s="26"/>
      <c r="BV68" s="27"/>
      <c r="BW68" s="27"/>
      <c r="BX68" s="27">
        <v>0</v>
      </c>
      <c r="BY68" s="27">
        <v>0</v>
      </c>
      <c r="BZ68" s="27">
        <v>0</v>
      </c>
      <c r="CA68" s="27" t="str">
        <f t="shared" si="16"/>
        <v>NO</v>
      </c>
      <c r="CB68" s="27"/>
      <c r="CC68" s="27"/>
      <c r="CD68" s="27"/>
      <c r="CE68" s="27"/>
      <c r="CF68" s="27"/>
      <c r="CG68" s="28"/>
    </row>
    <row r="69" spans="1:85" s="20" customFormat="1" ht="15.75" hidden="1" customHeight="1" x14ac:dyDescent="0.3">
      <c r="A69" s="21">
        <v>63</v>
      </c>
      <c r="B69" s="22" t="s">
        <v>2509</v>
      </c>
      <c r="C69" s="22" t="s">
        <v>512</v>
      </c>
      <c r="D69" s="23" t="s">
        <v>2510</v>
      </c>
      <c r="E69" s="24">
        <v>45457</v>
      </c>
      <c r="F69" s="24">
        <v>45458</v>
      </c>
      <c r="G69" s="22" t="s">
        <v>393</v>
      </c>
      <c r="H69" s="22" t="s">
        <v>393</v>
      </c>
      <c r="I69" s="22" t="s">
        <v>2249</v>
      </c>
      <c r="J69" s="22" t="s">
        <v>510</v>
      </c>
      <c r="K69" s="22"/>
      <c r="L69" s="22"/>
      <c r="M69" s="24" t="s">
        <v>310</v>
      </c>
      <c r="N69" s="24" t="s">
        <v>310</v>
      </c>
      <c r="O69" s="22" t="s">
        <v>2326</v>
      </c>
      <c r="P69" s="22">
        <v>550000</v>
      </c>
      <c r="Q69" s="22" t="s">
        <v>2284</v>
      </c>
      <c r="R69" s="22" t="s">
        <v>2511</v>
      </c>
      <c r="S69" s="21" t="s">
        <v>2351</v>
      </c>
      <c r="T69" s="8" t="s">
        <v>3070</v>
      </c>
      <c r="U69" s="8" t="s">
        <v>2312</v>
      </c>
      <c r="V69" s="21">
        <v>561885</v>
      </c>
      <c r="W69" s="21">
        <v>53351</v>
      </c>
      <c r="X69" s="21">
        <v>25000</v>
      </c>
      <c r="Y69" s="21">
        <v>8744</v>
      </c>
      <c r="Z69" s="21">
        <v>0</v>
      </c>
      <c r="AA69" s="21" t="s">
        <v>2253</v>
      </c>
      <c r="AB69" s="21">
        <v>0</v>
      </c>
      <c r="AC69" s="21">
        <v>2898</v>
      </c>
      <c r="AD69" s="21">
        <v>0</v>
      </c>
      <c r="AE69" s="21">
        <v>0</v>
      </c>
      <c r="AF69" s="21">
        <v>30200</v>
      </c>
      <c r="AG69" s="21">
        <v>0</v>
      </c>
      <c r="AH69" s="21">
        <v>0</v>
      </c>
      <c r="AI69" s="21">
        <v>0</v>
      </c>
      <c r="AJ69" s="21">
        <v>10000</v>
      </c>
      <c r="AK69" s="21">
        <v>0</v>
      </c>
      <c r="AL69" s="21">
        <v>0</v>
      </c>
      <c r="AM69" s="21">
        <v>0</v>
      </c>
      <c r="AN69" s="21">
        <v>0</v>
      </c>
      <c r="AO69" s="21">
        <v>0</v>
      </c>
      <c r="AP69" s="21">
        <v>0</v>
      </c>
      <c r="AQ69" s="21">
        <v>0</v>
      </c>
      <c r="AR69" s="21">
        <v>15000</v>
      </c>
      <c r="AS69" s="21">
        <v>0</v>
      </c>
      <c r="AT69" s="21">
        <v>0</v>
      </c>
      <c r="AU69" s="21">
        <v>0</v>
      </c>
      <c r="AV69" s="21">
        <v>0</v>
      </c>
      <c r="AW69" s="21"/>
      <c r="AX69" s="21">
        <v>22078</v>
      </c>
      <c r="AY69" s="21">
        <f t="shared" si="11"/>
        <v>20078</v>
      </c>
      <c r="AZ69" s="21">
        <f t="shared" si="12"/>
        <v>22078</v>
      </c>
      <c r="BA69" s="21">
        <f t="shared" si="13"/>
        <v>20078</v>
      </c>
      <c r="BB69" s="21">
        <v>0</v>
      </c>
      <c r="BC69" s="21">
        <v>2000</v>
      </c>
      <c r="BD69" s="21">
        <v>0</v>
      </c>
      <c r="BE69" s="21">
        <v>0</v>
      </c>
      <c r="BF69" s="21">
        <f t="shared" si="14"/>
        <v>635000</v>
      </c>
      <c r="BG69" s="21">
        <v>635236</v>
      </c>
      <c r="BH69" s="21" t="s">
        <v>2287</v>
      </c>
      <c r="BI69" s="21" t="s">
        <v>2253</v>
      </c>
      <c r="BJ69" s="21" t="s">
        <v>2253</v>
      </c>
      <c r="BK69" s="21">
        <v>0</v>
      </c>
      <c r="BL69" s="21">
        <v>0</v>
      </c>
      <c r="BM69" s="21">
        <f t="shared" si="15"/>
        <v>-236</v>
      </c>
      <c r="BN69" s="25"/>
      <c r="BO69" s="21"/>
      <c r="BP69" s="21"/>
      <c r="BQ69" s="21"/>
      <c r="BR69" s="21"/>
      <c r="BS69" s="21"/>
      <c r="BT69" s="21"/>
      <c r="BU69" s="26"/>
      <c r="BV69" s="27"/>
      <c r="BW69" s="27"/>
      <c r="BX69" s="27">
        <v>0</v>
      </c>
      <c r="BY69" s="27">
        <v>0</v>
      </c>
      <c r="BZ69" s="27">
        <v>0</v>
      </c>
      <c r="CA69" s="27" t="str">
        <f t="shared" si="16"/>
        <v>NO</v>
      </c>
      <c r="CB69" s="27"/>
      <c r="CC69" s="27"/>
      <c r="CD69" s="27"/>
      <c r="CE69" s="27"/>
      <c r="CF69" s="27"/>
      <c r="CG69" s="28"/>
    </row>
    <row r="70" spans="1:85" s="20" customFormat="1" ht="15.75" hidden="1" customHeight="1" x14ac:dyDescent="0.3">
      <c r="A70" s="21">
        <v>167</v>
      </c>
      <c r="B70" s="22" t="s">
        <v>2843</v>
      </c>
      <c r="C70" s="22">
        <v>357863</v>
      </c>
      <c r="D70" s="23" t="s">
        <v>2844</v>
      </c>
      <c r="E70" s="24">
        <v>45473</v>
      </c>
      <c r="F70" s="24"/>
      <c r="G70" s="22" t="s">
        <v>393</v>
      </c>
      <c r="H70" s="22" t="s">
        <v>393</v>
      </c>
      <c r="I70" s="22" t="s">
        <v>2249</v>
      </c>
      <c r="J70" s="22" t="s">
        <v>602</v>
      </c>
      <c r="K70" s="22"/>
      <c r="L70" s="22"/>
      <c r="M70" s="24" t="s">
        <v>2275</v>
      </c>
      <c r="N70" s="22" t="s">
        <v>2990</v>
      </c>
      <c r="O70" s="22" t="s">
        <v>2321</v>
      </c>
      <c r="P70" s="22">
        <v>970000</v>
      </c>
      <c r="Q70" s="22" t="s">
        <v>2265</v>
      </c>
      <c r="R70" s="22" t="s">
        <v>393</v>
      </c>
      <c r="S70" s="21" t="s">
        <v>2351</v>
      </c>
      <c r="T70" s="8" t="s">
        <v>3070</v>
      </c>
      <c r="U70" s="8" t="s">
        <v>2312</v>
      </c>
      <c r="V70" s="21">
        <v>970385</v>
      </c>
      <c r="W70" s="21">
        <v>85331</v>
      </c>
      <c r="X70" s="21">
        <v>33000</v>
      </c>
      <c r="Y70" s="21">
        <v>16485</v>
      </c>
      <c r="Z70" s="21">
        <v>0</v>
      </c>
      <c r="AA70" s="21" t="s">
        <v>2253</v>
      </c>
      <c r="AB70" s="21">
        <v>0</v>
      </c>
      <c r="AC70" s="21">
        <v>0</v>
      </c>
      <c r="AD70" s="21">
        <v>0</v>
      </c>
      <c r="AE70" s="21">
        <v>0</v>
      </c>
      <c r="AF70" s="21">
        <v>48000</v>
      </c>
      <c r="AG70" s="21">
        <v>0</v>
      </c>
      <c r="AH70" s="21">
        <v>0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21">
        <v>0</v>
      </c>
      <c r="AO70" s="21">
        <v>0</v>
      </c>
      <c r="AP70" s="21">
        <v>0</v>
      </c>
      <c r="AQ70" s="21">
        <v>0</v>
      </c>
      <c r="AR70" s="21">
        <v>10000</v>
      </c>
      <c r="AS70" s="21">
        <v>0</v>
      </c>
      <c r="AT70" s="21">
        <v>0</v>
      </c>
      <c r="AU70" s="21">
        <v>0</v>
      </c>
      <c r="AV70" s="21">
        <v>0</v>
      </c>
      <c r="AW70" s="21"/>
      <c r="AX70" s="21">
        <v>18201</v>
      </c>
      <c r="AY70" s="21">
        <f t="shared" si="11"/>
        <v>16201</v>
      </c>
      <c r="AZ70" s="21">
        <f t="shared" si="12"/>
        <v>18201</v>
      </c>
      <c r="BA70" s="21">
        <f t="shared" si="13"/>
        <v>16201</v>
      </c>
      <c r="BB70" s="21">
        <v>0</v>
      </c>
      <c r="BC70" s="21">
        <v>2000</v>
      </c>
      <c r="BD70" s="21">
        <v>0</v>
      </c>
      <c r="BE70" s="21">
        <v>0</v>
      </c>
      <c r="BF70" s="21">
        <f t="shared" si="14"/>
        <v>1125000</v>
      </c>
      <c r="BG70" s="21">
        <v>966900</v>
      </c>
      <c r="BH70" s="21" t="s">
        <v>39</v>
      </c>
      <c r="BI70" s="21" t="s">
        <v>2253</v>
      </c>
      <c r="BJ70" s="21" t="s">
        <v>2253</v>
      </c>
      <c r="BK70" s="21">
        <v>146462566</v>
      </c>
      <c r="BL70" s="21">
        <v>50000</v>
      </c>
      <c r="BM70" s="21">
        <f t="shared" si="15"/>
        <v>108100</v>
      </c>
      <c r="BN70" s="25">
        <v>45475</v>
      </c>
      <c r="BO70" s="21"/>
      <c r="BP70" s="21"/>
      <c r="BQ70" s="21"/>
      <c r="BR70" s="21"/>
      <c r="BS70" s="21"/>
      <c r="BT70" s="21"/>
      <c r="BU70" s="26"/>
      <c r="BV70" s="27"/>
      <c r="BW70" s="27"/>
      <c r="BX70" s="27">
        <v>0</v>
      </c>
      <c r="BY70" s="27">
        <v>0</v>
      </c>
      <c r="BZ70" s="27">
        <v>0</v>
      </c>
      <c r="CA70" s="27" t="str">
        <f>+IF(M70="Ertiga CNG","NO",IF(AND(AY70&lt;=0,AF70&gt;=30000,Y70&gt;0,X70&gt;0,AC70&gt;0),"YES","NO"))</f>
        <v>NO</v>
      </c>
      <c r="CB70" s="27"/>
      <c r="CC70" s="27"/>
      <c r="CD70" s="27"/>
      <c r="CE70" s="27"/>
      <c r="CF70" s="27"/>
      <c r="CG70" s="28"/>
    </row>
    <row r="71" spans="1:85" s="20" customFormat="1" ht="15.75" hidden="1" customHeight="1" x14ac:dyDescent="0.3">
      <c r="A71" s="21">
        <v>71</v>
      </c>
      <c r="B71" s="22" t="s">
        <v>2535</v>
      </c>
      <c r="C71" s="22" t="s">
        <v>1914</v>
      </c>
      <c r="D71" s="23" t="s">
        <v>2536</v>
      </c>
      <c r="E71" s="24">
        <v>45459</v>
      </c>
      <c r="F71" s="24">
        <v>45461</v>
      </c>
      <c r="G71" s="22" t="s">
        <v>1844</v>
      </c>
      <c r="H71" s="22" t="s">
        <v>1844</v>
      </c>
      <c r="I71" s="22" t="s">
        <v>2249</v>
      </c>
      <c r="J71" s="22" t="s">
        <v>2537</v>
      </c>
      <c r="K71" s="22"/>
      <c r="L71" s="22"/>
      <c r="M71" s="24" t="s">
        <v>310</v>
      </c>
      <c r="N71" s="24" t="s">
        <v>310</v>
      </c>
      <c r="O71" s="22" t="s">
        <v>2326</v>
      </c>
      <c r="P71" s="22">
        <v>532000</v>
      </c>
      <c r="Q71" s="22" t="s">
        <v>2298</v>
      </c>
      <c r="R71" s="22" t="s">
        <v>2538</v>
      </c>
      <c r="S71" s="21" t="s">
        <v>2539</v>
      </c>
      <c r="T71" s="8" t="s">
        <v>3105</v>
      </c>
      <c r="U71" s="8" t="s">
        <v>2432</v>
      </c>
      <c r="V71" s="21">
        <v>561000</v>
      </c>
      <c r="W71" s="21">
        <v>53351</v>
      </c>
      <c r="X71" s="21">
        <v>25000</v>
      </c>
      <c r="Y71" s="21">
        <v>0</v>
      </c>
      <c r="Z71" s="21">
        <v>0</v>
      </c>
      <c r="AA71" s="21" t="s">
        <v>2260</v>
      </c>
      <c r="AB71" s="21">
        <v>0</v>
      </c>
      <c r="AC71" s="21">
        <v>0</v>
      </c>
      <c r="AD71" s="21">
        <v>0</v>
      </c>
      <c r="AE71" s="21">
        <v>0</v>
      </c>
      <c r="AF71" s="21">
        <v>30000</v>
      </c>
      <c r="AG71" s="21">
        <v>0</v>
      </c>
      <c r="AH71" s="21">
        <v>0</v>
      </c>
      <c r="AI71" s="21">
        <v>0</v>
      </c>
      <c r="AJ71" s="21">
        <v>10000</v>
      </c>
      <c r="AK71" s="21">
        <v>0</v>
      </c>
      <c r="AL71" s="21">
        <v>0</v>
      </c>
      <c r="AM71" s="21">
        <v>0</v>
      </c>
      <c r="AN71" s="21">
        <v>0</v>
      </c>
      <c r="AO71" s="21">
        <v>0</v>
      </c>
      <c r="AP71" s="21">
        <v>0</v>
      </c>
      <c r="AQ71" s="21">
        <v>0</v>
      </c>
      <c r="AR71" s="21">
        <v>15000</v>
      </c>
      <c r="AS71" s="21">
        <v>0</v>
      </c>
      <c r="AT71" s="21">
        <v>0</v>
      </c>
      <c r="AU71" s="21">
        <v>0</v>
      </c>
      <c r="AV71" s="21">
        <v>0</v>
      </c>
      <c r="AW71" s="21"/>
      <c r="AX71" s="21">
        <v>16351</v>
      </c>
      <c r="AY71" s="21">
        <f t="shared" si="11"/>
        <v>14351</v>
      </c>
      <c r="AZ71" s="21">
        <f t="shared" si="12"/>
        <v>16351</v>
      </c>
      <c r="BA71" s="21">
        <f t="shared" si="13"/>
        <v>14351</v>
      </c>
      <c r="BB71" s="21">
        <v>0</v>
      </c>
      <c r="BC71" s="21">
        <v>2000</v>
      </c>
      <c r="BD71" s="21">
        <v>0</v>
      </c>
      <c r="BE71" s="21">
        <v>0</v>
      </c>
      <c r="BF71" s="21">
        <f t="shared" si="14"/>
        <v>628000</v>
      </c>
      <c r="BG71" s="21">
        <v>532000</v>
      </c>
      <c r="BH71" s="21" t="s">
        <v>39</v>
      </c>
      <c r="BI71" s="21" t="s">
        <v>2253</v>
      </c>
      <c r="BJ71" s="21" t="s">
        <v>2253</v>
      </c>
      <c r="BK71" s="21" t="s">
        <v>2540</v>
      </c>
      <c r="BL71" s="21">
        <f>2100+93900</f>
        <v>96000</v>
      </c>
      <c r="BM71" s="21">
        <f t="shared" si="15"/>
        <v>0</v>
      </c>
      <c r="BN71" s="25"/>
      <c r="BO71" s="21"/>
      <c r="BP71" s="21"/>
      <c r="BQ71" s="21"/>
      <c r="BR71" s="21"/>
      <c r="BS71" s="21"/>
      <c r="BT71" s="21"/>
      <c r="BU71" s="26"/>
      <c r="BV71" s="27"/>
      <c r="BW71" s="27"/>
      <c r="BX71" s="27">
        <v>0</v>
      </c>
      <c r="BY71" s="27">
        <v>0</v>
      </c>
      <c r="BZ71" s="27">
        <v>0</v>
      </c>
      <c r="CA71" s="27" t="str">
        <f t="shared" si="16"/>
        <v>NO</v>
      </c>
      <c r="CB71" s="27"/>
      <c r="CC71" s="27"/>
      <c r="CD71" s="27"/>
      <c r="CE71" s="27"/>
      <c r="CF71" s="27"/>
      <c r="CG71" s="28"/>
    </row>
    <row r="72" spans="1:85" s="20" customFormat="1" ht="15.75" hidden="1" customHeight="1" x14ac:dyDescent="0.3">
      <c r="A72" s="21">
        <v>99</v>
      </c>
      <c r="B72" s="22" t="s">
        <v>2630</v>
      </c>
      <c r="C72" s="22" t="s">
        <v>1954</v>
      </c>
      <c r="D72" s="23" t="s">
        <v>2631</v>
      </c>
      <c r="E72" s="24">
        <v>45463</v>
      </c>
      <c r="F72" s="24">
        <v>45467</v>
      </c>
      <c r="G72" s="22" t="s">
        <v>1844</v>
      </c>
      <c r="H72" s="22" t="s">
        <v>1844</v>
      </c>
      <c r="I72" s="22" t="s">
        <v>2249</v>
      </c>
      <c r="J72" s="22" t="s">
        <v>1952</v>
      </c>
      <c r="K72" s="22"/>
      <c r="L72" s="22"/>
      <c r="M72" s="24" t="s">
        <v>310</v>
      </c>
      <c r="N72" s="24" t="s">
        <v>310</v>
      </c>
      <c r="O72" s="22" t="s">
        <v>2326</v>
      </c>
      <c r="P72" s="22">
        <v>570000</v>
      </c>
      <c r="Q72" s="22" t="s">
        <v>2271</v>
      </c>
      <c r="R72" s="22" t="s">
        <v>1844</v>
      </c>
      <c r="S72" s="21" t="s">
        <v>2539</v>
      </c>
      <c r="T72" s="8" t="s">
        <v>3105</v>
      </c>
      <c r="U72" s="8" t="s">
        <v>2432</v>
      </c>
      <c r="V72" s="21">
        <v>561000</v>
      </c>
      <c r="W72" s="21">
        <v>53351</v>
      </c>
      <c r="X72" s="21">
        <v>25000</v>
      </c>
      <c r="Y72" s="21">
        <v>0</v>
      </c>
      <c r="Z72" s="21">
        <v>0</v>
      </c>
      <c r="AA72" s="21" t="s">
        <v>2260</v>
      </c>
      <c r="AB72" s="21">
        <v>0</v>
      </c>
      <c r="AC72" s="21">
        <v>0</v>
      </c>
      <c r="AD72" s="21">
        <v>0</v>
      </c>
      <c r="AE72" s="21">
        <v>0</v>
      </c>
      <c r="AF72" s="21">
        <v>6100</v>
      </c>
      <c r="AG72" s="21">
        <v>0</v>
      </c>
      <c r="AH72" s="21">
        <v>0</v>
      </c>
      <c r="AI72" s="21">
        <v>0</v>
      </c>
      <c r="AJ72" s="21">
        <v>10000</v>
      </c>
      <c r="AK72" s="21">
        <v>0</v>
      </c>
      <c r="AL72" s="21">
        <v>0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15000</v>
      </c>
      <c r="AS72" s="21">
        <v>0</v>
      </c>
      <c r="AT72" s="21">
        <v>0</v>
      </c>
      <c r="AU72" s="21">
        <v>0</v>
      </c>
      <c r="AV72" s="21">
        <v>0</v>
      </c>
      <c r="AW72" s="21"/>
      <c r="AX72" s="21">
        <v>10251</v>
      </c>
      <c r="AY72" s="21">
        <f t="shared" si="11"/>
        <v>8251</v>
      </c>
      <c r="AZ72" s="21">
        <f t="shared" si="12"/>
        <v>10251</v>
      </c>
      <c r="BA72" s="21">
        <f t="shared" si="13"/>
        <v>8251</v>
      </c>
      <c r="BB72" s="21">
        <v>0</v>
      </c>
      <c r="BC72" s="21">
        <v>2000</v>
      </c>
      <c r="BD72" s="21">
        <v>0</v>
      </c>
      <c r="BE72" s="21">
        <v>0</v>
      </c>
      <c r="BF72" s="21">
        <f t="shared" si="14"/>
        <v>610200</v>
      </c>
      <c r="BG72" s="21">
        <v>548446</v>
      </c>
      <c r="BH72" s="21" t="s">
        <v>39</v>
      </c>
      <c r="BI72" s="21" t="s">
        <v>2260</v>
      </c>
      <c r="BJ72" s="21" t="s">
        <v>2260</v>
      </c>
      <c r="BK72" s="21">
        <v>13225880</v>
      </c>
      <c r="BL72" s="21">
        <f>2100+50000+10100</f>
        <v>62200</v>
      </c>
      <c r="BM72" s="21">
        <f t="shared" si="15"/>
        <v>-446</v>
      </c>
      <c r="BN72" s="25"/>
      <c r="BO72" s="21"/>
      <c r="BP72" s="21"/>
      <c r="BQ72" s="21"/>
      <c r="BR72" s="21"/>
      <c r="BS72" s="21"/>
      <c r="BT72" s="21"/>
      <c r="BU72" s="26"/>
      <c r="BV72" s="27"/>
      <c r="BW72" s="27"/>
      <c r="BX72" s="27">
        <v>0</v>
      </c>
      <c r="BY72" s="27">
        <v>0</v>
      </c>
      <c r="BZ72" s="27">
        <v>0</v>
      </c>
      <c r="CA72" s="27" t="str">
        <f t="shared" si="16"/>
        <v>NO</v>
      </c>
      <c r="CB72" s="27"/>
      <c r="CC72" s="27"/>
      <c r="CD72" s="27"/>
      <c r="CE72" s="27"/>
      <c r="CF72" s="27"/>
      <c r="CG72" s="28"/>
    </row>
    <row r="73" spans="1:85" s="20" customFormat="1" ht="15.75" hidden="1" customHeight="1" x14ac:dyDescent="0.3">
      <c r="A73" s="21">
        <v>146</v>
      </c>
      <c r="B73" s="22" t="s">
        <v>2779</v>
      </c>
      <c r="C73" s="22">
        <v>825835</v>
      </c>
      <c r="D73" s="23" t="s">
        <v>2780</v>
      </c>
      <c r="E73" s="24">
        <v>45470</v>
      </c>
      <c r="F73" s="24">
        <v>45471</v>
      </c>
      <c r="G73" s="22" t="s">
        <v>646</v>
      </c>
      <c r="H73" s="22" t="s">
        <v>646</v>
      </c>
      <c r="I73" s="22" t="s">
        <v>2249</v>
      </c>
      <c r="J73" s="22" t="s">
        <v>844</v>
      </c>
      <c r="K73" s="22"/>
      <c r="L73" s="22"/>
      <c r="M73" s="24" t="s">
        <v>2263</v>
      </c>
      <c r="N73" s="24" t="s">
        <v>2263</v>
      </c>
      <c r="O73" s="22" t="s">
        <v>2264</v>
      </c>
      <c r="P73" s="22">
        <v>10000000</v>
      </c>
      <c r="Q73" s="22" t="s">
        <v>2277</v>
      </c>
      <c r="R73" s="22" t="s">
        <v>613</v>
      </c>
      <c r="S73" s="21" t="s">
        <v>2781</v>
      </c>
      <c r="T73" s="8" t="s">
        <v>3106</v>
      </c>
      <c r="U73" s="8" t="s">
        <v>2408</v>
      </c>
      <c r="V73" s="21">
        <v>1078885</v>
      </c>
      <c r="W73" s="21">
        <v>0</v>
      </c>
      <c r="X73" s="21">
        <v>33000</v>
      </c>
      <c r="Y73" s="21">
        <v>18325</v>
      </c>
      <c r="Z73" s="21">
        <v>500</v>
      </c>
      <c r="AA73" s="21" t="s">
        <v>2253</v>
      </c>
      <c r="AB73" s="21">
        <v>5000</v>
      </c>
      <c r="AC73" s="21">
        <v>5216</v>
      </c>
      <c r="AD73" s="21">
        <v>10789</v>
      </c>
      <c r="AE73" s="21">
        <v>0</v>
      </c>
      <c r="AF73" s="21">
        <v>42000</v>
      </c>
      <c r="AG73" s="21">
        <v>0</v>
      </c>
      <c r="AH73" s="21">
        <v>0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21">
        <v>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/>
      <c r="AX73" s="21">
        <v>0</v>
      </c>
      <c r="AY73" s="21">
        <f t="shared" si="11"/>
        <v>0</v>
      </c>
      <c r="AZ73" s="21">
        <f t="shared" si="12"/>
        <v>0</v>
      </c>
      <c r="BA73" s="21">
        <f t="shared" si="13"/>
        <v>0</v>
      </c>
      <c r="BB73" s="21">
        <v>0</v>
      </c>
      <c r="BC73" s="21">
        <v>0</v>
      </c>
      <c r="BD73" s="21">
        <v>0</v>
      </c>
      <c r="BE73" s="21">
        <v>0</v>
      </c>
      <c r="BF73" s="21">
        <f t="shared" si="14"/>
        <v>1193715</v>
      </c>
      <c r="BG73" s="21">
        <v>830000</v>
      </c>
      <c r="BH73" s="21" t="s">
        <v>2287</v>
      </c>
      <c r="BI73" s="21" t="s">
        <v>2260</v>
      </c>
      <c r="BJ73" s="21" t="s">
        <v>2260</v>
      </c>
      <c r="BK73" s="21">
        <v>0</v>
      </c>
      <c r="BL73" s="21">
        <f>5000+20000+50000+55000+25000+170000+15000</f>
        <v>340000</v>
      </c>
      <c r="BM73" s="21">
        <f t="shared" si="15"/>
        <v>23715</v>
      </c>
      <c r="BN73" s="25">
        <v>45495</v>
      </c>
      <c r="BO73" s="21"/>
      <c r="BP73" s="21"/>
      <c r="BQ73" s="21"/>
      <c r="BR73" s="21"/>
      <c r="BS73" s="21"/>
      <c r="BT73" s="21"/>
      <c r="BU73" s="26"/>
      <c r="BV73" s="27"/>
      <c r="BW73" s="27"/>
      <c r="BX73" s="27">
        <v>0</v>
      </c>
      <c r="BY73" s="27">
        <v>0</v>
      </c>
      <c r="BZ73" s="27">
        <v>0</v>
      </c>
      <c r="CA73" s="27" t="str">
        <f t="shared" si="16"/>
        <v>YES</v>
      </c>
      <c r="CB73" s="27"/>
      <c r="CC73" s="27"/>
      <c r="CD73" s="27"/>
      <c r="CE73" s="27"/>
      <c r="CF73" s="27"/>
      <c r="CG73" s="28"/>
    </row>
    <row r="74" spans="1:85" s="20" customFormat="1" ht="15.75" hidden="1" customHeight="1" x14ac:dyDescent="0.3">
      <c r="A74" s="21">
        <v>170</v>
      </c>
      <c r="B74" s="22" t="s">
        <v>2849</v>
      </c>
      <c r="C74" s="22">
        <v>264994</v>
      </c>
      <c r="D74" s="23" t="s">
        <v>2850</v>
      </c>
      <c r="E74" s="24">
        <v>45473</v>
      </c>
      <c r="F74" s="24"/>
      <c r="G74" s="22" t="s">
        <v>646</v>
      </c>
      <c r="H74" s="22" t="s">
        <v>646</v>
      </c>
      <c r="I74" s="22" t="s">
        <v>2249</v>
      </c>
      <c r="J74" s="22" t="s">
        <v>2851</v>
      </c>
      <c r="K74" s="22"/>
      <c r="L74" s="22"/>
      <c r="M74" s="24" t="s">
        <v>2458</v>
      </c>
      <c r="N74" s="24" t="s">
        <v>2987</v>
      </c>
      <c r="O74" s="22" t="s">
        <v>2479</v>
      </c>
      <c r="P74" s="22">
        <v>530000</v>
      </c>
      <c r="Q74" s="22" t="s">
        <v>2277</v>
      </c>
      <c r="R74" s="22" t="s">
        <v>2852</v>
      </c>
      <c r="S74" s="21" t="s">
        <v>2781</v>
      </c>
      <c r="T74" s="8" t="s">
        <v>3106</v>
      </c>
      <c r="U74" s="8" t="s">
        <v>2408</v>
      </c>
      <c r="V74" s="21">
        <v>535885</v>
      </c>
      <c r="W74" s="21">
        <v>50471</v>
      </c>
      <c r="X74" s="21">
        <v>21000</v>
      </c>
      <c r="Y74" s="21">
        <v>8343</v>
      </c>
      <c r="Z74" s="21">
        <v>500</v>
      </c>
      <c r="AA74" s="21" t="s">
        <v>2253</v>
      </c>
      <c r="AB74" s="21">
        <v>0</v>
      </c>
      <c r="AC74" s="21">
        <v>2680</v>
      </c>
      <c r="AD74" s="21">
        <v>0</v>
      </c>
      <c r="AE74" s="21">
        <v>0</v>
      </c>
      <c r="AF74" s="21">
        <f>7390+28831</f>
        <v>36221</v>
      </c>
      <c r="AG74" s="21">
        <v>0</v>
      </c>
      <c r="AH74" s="21">
        <v>0</v>
      </c>
      <c r="AI74" s="21">
        <v>0</v>
      </c>
      <c r="AJ74" s="21">
        <v>18000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3100</v>
      </c>
      <c r="AR74" s="21">
        <v>22000</v>
      </c>
      <c r="AS74" s="21">
        <v>0</v>
      </c>
      <c r="AT74" s="21">
        <v>0</v>
      </c>
      <c r="AU74" s="21">
        <v>0</v>
      </c>
      <c r="AV74" s="21">
        <v>0</v>
      </c>
      <c r="AW74" s="21">
        <v>3302</v>
      </c>
      <c r="AX74" s="21">
        <v>1698</v>
      </c>
      <c r="AY74" s="21">
        <f t="shared" si="11"/>
        <v>3000</v>
      </c>
      <c r="AZ74" s="21">
        <f t="shared" si="12"/>
        <v>5000</v>
      </c>
      <c r="BA74" s="21">
        <f t="shared" si="13"/>
        <v>3000</v>
      </c>
      <c r="BB74" s="21">
        <v>0</v>
      </c>
      <c r="BC74" s="21">
        <v>2000</v>
      </c>
      <c r="BD74" s="21">
        <v>0</v>
      </c>
      <c r="BE74" s="21">
        <v>0</v>
      </c>
      <c r="BF74" s="21">
        <f t="shared" si="14"/>
        <v>607000</v>
      </c>
      <c r="BG74" s="21">
        <v>530000</v>
      </c>
      <c r="BH74" s="21" t="s">
        <v>39</v>
      </c>
      <c r="BI74" s="21" t="s">
        <v>2253</v>
      </c>
      <c r="BJ74" s="21" t="s">
        <v>2253</v>
      </c>
      <c r="BK74" s="21">
        <v>29285478</v>
      </c>
      <c r="BL74" s="21">
        <v>11000</v>
      </c>
      <c r="BM74" s="21">
        <f t="shared" si="15"/>
        <v>66000</v>
      </c>
      <c r="BN74" s="25">
        <v>45476</v>
      </c>
      <c r="BO74" s="21"/>
      <c r="BP74" s="21"/>
      <c r="BQ74" s="21"/>
      <c r="BR74" s="21"/>
      <c r="BS74" s="21"/>
      <c r="BT74" s="21"/>
      <c r="BU74" s="26"/>
      <c r="BV74" s="27"/>
      <c r="BW74" s="27"/>
      <c r="BX74" s="27">
        <v>0</v>
      </c>
      <c r="BY74" s="27">
        <v>0</v>
      </c>
      <c r="BZ74" s="27">
        <v>0</v>
      </c>
      <c r="CA74" s="27" t="str">
        <f t="shared" si="16"/>
        <v>NO</v>
      </c>
      <c r="CB74" s="27"/>
      <c r="CC74" s="27"/>
      <c r="CD74" s="27"/>
      <c r="CE74" s="27"/>
      <c r="CF74" s="27"/>
      <c r="CG74" s="28"/>
    </row>
    <row r="75" spans="1:85" s="20" customFormat="1" ht="15.75" hidden="1" customHeight="1" x14ac:dyDescent="0.3">
      <c r="A75" s="21">
        <v>12</v>
      </c>
      <c r="B75" s="22" t="s">
        <v>2317</v>
      </c>
      <c r="C75" s="22" t="s">
        <v>2318</v>
      </c>
      <c r="D75" s="23" t="s">
        <v>2319</v>
      </c>
      <c r="E75" s="24">
        <v>45447</v>
      </c>
      <c r="F75" s="24">
        <v>45451</v>
      </c>
      <c r="G75" s="22" t="s">
        <v>2320</v>
      </c>
      <c r="H75" s="22" t="s">
        <v>2320</v>
      </c>
      <c r="I75" s="22" t="s">
        <v>2249</v>
      </c>
      <c r="J75" s="22" t="s">
        <v>1376</v>
      </c>
      <c r="K75" s="22"/>
      <c r="L75" s="22"/>
      <c r="M75" s="24" t="s">
        <v>248</v>
      </c>
      <c r="N75" s="24" t="s">
        <v>248</v>
      </c>
      <c r="O75" s="22" t="s">
        <v>2321</v>
      </c>
      <c r="P75" s="22">
        <v>760000</v>
      </c>
      <c r="Q75" s="22" t="s">
        <v>2271</v>
      </c>
      <c r="R75" s="22" t="s">
        <v>2320</v>
      </c>
      <c r="S75" s="21" t="s">
        <v>2322</v>
      </c>
      <c r="T75" s="8" t="s">
        <v>237</v>
      </c>
      <c r="U75" s="8" t="s">
        <v>2323</v>
      </c>
      <c r="V75" s="21">
        <v>749877</v>
      </c>
      <c r="W75" s="21">
        <v>67590</v>
      </c>
      <c r="X75" s="21">
        <v>28578</v>
      </c>
      <c r="Y75" s="21">
        <v>12732</v>
      </c>
      <c r="Z75" s="21">
        <v>500</v>
      </c>
      <c r="AA75" s="21" t="s">
        <v>2253</v>
      </c>
      <c r="AB75" s="21">
        <v>0</v>
      </c>
      <c r="AC75" s="21">
        <v>3853</v>
      </c>
      <c r="AD75" s="21">
        <v>0</v>
      </c>
      <c r="AE75" s="21">
        <v>0</v>
      </c>
      <c r="AF75" s="21">
        <v>22500</v>
      </c>
      <c r="AG75" s="21">
        <v>0</v>
      </c>
      <c r="AH75" s="21">
        <v>0</v>
      </c>
      <c r="AI75" s="21">
        <v>0</v>
      </c>
      <c r="AJ75" s="21">
        <v>5000</v>
      </c>
      <c r="AK75" s="21">
        <v>0</v>
      </c>
      <c r="AL75" s="21">
        <v>0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10000</v>
      </c>
      <c r="AS75" s="21">
        <v>0</v>
      </c>
      <c r="AT75" s="21">
        <v>0</v>
      </c>
      <c r="AU75" s="21">
        <v>2500</v>
      </c>
      <c r="AV75" s="21">
        <v>0</v>
      </c>
      <c r="AW75" s="21"/>
      <c r="AX75" s="21">
        <v>8130</v>
      </c>
      <c r="AY75" s="21">
        <f t="shared" si="11"/>
        <v>8630</v>
      </c>
      <c r="AZ75" s="21">
        <f t="shared" si="12"/>
        <v>10630</v>
      </c>
      <c r="BA75" s="21">
        <f t="shared" si="13"/>
        <v>8630</v>
      </c>
      <c r="BB75" s="21">
        <v>0</v>
      </c>
      <c r="BC75" s="21">
        <v>2000</v>
      </c>
      <c r="BD75" s="21">
        <v>0</v>
      </c>
      <c r="BE75" s="21">
        <v>0</v>
      </c>
      <c r="BF75" s="21">
        <f t="shared" si="14"/>
        <v>860000</v>
      </c>
      <c r="BG75" s="21">
        <v>720023</v>
      </c>
      <c r="BH75" s="21" t="s">
        <v>39</v>
      </c>
      <c r="BI75" s="21" t="s">
        <v>2253</v>
      </c>
      <c r="BJ75" s="21" t="s">
        <v>2253</v>
      </c>
      <c r="BK75" s="21">
        <v>13344772</v>
      </c>
      <c r="BL75" s="21">
        <f>2100+120000</f>
        <v>122100</v>
      </c>
      <c r="BM75" s="21">
        <f t="shared" si="15"/>
        <v>17877</v>
      </c>
      <c r="BN75" s="25">
        <v>45470</v>
      </c>
      <c r="BO75" s="21"/>
      <c r="BP75" s="21"/>
      <c r="BQ75" s="21"/>
      <c r="BR75" s="21"/>
      <c r="BS75" s="21"/>
      <c r="BT75" s="21"/>
      <c r="BU75" s="26"/>
      <c r="BV75" s="27"/>
      <c r="BW75" s="27"/>
      <c r="BX75" s="27">
        <v>0</v>
      </c>
      <c r="BY75" s="27">
        <v>0</v>
      </c>
      <c r="BZ75" s="27">
        <v>0</v>
      </c>
      <c r="CA75" s="27" t="str">
        <f t="shared" si="16"/>
        <v>NO</v>
      </c>
      <c r="CB75" s="27"/>
      <c r="CC75" s="27"/>
      <c r="CD75" s="27"/>
      <c r="CE75" s="27"/>
      <c r="CF75" s="27"/>
      <c r="CG75" s="28"/>
    </row>
    <row r="76" spans="1:85" s="20" customFormat="1" ht="15.75" hidden="1" customHeight="1" x14ac:dyDescent="0.3">
      <c r="A76" s="21">
        <v>39</v>
      </c>
      <c r="B76" s="22" t="s">
        <v>2424</v>
      </c>
      <c r="C76" s="22">
        <v>105755</v>
      </c>
      <c r="D76" s="23" t="s">
        <v>2425</v>
      </c>
      <c r="E76" s="24">
        <v>45453</v>
      </c>
      <c r="F76" s="24">
        <v>45454</v>
      </c>
      <c r="G76" s="22" t="s">
        <v>2320</v>
      </c>
      <c r="H76" s="22" t="s">
        <v>2426</v>
      </c>
      <c r="I76" s="22" t="s">
        <v>2249</v>
      </c>
      <c r="J76" s="22" t="s">
        <v>2427</v>
      </c>
      <c r="K76" s="22"/>
      <c r="L76" s="22"/>
      <c r="M76" s="24" t="s">
        <v>2304</v>
      </c>
      <c r="N76" s="24" t="s">
        <v>2304</v>
      </c>
      <c r="O76" s="22" t="s">
        <v>2392</v>
      </c>
      <c r="P76" s="22">
        <v>600000</v>
      </c>
      <c r="Q76" s="22" t="s">
        <v>2284</v>
      </c>
      <c r="R76" s="22" t="s">
        <v>2428</v>
      </c>
      <c r="S76" s="21" t="s">
        <v>2322</v>
      </c>
      <c r="T76" s="8" t="s">
        <v>237</v>
      </c>
      <c r="U76" s="8" t="s">
        <v>2323</v>
      </c>
      <c r="V76" s="21">
        <v>757127</v>
      </c>
      <c r="W76" s="21">
        <v>68170</v>
      </c>
      <c r="X76" s="21">
        <v>32000</v>
      </c>
      <c r="Y76" s="21">
        <v>12862</v>
      </c>
      <c r="Z76" s="21">
        <v>500</v>
      </c>
      <c r="AA76" s="21" t="s">
        <v>2253</v>
      </c>
      <c r="AB76" s="21">
        <v>0</v>
      </c>
      <c r="AC76" s="21">
        <v>3670</v>
      </c>
      <c r="AD76" s="21">
        <v>0</v>
      </c>
      <c r="AE76" s="21">
        <v>0</v>
      </c>
      <c r="AF76" s="21">
        <v>11240</v>
      </c>
      <c r="AG76" s="21">
        <v>0</v>
      </c>
      <c r="AH76" s="21">
        <v>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21">
        <v>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/>
      <c r="AX76" s="21">
        <v>10000</v>
      </c>
      <c r="AY76" s="21">
        <f t="shared" si="11"/>
        <v>8000</v>
      </c>
      <c r="AZ76" s="21">
        <f t="shared" si="12"/>
        <v>10000</v>
      </c>
      <c r="BA76" s="21">
        <f t="shared" si="13"/>
        <v>8000</v>
      </c>
      <c r="BB76" s="21">
        <v>0</v>
      </c>
      <c r="BC76" s="21">
        <v>2000</v>
      </c>
      <c r="BD76" s="21">
        <v>0</v>
      </c>
      <c r="BE76" s="21">
        <v>0</v>
      </c>
      <c r="BF76" s="21">
        <f t="shared" si="14"/>
        <v>875569</v>
      </c>
      <c r="BG76" s="21">
        <v>850000</v>
      </c>
      <c r="BH76" s="21" t="s">
        <v>2287</v>
      </c>
      <c r="BI76" s="21" t="s">
        <v>2260</v>
      </c>
      <c r="BJ76" s="21" t="s">
        <v>2260</v>
      </c>
      <c r="BK76" s="21">
        <v>0</v>
      </c>
      <c r="BL76" s="21">
        <f>11000+14500</f>
        <v>25500</v>
      </c>
      <c r="BM76" s="21">
        <f t="shared" si="15"/>
        <v>69</v>
      </c>
      <c r="BN76" s="25"/>
      <c r="BO76" s="21"/>
      <c r="BP76" s="21"/>
      <c r="BQ76" s="21"/>
      <c r="BR76" s="21"/>
      <c r="BS76" s="21"/>
      <c r="BT76" s="21"/>
      <c r="BU76" s="26"/>
      <c r="BV76" s="27"/>
      <c r="BW76" s="27"/>
      <c r="BX76" s="27">
        <v>0</v>
      </c>
      <c r="BY76" s="27">
        <v>0</v>
      </c>
      <c r="BZ76" s="27">
        <v>0</v>
      </c>
      <c r="CA76" s="27" t="str">
        <f t="shared" si="16"/>
        <v>NO</v>
      </c>
      <c r="CB76" s="27"/>
      <c r="CC76" s="27"/>
      <c r="CD76" s="27"/>
      <c r="CE76" s="27"/>
      <c r="CF76" s="27"/>
      <c r="CG76" s="28"/>
    </row>
    <row r="77" spans="1:85" s="20" customFormat="1" ht="15.75" hidden="1" customHeight="1" x14ac:dyDescent="0.3">
      <c r="A77" s="21">
        <v>56</v>
      </c>
      <c r="B77" s="22" t="s">
        <v>2488</v>
      </c>
      <c r="C77" s="22" t="s">
        <v>262</v>
      </c>
      <c r="D77" s="23" t="s">
        <v>2489</v>
      </c>
      <c r="E77" s="24">
        <v>45455</v>
      </c>
      <c r="F77" s="24">
        <v>45460</v>
      </c>
      <c r="G77" s="22" t="s">
        <v>2320</v>
      </c>
      <c r="H77" s="22" t="s">
        <v>2320</v>
      </c>
      <c r="I77" s="22" t="s">
        <v>2249</v>
      </c>
      <c r="J77" s="22" t="s">
        <v>259</v>
      </c>
      <c r="K77" s="22"/>
      <c r="L77" s="22"/>
      <c r="M77" s="24" t="s">
        <v>2362</v>
      </c>
      <c r="N77" s="24" t="s">
        <v>2362</v>
      </c>
      <c r="O77" s="22" t="s">
        <v>2321</v>
      </c>
      <c r="P77" s="22">
        <v>582000</v>
      </c>
      <c r="Q77" s="22" t="s">
        <v>2271</v>
      </c>
      <c r="R77" s="22" t="s">
        <v>285</v>
      </c>
      <c r="S77" s="30" t="s">
        <v>2322</v>
      </c>
      <c r="T77" s="8" t="s">
        <v>237</v>
      </c>
      <c r="U77" s="141" t="s">
        <v>2323</v>
      </c>
      <c r="V77" s="21">
        <v>600385</v>
      </c>
      <c r="W77" s="21">
        <v>56531</v>
      </c>
      <c r="X77" s="21">
        <v>21500</v>
      </c>
      <c r="Y77" s="21">
        <v>9346</v>
      </c>
      <c r="Z77" s="21">
        <v>500</v>
      </c>
      <c r="AA77" s="21" t="s">
        <v>2253</v>
      </c>
      <c r="AB77" s="21">
        <v>0</v>
      </c>
      <c r="AC77" s="21">
        <v>2903</v>
      </c>
      <c r="AD77" s="21">
        <v>0</v>
      </c>
      <c r="AE77" s="21">
        <v>0</v>
      </c>
      <c r="AF77" s="21">
        <v>30000</v>
      </c>
      <c r="AG77" s="21">
        <v>0</v>
      </c>
      <c r="AH77" s="21">
        <v>0</v>
      </c>
      <c r="AI77" s="21">
        <v>0</v>
      </c>
      <c r="AJ77" s="21">
        <v>10000</v>
      </c>
      <c r="AK77" s="21">
        <v>0</v>
      </c>
      <c r="AL77" s="21">
        <v>0</v>
      </c>
      <c r="AM77" s="21">
        <v>0</v>
      </c>
      <c r="AN77" s="21">
        <v>0</v>
      </c>
      <c r="AO77" s="21">
        <v>0</v>
      </c>
      <c r="AP77" s="21">
        <v>0</v>
      </c>
      <c r="AQ77" s="21">
        <v>0</v>
      </c>
      <c r="AR77" s="21">
        <v>25000</v>
      </c>
      <c r="AS77" s="21">
        <v>0</v>
      </c>
      <c r="AT77" s="21">
        <v>0</v>
      </c>
      <c r="AU77" s="21">
        <v>0</v>
      </c>
      <c r="AV77" s="21">
        <v>0</v>
      </c>
      <c r="AW77" s="21"/>
      <c r="AX77" s="21">
        <v>16165</v>
      </c>
      <c r="AY77" s="21">
        <f t="shared" si="11"/>
        <v>14165</v>
      </c>
      <c r="AZ77" s="21">
        <f t="shared" si="12"/>
        <v>16165</v>
      </c>
      <c r="BA77" s="21">
        <f t="shared" si="13"/>
        <v>14165</v>
      </c>
      <c r="BB77" s="21">
        <v>0</v>
      </c>
      <c r="BC77" s="21">
        <v>2000</v>
      </c>
      <c r="BD77" s="21">
        <v>0</v>
      </c>
      <c r="BE77" s="21">
        <v>0</v>
      </c>
      <c r="BF77" s="21">
        <f t="shared" si="14"/>
        <v>670000</v>
      </c>
      <c r="BG77" s="21">
        <v>558700</v>
      </c>
      <c r="BH77" s="21" t="s">
        <v>39</v>
      </c>
      <c r="BI77" s="21" t="s">
        <v>2253</v>
      </c>
      <c r="BJ77" s="21" t="s">
        <v>2253</v>
      </c>
      <c r="BK77" s="21">
        <v>13444269</v>
      </c>
      <c r="BL77" s="21">
        <f>2100+1100+30000+48000+2000</f>
        <v>83200</v>
      </c>
      <c r="BM77" s="21">
        <f t="shared" si="15"/>
        <v>28100</v>
      </c>
      <c r="BN77" s="25">
        <v>45473</v>
      </c>
      <c r="BO77" s="142"/>
      <c r="BP77" s="21" t="s">
        <v>2253</v>
      </c>
      <c r="BQ77" s="21"/>
      <c r="BR77" s="21"/>
      <c r="BS77" s="21"/>
      <c r="BT77" s="21"/>
      <c r="BU77" s="26"/>
      <c r="BV77" s="27"/>
      <c r="BW77" s="27"/>
      <c r="BX77" s="27">
        <v>0</v>
      </c>
      <c r="BY77" s="27">
        <v>0</v>
      </c>
      <c r="BZ77" s="27">
        <v>0</v>
      </c>
      <c r="CA77" s="27" t="str">
        <f t="shared" si="16"/>
        <v>NO</v>
      </c>
      <c r="CB77" s="27"/>
      <c r="CC77" s="27"/>
      <c r="CD77" s="27"/>
      <c r="CE77" s="27"/>
      <c r="CF77" s="27"/>
      <c r="CG77" s="28"/>
    </row>
    <row r="78" spans="1:85" s="20" customFormat="1" ht="15.75" hidden="1" customHeight="1" x14ac:dyDescent="0.3">
      <c r="A78" s="21">
        <v>110</v>
      </c>
      <c r="B78" s="22" t="s">
        <v>2663</v>
      </c>
      <c r="C78" s="22">
        <v>899983</v>
      </c>
      <c r="D78" s="23" t="s">
        <v>2664</v>
      </c>
      <c r="E78" s="24">
        <v>45465</v>
      </c>
      <c r="F78" s="24">
        <v>45468</v>
      </c>
      <c r="G78" s="22" t="s">
        <v>2320</v>
      </c>
      <c r="H78" s="22" t="s">
        <v>2320</v>
      </c>
      <c r="I78" s="22" t="s">
        <v>2249</v>
      </c>
      <c r="J78" s="22" t="s">
        <v>297</v>
      </c>
      <c r="K78" s="22"/>
      <c r="L78" s="22"/>
      <c r="M78" s="24" t="s">
        <v>248</v>
      </c>
      <c r="N78" s="24" t="s">
        <v>248</v>
      </c>
      <c r="O78" s="22" t="s">
        <v>2665</v>
      </c>
      <c r="P78" s="22">
        <v>718000</v>
      </c>
      <c r="Q78" s="22" t="s">
        <v>2251</v>
      </c>
      <c r="R78" s="22" t="s">
        <v>2320</v>
      </c>
      <c r="S78" s="21" t="s">
        <v>2322</v>
      </c>
      <c r="T78" s="8" t="s">
        <v>237</v>
      </c>
      <c r="U78" s="8" t="s">
        <v>2323</v>
      </c>
      <c r="V78" s="21">
        <v>844877</v>
      </c>
      <c r="W78" s="21">
        <v>75190</v>
      </c>
      <c r="X78" s="21">
        <v>31660</v>
      </c>
      <c r="Y78" s="21">
        <v>14349</v>
      </c>
      <c r="Z78" s="21">
        <v>500</v>
      </c>
      <c r="AA78" s="21" t="s">
        <v>2253</v>
      </c>
      <c r="AB78" s="21">
        <v>0</v>
      </c>
      <c r="AC78" s="21">
        <v>4095</v>
      </c>
      <c r="AD78" s="21">
        <v>0</v>
      </c>
      <c r="AE78" s="21">
        <v>0</v>
      </c>
      <c r="AF78" s="21">
        <v>29240</v>
      </c>
      <c r="AG78" s="21">
        <v>0</v>
      </c>
      <c r="AH78" s="21">
        <v>0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21">
        <v>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/>
      <c r="AX78" s="21">
        <v>5000</v>
      </c>
      <c r="AY78" s="21">
        <f t="shared" si="11"/>
        <v>3000</v>
      </c>
      <c r="AZ78" s="21">
        <f t="shared" si="12"/>
        <v>5000</v>
      </c>
      <c r="BA78" s="21">
        <f t="shared" si="13"/>
        <v>3000</v>
      </c>
      <c r="BB78" s="21">
        <v>0</v>
      </c>
      <c r="BC78" s="21">
        <v>2000</v>
      </c>
      <c r="BD78" s="21">
        <v>0</v>
      </c>
      <c r="BE78" s="21">
        <v>0</v>
      </c>
      <c r="BF78" s="21">
        <f t="shared" si="14"/>
        <v>994911</v>
      </c>
      <c r="BG78" s="21">
        <v>693296</v>
      </c>
      <c r="BH78" s="21" t="s">
        <v>39</v>
      </c>
      <c r="BI78" s="21" t="s">
        <v>2253</v>
      </c>
      <c r="BJ78" s="21" t="s">
        <v>2253</v>
      </c>
      <c r="BK78" s="29">
        <v>1307353</v>
      </c>
      <c r="BL78" s="21">
        <f>2100+198000+80000+19000+3000</f>
        <v>302100</v>
      </c>
      <c r="BM78" s="21">
        <f t="shared" si="15"/>
        <v>-485</v>
      </c>
      <c r="BN78" s="25"/>
      <c r="BO78" s="21"/>
      <c r="BP78" s="21" t="s">
        <v>2253</v>
      </c>
      <c r="BQ78" s="21"/>
      <c r="BR78" s="21"/>
      <c r="BS78" s="21"/>
      <c r="BT78" s="21"/>
      <c r="BU78" s="26"/>
      <c r="BV78" s="27"/>
      <c r="BW78" s="27"/>
      <c r="BX78" s="27">
        <v>0</v>
      </c>
      <c r="BY78" s="27">
        <v>0</v>
      </c>
      <c r="BZ78" s="27">
        <v>0</v>
      </c>
      <c r="CA78" s="27" t="str">
        <f t="shared" si="16"/>
        <v>NO</v>
      </c>
      <c r="CB78" s="27"/>
      <c r="CC78" s="27"/>
      <c r="CD78" s="27"/>
      <c r="CE78" s="27"/>
      <c r="CF78" s="27"/>
      <c r="CG78" s="28"/>
    </row>
    <row r="79" spans="1:85" s="20" customFormat="1" ht="15.75" hidden="1" customHeight="1" x14ac:dyDescent="0.3">
      <c r="A79" s="21">
        <v>129</v>
      </c>
      <c r="B79" s="22" t="s">
        <v>2727</v>
      </c>
      <c r="C79" s="22">
        <v>422300</v>
      </c>
      <c r="D79" s="23" t="s">
        <v>2728</v>
      </c>
      <c r="E79" s="24">
        <v>45468</v>
      </c>
      <c r="F79" s="24">
        <v>45470</v>
      </c>
      <c r="G79" s="22" t="s">
        <v>2320</v>
      </c>
      <c r="H79" s="22" t="s">
        <v>2320</v>
      </c>
      <c r="I79" s="22" t="s">
        <v>2249</v>
      </c>
      <c r="J79" s="22" t="s">
        <v>321</v>
      </c>
      <c r="K79" s="22"/>
      <c r="L79" s="22"/>
      <c r="M79" s="24" t="s">
        <v>2275</v>
      </c>
      <c r="N79" s="22" t="s">
        <v>2990</v>
      </c>
      <c r="O79" s="22" t="s">
        <v>2321</v>
      </c>
      <c r="P79" s="22">
        <v>900000</v>
      </c>
      <c r="Q79" s="22" t="s">
        <v>2251</v>
      </c>
      <c r="R79" s="22" t="s">
        <v>2320</v>
      </c>
      <c r="S79" s="21" t="s">
        <v>2322</v>
      </c>
      <c r="T79" s="8" t="s">
        <v>237</v>
      </c>
      <c r="U79" s="8" t="s">
        <v>2323</v>
      </c>
      <c r="V79" s="21">
        <v>970385</v>
      </c>
      <c r="W79" s="21">
        <v>85331</v>
      </c>
      <c r="X79" s="21">
        <v>32612</v>
      </c>
      <c r="Y79" s="21">
        <v>16485</v>
      </c>
      <c r="Z79" s="21">
        <v>500</v>
      </c>
      <c r="AA79" s="21" t="s">
        <v>2253</v>
      </c>
      <c r="AB79" s="21">
        <v>0</v>
      </c>
      <c r="AC79" s="21">
        <v>4696</v>
      </c>
      <c r="AD79" s="21">
        <v>0</v>
      </c>
      <c r="AE79" s="21">
        <v>0</v>
      </c>
      <c r="AF79" s="21">
        <v>26000</v>
      </c>
      <c r="AG79" s="21">
        <v>0</v>
      </c>
      <c r="AH79" s="21">
        <v>0</v>
      </c>
      <c r="AI79" s="21">
        <v>0</v>
      </c>
      <c r="AJ79" s="21">
        <v>10000</v>
      </c>
      <c r="AK79" s="21">
        <v>0</v>
      </c>
      <c r="AL79" s="21">
        <v>0</v>
      </c>
      <c r="AM79" s="21">
        <v>0</v>
      </c>
      <c r="AN79" s="21">
        <v>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3000</v>
      </c>
      <c r="AV79" s="21">
        <v>0</v>
      </c>
      <c r="AW79" s="21"/>
      <c r="AX79" s="29">
        <f>9009+5000</f>
        <v>14009</v>
      </c>
      <c r="AY79" s="21">
        <f t="shared" si="11"/>
        <v>15009</v>
      </c>
      <c r="AZ79" s="21">
        <f t="shared" si="12"/>
        <v>17009</v>
      </c>
      <c r="BA79" s="21">
        <f t="shared" si="13"/>
        <v>15009</v>
      </c>
      <c r="BB79" s="21">
        <v>0</v>
      </c>
      <c r="BC79" s="21">
        <v>2000</v>
      </c>
      <c r="BD79" s="21">
        <v>0</v>
      </c>
      <c r="BE79" s="21">
        <v>0</v>
      </c>
      <c r="BF79" s="21">
        <f t="shared" si="14"/>
        <v>1109000</v>
      </c>
      <c r="BG79" s="21">
        <v>876671</v>
      </c>
      <c r="BH79" s="21" t="s">
        <v>39</v>
      </c>
      <c r="BI79" s="21" t="s">
        <v>2253</v>
      </c>
      <c r="BJ79" s="21" t="s">
        <v>2253</v>
      </c>
      <c r="BK79" s="21">
        <v>1350441</v>
      </c>
      <c r="BL79" s="21">
        <f>20000+50000+162330</f>
        <v>232330</v>
      </c>
      <c r="BM79" s="21">
        <f t="shared" si="15"/>
        <v>-1</v>
      </c>
      <c r="BN79" s="25"/>
      <c r="BO79" s="21"/>
      <c r="BP79" s="21"/>
      <c r="BQ79" s="21"/>
      <c r="BR79" s="21"/>
      <c r="BS79" s="21"/>
      <c r="BT79" s="21"/>
      <c r="BU79" s="26"/>
      <c r="BV79" s="27"/>
      <c r="BW79" s="27"/>
      <c r="BX79" s="27">
        <v>0</v>
      </c>
      <c r="BY79" s="27">
        <v>0</v>
      </c>
      <c r="BZ79" s="27">
        <v>0</v>
      </c>
      <c r="CA79" s="27" t="str">
        <f t="shared" si="16"/>
        <v>NO</v>
      </c>
      <c r="CB79" s="27"/>
      <c r="CC79" s="27"/>
      <c r="CD79" s="27"/>
      <c r="CE79" s="27"/>
      <c r="CF79" s="27"/>
      <c r="CG79" s="28"/>
    </row>
    <row r="80" spans="1:85" s="20" customFormat="1" ht="15.75" hidden="1" customHeight="1" x14ac:dyDescent="0.3">
      <c r="A80" s="21">
        <v>132</v>
      </c>
      <c r="B80" s="22" t="s">
        <v>2737</v>
      </c>
      <c r="C80" s="22" t="s">
        <v>344</v>
      </c>
      <c r="D80" s="23" t="s">
        <v>2738</v>
      </c>
      <c r="E80" s="24">
        <v>45469</v>
      </c>
      <c r="F80" s="24">
        <v>45469</v>
      </c>
      <c r="G80" s="22" t="s">
        <v>2320</v>
      </c>
      <c r="H80" s="22" t="s">
        <v>2320</v>
      </c>
      <c r="I80" s="22" t="s">
        <v>2249</v>
      </c>
      <c r="J80" s="22" t="s">
        <v>342</v>
      </c>
      <c r="K80" s="22"/>
      <c r="L80" s="22"/>
      <c r="M80" s="24" t="s">
        <v>2362</v>
      </c>
      <c r="N80" s="24" t="s">
        <v>2362</v>
      </c>
      <c r="O80" s="22" t="s">
        <v>2321</v>
      </c>
      <c r="P80" s="22">
        <v>0</v>
      </c>
      <c r="Q80" s="22" t="s">
        <v>77</v>
      </c>
      <c r="R80" s="22" t="s">
        <v>2320</v>
      </c>
      <c r="S80" s="21" t="s">
        <v>2322</v>
      </c>
      <c r="T80" s="8" t="s">
        <v>237</v>
      </c>
      <c r="U80" s="8" t="s">
        <v>2323</v>
      </c>
      <c r="V80" s="21">
        <v>600385</v>
      </c>
      <c r="W80" s="21">
        <v>56531</v>
      </c>
      <c r="X80" s="21">
        <v>21500</v>
      </c>
      <c r="Y80" s="21">
        <v>9346</v>
      </c>
      <c r="Z80" s="21">
        <v>500</v>
      </c>
      <c r="AA80" s="21" t="s">
        <v>2253</v>
      </c>
      <c r="AB80" s="21">
        <v>0</v>
      </c>
      <c r="AC80" s="21">
        <v>2903</v>
      </c>
      <c r="AD80" s="21">
        <v>0</v>
      </c>
      <c r="AE80" s="21">
        <v>0</v>
      </c>
      <c r="AF80" s="21">
        <v>51000</v>
      </c>
      <c r="AG80" s="21">
        <v>0</v>
      </c>
      <c r="AH80" s="21">
        <v>0</v>
      </c>
      <c r="AI80" s="21">
        <v>0</v>
      </c>
      <c r="AJ80" s="21">
        <v>10000</v>
      </c>
      <c r="AK80" s="21">
        <v>0</v>
      </c>
      <c r="AL80" s="21">
        <v>0</v>
      </c>
      <c r="AM80" s="21">
        <v>0</v>
      </c>
      <c r="AN80" s="21">
        <v>0</v>
      </c>
      <c r="AO80" s="21">
        <v>0</v>
      </c>
      <c r="AP80" s="21">
        <v>0</v>
      </c>
      <c r="AQ80" s="21">
        <v>0</v>
      </c>
      <c r="AR80" s="21">
        <v>25000</v>
      </c>
      <c r="AS80" s="21">
        <v>0</v>
      </c>
      <c r="AT80" s="21">
        <v>0</v>
      </c>
      <c r="AU80" s="21">
        <v>0</v>
      </c>
      <c r="AV80" s="21">
        <v>0</v>
      </c>
      <c r="AW80" s="21"/>
      <c r="AX80" s="29">
        <f>12165+5000</f>
        <v>17165</v>
      </c>
      <c r="AY80" s="21">
        <f t="shared" si="11"/>
        <v>15165</v>
      </c>
      <c r="AZ80" s="21">
        <f t="shared" si="12"/>
        <v>17165</v>
      </c>
      <c r="BA80" s="21">
        <f t="shared" si="13"/>
        <v>15165</v>
      </c>
      <c r="BB80" s="21">
        <v>0</v>
      </c>
      <c r="BC80" s="21">
        <v>2000</v>
      </c>
      <c r="BD80" s="21">
        <v>0</v>
      </c>
      <c r="BE80" s="21">
        <v>0</v>
      </c>
      <c r="BF80" s="21">
        <f t="shared" si="14"/>
        <v>690000</v>
      </c>
      <c r="BG80" s="21">
        <v>0</v>
      </c>
      <c r="BH80" s="21" t="s">
        <v>2287</v>
      </c>
      <c r="BI80" s="21" t="s">
        <v>2260</v>
      </c>
      <c r="BJ80" s="21" t="s">
        <v>2260</v>
      </c>
      <c r="BK80" s="21">
        <v>0</v>
      </c>
      <c r="BL80" s="21">
        <f>485000+1100+190000+13900</f>
        <v>690000</v>
      </c>
      <c r="BM80" s="21">
        <f t="shared" si="15"/>
        <v>0</v>
      </c>
      <c r="BN80" s="25"/>
      <c r="BO80" s="21"/>
      <c r="BP80" s="21"/>
      <c r="BQ80" s="21"/>
      <c r="BR80" s="21"/>
      <c r="BS80" s="21"/>
      <c r="BT80" s="21"/>
      <c r="BU80" s="26"/>
      <c r="BV80" s="27"/>
      <c r="BW80" s="27"/>
      <c r="BX80" s="27">
        <v>0</v>
      </c>
      <c r="BY80" s="27">
        <v>0</v>
      </c>
      <c r="BZ80" s="27">
        <v>0</v>
      </c>
      <c r="CA80" s="27" t="str">
        <f t="shared" si="16"/>
        <v>NO</v>
      </c>
      <c r="CB80" s="27"/>
      <c r="CC80" s="27"/>
      <c r="CD80" s="27"/>
      <c r="CE80" s="27"/>
      <c r="CF80" s="27"/>
      <c r="CG80" s="28"/>
    </row>
    <row r="81" spans="1:85" s="20" customFormat="1" ht="15.75" hidden="1" customHeight="1" x14ac:dyDescent="0.3">
      <c r="A81" s="21">
        <v>135</v>
      </c>
      <c r="B81" s="22" t="s">
        <v>2746</v>
      </c>
      <c r="C81" s="22">
        <v>899705</v>
      </c>
      <c r="D81" s="23" t="s">
        <v>2747</v>
      </c>
      <c r="E81" s="24">
        <v>45469</v>
      </c>
      <c r="F81" s="24">
        <v>45470</v>
      </c>
      <c r="G81" s="22" t="s">
        <v>2320</v>
      </c>
      <c r="H81" s="22" t="s">
        <v>2320</v>
      </c>
      <c r="I81" s="22" t="s">
        <v>2249</v>
      </c>
      <c r="J81" s="22" t="s">
        <v>2748</v>
      </c>
      <c r="K81" s="22"/>
      <c r="L81" s="22"/>
      <c r="M81" s="24" t="s">
        <v>248</v>
      </c>
      <c r="N81" s="24" t="s">
        <v>248</v>
      </c>
      <c r="O81" s="22" t="s">
        <v>2717</v>
      </c>
      <c r="P81" s="22">
        <v>600000</v>
      </c>
      <c r="Q81" s="22" t="s">
        <v>2251</v>
      </c>
      <c r="R81" s="22" t="s">
        <v>2320</v>
      </c>
      <c r="S81" s="21" t="s">
        <v>2322</v>
      </c>
      <c r="T81" s="8" t="s">
        <v>237</v>
      </c>
      <c r="U81" s="8" t="s">
        <v>2323</v>
      </c>
      <c r="V81" s="21">
        <v>844877</v>
      </c>
      <c r="W81" s="21">
        <v>75190</v>
      </c>
      <c r="X81" s="21">
        <v>31160</v>
      </c>
      <c r="Y81" s="21">
        <v>14349</v>
      </c>
      <c r="Z81" s="21">
        <v>500</v>
      </c>
      <c r="AA81" s="21" t="s">
        <v>2253</v>
      </c>
      <c r="AB81" s="21">
        <v>0</v>
      </c>
      <c r="AC81" s="21">
        <v>4095</v>
      </c>
      <c r="AD81" s="21">
        <v>0</v>
      </c>
      <c r="AE81" s="21">
        <v>0</v>
      </c>
      <c r="AF81" s="21">
        <v>29240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/>
      <c r="AX81" s="21">
        <v>5500</v>
      </c>
      <c r="AY81" s="21">
        <f t="shared" si="11"/>
        <v>3500</v>
      </c>
      <c r="AZ81" s="21">
        <f t="shared" si="12"/>
        <v>5500</v>
      </c>
      <c r="BA81" s="21">
        <f t="shared" si="13"/>
        <v>3500</v>
      </c>
      <c r="BB81" s="21">
        <v>0</v>
      </c>
      <c r="BC81" s="21">
        <v>2000</v>
      </c>
      <c r="BD81" s="21">
        <v>0</v>
      </c>
      <c r="BE81" s="21">
        <v>0</v>
      </c>
      <c r="BF81" s="21">
        <f t="shared" si="14"/>
        <v>993911</v>
      </c>
      <c r="BG81" s="21">
        <v>585981</v>
      </c>
      <c r="BH81" s="21" t="s">
        <v>39</v>
      </c>
      <c r="BI81" s="21" t="s">
        <v>2253</v>
      </c>
      <c r="BJ81" s="21" t="s">
        <v>2253</v>
      </c>
      <c r="BK81" s="21">
        <v>1344524</v>
      </c>
      <c r="BL81" s="21">
        <f>2100+160000+198000+47830</f>
        <v>407930</v>
      </c>
      <c r="BM81" s="21">
        <f t="shared" si="15"/>
        <v>0</v>
      </c>
      <c r="BN81" s="25"/>
      <c r="BO81" s="21"/>
      <c r="BP81" s="21"/>
      <c r="BQ81" s="21"/>
      <c r="BR81" s="21"/>
      <c r="BS81" s="21"/>
      <c r="BT81" s="21"/>
      <c r="BU81" s="26"/>
      <c r="BV81" s="27"/>
      <c r="BW81" s="27"/>
      <c r="BX81" s="27">
        <v>0</v>
      </c>
      <c r="BY81" s="27">
        <v>0</v>
      </c>
      <c r="BZ81" s="27">
        <v>0</v>
      </c>
      <c r="CA81" s="27" t="str">
        <f t="shared" si="16"/>
        <v>NO</v>
      </c>
      <c r="CB81" s="27"/>
      <c r="CC81" s="27"/>
      <c r="CD81" s="27"/>
      <c r="CE81" s="27"/>
      <c r="CF81" s="27"/>
      <c r="CG81" s="28"/>
    </row>
    <row r="82" spans="1:85" s="20" customFormat="1" ht="15.75" hidden="1" customHeight="1" x14ac:dyDescent="0.3">
      <c r="A82" s="21">
        <v>38</v>
      </c>
      <c r="B82" s="22" t="s">
        <v>2421</v>
      </c>
      <c r="C82" s="22">
        <v>892048</v>
      </c>
      <c r="D82" s="23" t="s">
        <v>2422</v>
      </c>
      <c r="E82" s="24">
        <v>45452</v>
      </c>
      <c r="F82" s="24">
        <v>45453</v>
      </c>
      <c r="G82" s="22" t="s">
        <v>2320</v>
      </c>
      <c r="H82" s="22" t="s">
        <v>2320</v>
      </c>
      <c r="I82" s="22" t="s">
        <v>2249</v>
      </c>
      <c r="J82" s="22" t="s">
        <v>246</v>
      </c>
      <c r="K82" s="22"/>
      <c r="L82" s="22"/>
      <c r="M82" s="24" t="s">
        <v>248</v>
      </c>
      <c r="N82" s="24" t="s">
        <v>248</v>
      </c>
      <c r="O82" s="22" t="s">
        <v>2264</v>
      </c>
      <c r="P82" s="22">
        <v>700000</v>
      </c>
      <c r="Q82" s="22" t="s">
        <v>2277</v>
      </c>
      <c r="R82" s="22" t="s">
        <v>2423</v>
      </c>
      <c r="S82" s="21" t="s">
        <v>2323</v>
      </c>
      <c r="T82" s="8" t="s">
        <v>215</v>
      </c>
      <c r="U82" s="8" t="s">
        <v>2323</v>
      </c>
      <c r="V82" s="21">
        <v>844877</v>
      </c>
      <c r="W82" s="21">
        <v>75190</v>
      </c>
      <c r="X82" s="21">
        <v>31160</v>
      </c>
      <c r="Y82" s="21">
        <v>14349</v>
      </c>
      <c r="Z82" s="21">
        <v>500</v>
      </c>
      <c r="AA82" s="21" t="s">
        <v>2253</v>
      </c>
      <c r="AB82" s="21">
        <v>0</v>
      </c>
      <c r="AC82" s="21">
        <v>4255</v>
      </c>
      <c r="AD82" s="21">
        <v>0</v>
      </c>
      <c r="AE82" s="21">
        <v>0</v>
      </c>
      <c r="AF82" s="21">
        <v>16000</v>
      </c>
      <c r="AG82" s="21">
        <v>0</v>
      </c>
      <c r="AH82" s="21">
        <v>0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21">
        <v>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/>
      <c r="AX82" s="21">
        <v>6331</v>
      </c>
      <c r="AY82" s="21">
        <f t="shared" si="11"/>
        <v>4331</v>
      </c>
      <c r="AZ82" s="21">
        <f t="shared" si="12"/>
        <v>6331</v>
      </c>
      <c r="BA82" s="21">
        <f t="shared" si="13"/>
        <v>4331</v>
      </c>
      <c r="BB82" s="21">
        <v>0</v>
      </c>
      <c r="BC82" s="21">
        <v>2000</v>
      </c>
      <c r="BD82" s="21">
        <v>0</v>
      </c>
      <c r="BE82" s="21">
        <v>0</v>
      </c>
      <c r="BF82" s="21">
        <f t="shared" si="14"/>
        <v>980000</v>
      </c>
      <c r="BG82" s="21">
        <v>700000</v>
      </c>
      <c r="BH82" s="21" t="s">
        <v>39</v>
      </c>
      <c r="BI82" s="21" t="s">
        <v>2253</v>
      </c>
      <c r="BJ82" s="21" t="s">
        <v>2253</v>
      </c>
      <c r="BK82" s="21">
        <v>28280063</v>
      </c>
      <c r="BL82" s="21">
        <f>2000+50000+145000+5000+16000</f>
        <v>218000</v>
      </c>
      <c r="BM82" s="21">
        <f t="shared" si="15"/>
        <v>62000</v>
      </c>
      <c r="BN82" s="25">
        <v>45463</v>
      </c>
      <c r="BO82" s="21"/>
      <c r="BP82" s="21"/>
      <c r="BQ82" s="21"/>
      <c r="BR82" s="21"/>
      <c r="BS82" s="21"/>
      <c r="BT82" s="21"/>
      <c r="BU82" s="26"/>
      <c r="BV82" s="27"/>
      <c r="BW82" s="27"/>
      <c r="BX82" s="27">
        <v>0</v>
      </c>
      <c r="BY82" s="27">
        <v>0</v>
      </c>
      <c r="BZ82" s="27">
        <v>0</v>
      </c>
      <c r="CA82" s="27" t="str">
        <f t="shared" si="16"/>
        <v>NO</v>
      </c>
      <c r="CB82" s="27"/>
      <c r="CC82" s="27"/>
      <c r="CD82" s="27"/>
      <c r="CE82" s="27"/>
      <c r="CF82" s="27"/>
      <c r="CG82" s="28"/>
    </row>
    <row r="83" spans="1:85" s="20" customFormat="1" ht="15.75" hidden="1" customHeight="1" x14ac:dyDescent="0.3">
      <c r="A83" s="21">
        <v>52</v>
      </c>
      <c r="B83" s="22" t="s">
        <v>2476</v>
      </c>
      <c r="C83" s="22">
        <v>291583</v>
      </c>
      <c r="D83" s="23" t="s">
        <v>2477</v>
      </c>
      <c r="E83" s="24">
        <v>45455</v>
      </c>
      <c r="F83" s="24">
        <v>45457</v>
      </c>
      <c r="G83" s="22" t="s">
        <v>2320</v>
      </c>
      <c r="H83" s="22" t="s">
        <v>2320</v>
      </c>
      <c r="I83" s="22" t="s">
        <v>2249</v>
      </c>
      <c r="J83" s="22" t="s">
        <v>2478</v>
      </c>
      <c r="K83" s="22"/>
      <c r="L83" s="22"/>
      <c r="M83" s="24" t="s">
        <v>2458</v>
      </c>
      <c r="N83" s="24" t="s">
        <v>2987</v>
      </c>
      <c r="O83" s="22" t="s">
        <v>2479</v>
      </c>
      <c r="P83" s="22">
        <v>535000</v>
      </c>
      <c r="Q83" s="22" t="s">
        <v>2327</v>
      </c>
      <c r="R83" s="22" t="s">
        <v>260</v>
      </c>
      <c r="S83" s="21" t="s">
        <v>2323</v>
      </c>
      <c r="T83" s="8" t="s">
        <v>215</v>
      </c>
      <c r="U83" s="8" t="s">
        <v>2323</v>
      </c>
      <c r="V83" s="21">
        <v>535885</v>
      </c>
      <c r="W83" s="21">
        <v>43675</v>
      </c>
      <c r="X83" s="21">
        <v>20100</v>
      </c>
      <c r="Y83" s="21">
        <v>8343</v>
      </c>
      <c r="Z83" s="21">
        <v>500</v>
      </c>
      <c r="AA83" s="21" t="s">
        <v>2253</v>
      </c>
      <c r="AB83" s="21">
        <v>0</v>
      </c>
      <c r="AC83" s="21">
        <v>2680</v>
      </c>
      <c r="AD83" s="21">
        <v>0</v>
      </c>
      <c r="AE83" s="21">
        <v>0</v>
      </c>
      <c r="AF83" s="21">
        <f>7390+9090</f>
        <v>16480</v>
      </c>
      <c r="AG83" s="21">
        <v>0</v>
      </c>
      <c r="AH83" s="21">
        <v>0</v>
      </c>
      <c r="AI83" s="21">
        <v>0</v>
      </c>
      <c r="AJ83" s="21">
        <v>18000</v>
      </c>
      <c r="AK83" s="21">
        <v>0</v>
      </c>
      <c r="AL83" s="21">
        <v>0</v>
      </c>
      <c r="AM83" s="21">
        <v>0</v>
      </c>
      <c r="AN83" s="21">
        <v>0</v>
      </c>
      <c r="AO83" s="21">
        <v>0</v>
      </c>
      <c r="AP83" s="21">
        <v>0</v>
      </c>
      <c r="AQ83" s="21">
        <v>0</v>
      </c>
      <c r="AR83" s="21">
        <v>22000</v>
      </c>
      <c r="AS83" s="21">
        <v>0</v>
      </c>
      <c r="AT83" s="21">
        <v>0</v>
      </c>
      <c r="AU83" s="21">
        <v>0</v>
      </c>
      <c r="AV83" s="21">
        <v>0</v>
      </c>
      <c r="AW83" s="21">
        <v>3302</v>
      </c>
      <c r="AX83" s="21">
        <v>10000</v>
      </c>
      <c r="AY83" s="21">
        <f t="shared" si="11"/>
        <v>13302</v>
      </c>
      <c r="AZ83" s="21">
        <f t="shared" si="12"/>
        <v>13302</v>
      </c>
      <c r="BA83" s="21">
        <f t="shared" si="13"/>
        <v>13302</v>
      </c>
      <c r="BB83" s="21">
        <v>0</v>
      </c>
      <c r="BC83" s="21">
        <v>0</v>
      </c>
      <c r="BD83" s="21">
        <v>0</v>
      </c>
      <c r="BE83" s="21">
        <v>0</v>
      </c>
      <c r="BF83" s="21">
        <f t="shared" si="14"/>
        <v>574361</v>
      </c>
      <c r="BG83" s="21">
        <v>510600</v>
      </c>
      <c r="BH83" s="21" t="s">
        <v>39</v>
      </c>
      <c r="BI83" s="21" t="s">
        <v>2253</v>
      </c>
      <c r="BJ83" s="21" t="s">
        <v>2253</v>
      </c>
      <c r="BK83" s="21" t="s">
        <v>2480</v>
      </c>
      <c r="BL83" s="21">
        <f>2100+61650</f>
        <v>63750</v>
      </c>
      <c r="BM83" s="21">
        <f t="shared" si="15"/>
        <v>11</v>
      </c>
      <c r="BN83" s="25"/>
      <c r="BO83" s="21"/>
      <c r="BP83" s="21"/>
      <c r="BQ83" s="21"/>
      <c r="BR83" s="21"/>
      <c r="BS83" s="21"/>
      <c r="BT83" s="21"/>
      <c r="BU83" s="26"/>
      <c r="BV83" s="27"/>
      <c r="BW83" s="27"/>
      <c r="BX83" s="27">
        <v>0</v>
      </c>
      <c r="BY83" s="27">
        <v>0</v>
      </c>
      <c r="BZ83" s="27">
        <v>0</v>
      </c>
      <c r="CA83" s="27" t="str">
        <f t="shared" si="16"/>
        <v>NO</v>
      </c>
      <c r="CB83" s="27"/>
      <c r="CC83" s="27"/>
      <c r="CD83" s="27"/>
      <c r="CE83" s="27"/>
      <c r="CF83" s="27"/>
      <c r="CG83" s="28"/>
    </row>
    <row r="84" spans="1:85" s="20" customFormat="1" ht="15.75" hidden="1" customHeight="1" x14ac:dyDescent="0.3">
      <c r="A84" s="21">
        <v>35</v>
      </c>
      <c r="B84" s="22" t="s">
        <v>2409</v>
      </c>
      <c r="C84" s="22" t="s">
        <v>476</v>
      </c>
      <c r="D84" s="23" t="s">
        <v>2410</v>
      </c>
      <c r="E84" s="24">
        <v>45452</v>
      </c>
      <c r="F84" s="24">
        <v>45454</v>
      </c>
      <c r="G84" s="22" t="s">
        <v>393</v>
      </c>
      <c r="H84" s="22" t="s">
        <v>393</v>
      </c>
      <c r="I84" s="22" t="s">
        <v>2249</v>
      </c>
      <c r="J84" s="22" t="s">
        <v>2411</v>
      </c>
      <c r="K84" s="22"/>
      <c r="L84" s="22"/>
      <c r="M84" s="24" t="s">
        <v>2362</v>
      </c>
      <c r="N84" s="24" t="s">
        <v>2362</v>
      </c>
      <c r="O84" s="22" t="s">
        <v>2321</v>
      </c>
      <c r="P84" s="22">
        <v>590000</v>
      </c>
      <c r="Q84" s="22" t="s">
        <v>2271</v>
      </c>
      <c r="R84" s="22" t="s">
        <v>393</v>
      </c>
      <c r="S84" s="21" t="s">
        <v>2412</v>
      </c>
      <c r="T84" s="8" t="s">
        <v>3071</v>
      </c>
      <c r="U84" s="8" t="s">
        <v>2312</v>
      </c>
      <c r="V84" s="21">
        <v>600385</v>
      </c>
      <c r="W84" s="21">
        <v>56531</v>
      </c>
      <c r="X84" s="21">
        <v>20000</v>
      </c>
      <c r="Y84" s="21">
        <v>9346</v>
      </c>
      <c r="Z84" s="21">
        <v>0</v>
      </c>
      <c r="AA84" s="21" t="s">
        <v>2253</v>
      </c>
      <c r="AB84" s="21">
        <v>0</v>
      </c>
      <c r="AC84" s="21">
        <v>0</v>
      </c>
      <c r="AD84" s="21">
        <v>0</v>
      </c>
      <c r="AE84" s="21">
        <v>0</v>
      </c>
      <c r="AF84" s="21">
        <v>34500</v>
      </c>
      <c r="AG84" s="21">
        <v>0</v>
      </c>
      <c r="AH84" s="21">
        <v>0</v>
      </c>
      <c r="AI84" s="21">
        <v>0</v>
      </c>
      <c r="AJ84" s="21">
        <v>10000</v>
      </c>
      <c r="AK84" s="21">
        <v>0</v>
      </c>
      <c r="AL84" s="21">
        <v>0</v>
      </c>
      <c r="AM84" s="21">
        <v>0</v>
      </c>
      <c r="AN84" s="21">
        <v>0</v>
      </c>
      <c r="AO84" s="21">
        <v>0</v>
      </c>
      <c r="AP84" s="21">
        <v>0</v>
      </c>
      <c r="AQ84" s="21">
        <v>0</v>
      </c>
      <c r="AR84" s="21">
        <v>25000</v>
      </c>
      <c r="AS84" s="21">
        <v>0</v>
      </c>
      <c r="AT84" s="21">
        <v>0</v>
      </c>
      <c r="AU84" s="21">
        <v>0</v>
      </c>
      <c r="AV84" s="21">
        <v>0</v>
      </c>
      <c r="AW84" s="21"/>
      <c r="AX84" s="21">
        <v>15762</v>
      </c>
      <c r="AY84" s="21">
        <f t="shared" si="11"/>
        <v>13762</v>
      </c>
      <c r="AZ84" s="21">
        <f t="shared" si="12"/>
        <v>15762</v>
      </c>
      <c r="BA84" s="21">
        <f t="shared" si="13"/>
        <v>13762</v>
      </c>
      <c r="BB84" s="21">
        <v>0</v>
      </c>
      <c r="BC84" s="21">
        <v>2000</v>
      </c>
      <c r="BD84" s="21">
        <v>0</v>
      </c>
      <c r="BE84" s="21">
        <v>0</v>
      </c>
      <c r="BF84" s="21">
        <f t="shared" si="14"/>
        <v>670000</v>
      </c>
      <c r="BG84" s="21">
        <v>573000</v>
      </c>
      <c r="BH84" s="21" t="s">
        <v>39</v>
      </c>
      <c r="BI84" s="21" t="s">
        <v>2253</v>
      </c>
      <c r="BJ84" s="21" t="s">
        <v>2253</v>
      </c>
      <c r="BK84" s="21">
        <v>13371655</v>
      </c>
      <c r="BL84" s="21">
        <f>5000</f>
        <v>5000</v>
      </c>
      <c r="BM84" s="21">
        <f t="shared" si="15"/>
        <v>92000</v>
      </c>
      <c r="BN84" s="25">
        <v>45454</v>
      </c>
      <c r="BO84" s="21"/>
      <c r="BP84" s="21"/>
      <c r="BQ84" s="21"/>
      <c r="BR84" s="21"/>
      <c r="BS84" s="21"/>
      <c r="BT84" s="21"/>
      <c r="BU84" s="26"/>
      <c r="BV84" s="27"/>
      <c r="BW84" s="27"/>
      <c r="BX84" s="27">
        <v>0</v>
      </c>
      <c r="BY84" s="27">
        <v>0</v>
      </c>
      <c r="BZ84" s="27">
        <v>0</v>
      </c>
      <c r="CA84" s="27" t="str">
        <f t="shared" si="16"/>
        <v>NO</v>
      </c>
      <c r="CB84" s="27"/>
      <c r="CC84" s="27"/>
      <c r="CD84" s="27"/>
      <c r="CE84" s="27"/>
      <c r="CF84" s="27"/>
      <c r="CG84" s="28"/>
    </row>
    <row r="85" spans="1:85" s="20" customFormat="1" ht="15.75" hidden="1" customHeight="1" x14ac:dyDescent="0.3">
      <c r="A85" s="21">
        <v>70</v>
      </c>
      <c r="B85" s="22" t="s">
        <v>2532</v>
      </c>
      <c r="C85" s="22">
        <v>810760</v>
      </c>
      <c r="D85" s="23" t="s">
        <v>2533</v>
      </c>
      <c r="E85" s="24">
        <v>45458</v>
      </c>
      <c r="F85" s="24">
        <v>45464</v>
      </c>
      <c r="G85" s="22" t="s">
        <v>393</v>
      </c>
      <c r="H85" s="22" t="s">
        <v>393</v>
      </c>
      <c r="I85" s="22" t="s">
        <v>2249</v>
      </c>
      <c r="J85" s="22" t="s">
        <v>520</v>
      </c>
      <c r="K85" s="22"/>
      <c r="L85" s="22"/>
      <c r="M85" s="24" t="s">
        <v>2263</v>
      </c>
      <c r="N85" s="24" t="s">
        <v>2263</v>
      </c>
      <c r="O85" s="22" t="s">
        <v>2321</v>
      </c>
      <c r="P85" s="22">
        <v>800000</v>
      </c>
      <c r="Q85" s="22" t="s">
        <v>2298</v>
      </c>
      <c r="R85" s="22" t="s">
        <v>393</v>
      </c>
      <c r="S85" s="21" t="s">
        <v>2412</v>
      </c>
      <c r="T85" s="8" t="s">
        <v>3071</v>
      </c>
      <c r="U85" s="139" t="s">
        <v>2312</v>
      </c>
      <c r="V85" s="21">
        <v>983885</v>
      </c>
      <c r="W85" s="21">
        <v>86811</v>
      </c>
      <c r="X85" s="21">
        <v>32846</v>
      </c>
      <c r="Y85" s="21">
        <v>16709</v>
      </c>
      <c r="Z85" s="21">
        <v>0</v>
      </c>
      <c r="AA85" s="21" t="s">
        <v>2253</v>
      </c>
      <c r="AB85" s="21">
        <v>0</v>
      </c>
      <c r="AC85" s="21">
        <v>0</v>
      </c>
      <c r="AD85" s="21">
        <v>0</v>
      </c>
      <c r="AE85" s="21">
        <v>0</v>
      </c>
      <c r="AF85" s="21">
        <v>2400</v>
      </c>
      <c r="AG85" s="21">
        <v>0</v>
      </c>
      <c r="AH85" s="21">
        <v>20000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21">
        <v>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/>
      <c r="AX85" s="21">
        <v>0</v>
      </c>
      <c r="AY85" s="21">
        <f t="shared" si="11"/>
        <v>-2000</v>
      </c>
      <c r="AZ85" s="21">
        <f t="shared" si="12"/>
        <v>0</v>
      </c>
      <c r="BA85" s="21">
        <f t="shared" si="13"/>
        <v>0</v>
      </c>
      <c r="BB85" s="21">
        <v>0</v>
      </c>
      <c r="BC85" s="21">
        <v>2000</v>
      </c>
      <c r="BD85" s="21">
        <v>0</v>
      </c>
      <c r="BE85" s="21">
        <v>0</v>
      </c>
      <c r="BF85" s="21">
        <f t="shared" si="14"/>
        <v>1122651</v>
      </c>
      <c r="BG85" s="21">
        <v>800000</v>
      </c>
      <c r="BH85" s="21" t="s">
        <v>39</v>
      </c>
      <c r="BI85" s="21" t="s">
        <v>2253</v>
      </c>
      <c r="BJ85" s="21" t="s">
        <v>2253</v>
      </c>
      <c r="BK85" s="21" t="s">
        <v>2534</v>
      </c>
      <c r="BL85" s="21">
        <f>5151+295000+2500</f>
        <v>302651</v>
      </c>
      <c r="BM85" s="21">
        <f t="shared" si="15"/>
        <v>0</v>
      </c>
      <c r="BN85" s="25"/>
      <c r="BO85" s="21"/>
      <c r="BP85" s="21" t="s">
        <v>2253</v>
      </c>
      <c r="BQ85" s="21" t="s">
        <v>2253</v>
      </c>
      <c r="BR85" s="21" t="s">
        <v>2253</v>
      </c>
      <c r="BS85" s="21" t="s">
        <v>2364</v>
      </c>
      <c r="BT85" s="21"/>
      <c r="BU85" s="26"/>
      <c r="BV85" s="27"/>
      <c r="BW85" s="27"/>
      <c r="BX85" s="27">
        <v>0</v>
      </c>
      <c r="BY85" s="27">
        <v>0</v>
      </c>
      <c r="BZ85" s="27">
        <v>0</v>
      </c>
      <c r="CA85" s="27" t="str">
        <f t="shared" si="16"/>
        <v>NO</v>
      </c>
      <c r="CB85" s="27"/>
      <c r="CC85" s="27"/>
      <c r="CD85" s="27"/>
      <c r="CE85" s="27"/>
      <c r="CF85" s="27"/>
      <c r="CG85" s="28"/>
    </row>
    <row r="86" spans="1:85" s="20" customFormat="1" ht="15.75" hidden="1" customHeight="1" x14ac:dyDescent="0.3">
      <c r="A86" s="21">
        <v>11</v>
      </c>
      <c r="B86" s="22" t="s">
        <v>2313</v>
      </c>
      <c r="C86" s="22" t="s">
        <v>876</v>
      </c>
      <c r="D86" s="23" t="s">
        <v>2314</v>
      </c>
      <c r="E86" s="24">
        <v>45447</v>
      </c>
      <c r="F86" s="24">
        <v>45449</v>
      </c>
      <c r="G86" s="22" t="s">
        <v>871</v>
      </c>
      <c r="H86" s="22" t="s">
        <v>871</v>
      </c>
      <c r="I86" s="22" t="s">
        <v>2249</v>
      </c>
      <c r="J86" s="22" t="s">
        <v>873</v>
      </c>
      <c r="K86" s="22"/>
      <c r="L86" s="22"/>
      <c r="M86" s="24" t="s">
        <v>310</v>
      </c>
      <c r="N86" s="24" t="s">
        <v>310</v>
      </c>
      <c r="O86" s="22" t="s">
        <v>2250</v>
      </c>
      <c r="P86" s="22">
        <v>506115</v>
      </c>
      <c r="Q86" s="22" t="s">
        <v>2271</v>
      </c>
      <c r="R86" s="22" t="s">
        <v>871</v>
      </c>
      <c r="S86" s="21" t="s">
        <v>2315</v>
      </c>
      <c r="T86" s="8" t="s">
        <v>3086</v>
      </c>
      <c r="U86" s="8" t="s">
        <v>2316</v>
      </c>
      <c r="V86" s="21">
        <v>568885</v>
      </c>
      <c r="W86" s="21">
        <v>53911</v>
      </c>
      <c r="X86" s="21">
        <v>25500</v>
      </c>
      <c r="Y86" s="21">
        <v>0</v>
      </c>
      <c r="Z86" s="21">
        <v>0</v>
      </c>
      <c r="AA86" s="21" t="s">
        <v>2253</v>
      </c>
      <c r="AB86" s="21">
        <v>0</v>
      </c>
      <c r="AC86" s="21">
        <v>0</v>
      </c>
      <c r="AD86" s="21">
        <v>0</v>
      </c>
      <c r="AE86" s="21">
        <v>0</v>
      </c>
      <c r="AF86" s="21">
        <v>30000</v>
      </c>
      <c r="AG86" s="21">
        <v>0</v>
      </c>
      <c r="AH86" s="21">
        <v>0</v>
      </c>
      <c r="AI86" s="21">
        <v>0</v>
      </c>
      <c r="AJ86" s="21">
        <v>10000</v>
      </c>
      <c r="AK86" s="21">
        <v>0</v>
      </c>
      <c r="AL86" s="21">
        <v>0</v>
      </c>
      <c r="AM86" s="21">
        <v>0</v>
      </c>
      <c r="AN86" s="21">
        <v>0</v>
      </c>
      <c r="AO86" s="21">
        <v>0</v>
      </c>
      <c r="AP86" s="21">
        <v>0</v>
      </c>
      <c r="AQ86" s="21">
        <v>3100</v>
      </c>
      <c r="AR86" s="21">
        <v>15000</v>
      </c>
      <c r="AS86" s="21">
        <v>0</v>
      </c>
      <c r="AT86" s="21">
        <v>0</v>
      </c>
      <c r="AU86" s="21">
        <v>15000</v>
      </c>
      <c r="AV86" s="21">
        <v>0</v>
      </c>
      <c r="AW86" s="21"/>
      <c r="AX86" s="21">
        <v>0</v>
      </c>
      <c r="AY86" s="21">
        <f t="shared" si="11"/>
        <v>13000</v>
      </c>
      <c r="AZ86" s="21">
        <f t="shared" si="12"/>
        <v>15000</v>
      </c>
      <c r="BA86" s="21">
        <f t="shared" si="13"/>
        <v>13000</v>
      </c>
      <c r="BB86" s="21">
        <v>0</v>
      </c>
      <c r="BC86" s="21">
        <v>2000</v>
      </c>
      <c r="BD86" s="21">
        <v>0</v>
      </c>
      <c r="BE86" s="21">
        <v>0</v>
      </c>
      <c r="BF86" s="21">
        <f t="shared" si="14"/>
        <v>635196</v>
      </c>
      <c r="BG86" s="21">
        <v>485000</v>
      </c>
      <c r="BH86" s="21" t="s">
        <v>39</v>
      </c>
      <c r="BI86" s="21" t="s">
        <v>2253</v>
      </c>
      <c r="BJ86" s="21" t="s">
        <v>2253</v>
      </c>
      <c r="BK86" s="21">
        <v>13363769</v>
      </c>
      <c r="BL86" s="21">
        <f>98000+30000+20900</f>
        <v>148900</v>
      </c>
      <c r="BM86" s="21">
        <f t="shared" si="15"/>
        <v>1296</v>
      </c>
      <c r="BN86" s="25"/>
      <c r="BO86" s="21"/>
      <c r="BP86" s="21"/>
      <c r="BQ86" s="21"/>
      <c r="BR86" s="21"/>
      <c r="BS86" s="21"/>
      <c r="BT86" s="21"/>
      <c r="BU86" s="26"/>
      <c r="BV86" s="27"/>
      <c r="BW86" s="27"/>
      <c r="BX86" s="27">
        <v>0</v>
      </c>
      <c r="BY86" s="27">
        <v>0</v>
      </c>
      <c r="BZ86" s="27">
        <v>0</v>
      </c>
      <c r="CA86" s="27" t="str">
        <f t="shared" si="16"/>
        <v>NO</v>
      </c>
      <c r="CB86" s="27"/>
      <c r="CC86" s="27"/>
      <c r="CD86" s="27"/>
      <c r="CE86" s="27"/>
      <c r="CF86" s="27"/>
      <c r="CG86" s="28"/>
    </row>
    <row r="87" spans="1:85" s="20" customFormat="1" ht="15.75" hidden="1" customHeight="1" x14ac:dyDescent="0.3">
      <c r="A87" s="21">
        <v>74</v>
      </c>
      <c r="B87" s="22" t="s">
        <v>2547</v>
      </c>
      <c r="C87" s="22">
        <v>501203</v>
      </c>
      <c r="D87" s="23" t="s">
        <v>2548</v>
      </c>
      <c r="E87" s="24">
        <v>45459</v>
      </c>
      <c r="F87" s="24">
        <v>45459</v>
      </c>
      <c r="G87" s="22" t="s">
        <v>871</v>
      </c>
      <c r="H87" s="22" t="s">
        <v>871</v>
      </c>
      <c r="I87" s="22" t="s">
        <v>2249</v>
      </c>
      <c r="J87" s="22" t="s">
        <v>897</v>
      </c>
      <c r="K87" s="22"/>
      <c r="L87" s="22"/>
      <c r="M87" s="24" t="s">
        <v>2503</v>
      </c>
      <c r="N87" s="24" t="s">
        <v>2503</v>
      </c>
      <c r="O87" s="22" t="s">
        <v>2479</v>
      </c>
      <c r="P87" s="22">
        <v>0</v>
      </c>
      <c r="Q87" s="22" t="s">
        <v>77</v>
      </c>
      <c r="R87" s="22" t="s">
        <v>871</v>
      </c>
      <c r="S87" s="21" t="s">
        <v>2315</v>
      </c>
      <c r="T87" s="8" t="s">
        <v>3086</v>
      </c>
      <c r="U87" s="8" t="s">
        <v>2316</v>
      </c>
      <c r="V87" s="21">
        <v>551385</v>
      </c>
      <c r="W87" s="21">
        <v>51711</v>
      </c>
      <c r="X87" s="21">
        <v>20500</v>
      </c>
      <c r="Y87" s="21">
        <v>0</v>
      </c>
      <c r="Z87" s="21">
        <v>0</v>
      </c>
      <c r="AA87" s="21" t="s">
        <v>2260</v>
      </c>
      <c r="AB87" s="21">
        <v>0</v>
      </c>
      <c r="AC87" s="21">
        <v>0</v>
      </c>
      <c r="AD87" s="21">
        <v>0</v>
      </c>
      <c r="AE87" s="21">
        <v>0</v>
      </c>
      <c r="AF87" s="21">
        <v>34000</v>
      </c>
      <c r="AG87" s="21">
        <v>0</v>
      </c>
      <c r="AH87" s="21">
        <v>0</v>
      </c>
      <c r="AI87" s="21">
        <v>0</v>
      </c>
      <c r="AJ87" s="21">
        <v>18000</v>
      </c>
      <c r="AK87" s="21">
        <v>0</v>
      </c>
      <c r="AL87" s="21">
        <v>0</v>
      </c>
      <c r="AM87" s="21">
        <v>0</v>
      </c>
      <c r="AN87" s="21">
        <v>0</v>
      </c>
      <c r="AO87" s="21">
        <v>0</v>
      </c>
      <c r="AP87" s="21">
        <v>0</v>
      </c>
      <c r="AQ87" s="21">
        <v>3100</v>
      </c>
      <c r="AR87" s="21">
        <v>17000</v>
      </c>
      <c r="AS87" s="21">
        <v>0</v>
      </c>
      <c r="AT87" s="21">
        <v>0</v>
      </c>
      <c r="AU87" s="21">
        <v>13000</v>
      </c>
      <c r="AV87" s="21">
        <v>0</v>
      </c>
      <c r="AW87" s="21"/>
      <c r="AX87" s="21">
        <v>0</v>
      </c>
      <c r="AY87" s="21">
        <f t="shared" si="11"/>
        <v>11000</v>
      </c>
      <c r="AZ87" s="21">
        <f t="shared" si="12"/>
        <v>13000</v>
      </c>
      <c r="BA87" s="21">
        <f t="shared" si="13"/>
        <v>11000</v>
      </c>
      <c r="BB87" s="21">
        <v>15000</v>
      </c>
      <c r="BC87" s="21">
        <v>2000</v>
      </c>
      <c r="BD87" s="21">
        <v>0</v>
      </c>
      <c r="BE87" s="21">
        <v>0</v>
      </c>
      <c r="BF87" s="21">
        <f t="shared" si="14"/>
        <v>591496</v>
      </c>
      <c r="BG87" s="21">
        <v>0</v>
      </c>
      <c r="BH87" s="21" t="s">
        <v>2287</v>
      </c>
      <c r="BI87" s="21" t="s">
        <v>2260</v>
      </c>
      <c r="BJ87" s="21" t="s">
        <v>2260</v>
      </c>
      <c r="BK87" s="21">
        <v>0</v>
      </c>
      <c r="BL87" s="21">
        <f>5100+195000</f>
        <v>200100</v>
      </c>
      <c r="BM87" s="21">
        <f t="shared" si="15"/>
        <v>391396</v>
      </c>
      <c r="BN87" s="25">
        <v>45465</v>
      </c>
      <c r="BO87" s="21"/>
      <c r="BP87" s="21"/>
      <c r="BQ87" s="21"/>
      <c r="BR87" s="21"/>
      <c r="BS87" s="21"/>
      <c r="BT87" s="21"/>
      <c r="BU87" s="26"/>
      <c r="BV87" s="27"/>
      <c r="BW87" s="27"/>
      <c r="BX87" s="27">
        <v>0</v>
      </c>
      <c r="BY87" s="27">
        <v>0</v>
      </c>
      <c r="BZ87" s="27">
        <v>0</v>
      </c>
      <c r="CA87" s="27" t="str">
        <f t="shared" si="16"/>
        <v>NO</v>
      </c>
      <c r="CB87" s="27"/>
      <c r="CC87" s="27"/>
      <c r="CD87" s="27"/>
      <c r="CE87" s="27"/>
      <c r="CF87" s="27"/>
      <c r="CG87" s="28"/>
    </row>
    <row r="88" spans="1:85" s="20" customFormat="1" ht="15.75" hidden="1" customHeight="1" x14ac:dyDescent="0.3">
      <c r="A88" s="21">
        <v>10</v>
      </c>
      <c r="B88" s="22" t="s">
        <v>2309</v>
      </c>
      <c r="C88" s="22" t="s">
        <v>379</v>
      </c>
      <c r="D88" s="23" t="s">
        <v>2310</v>
      </c>
      <c r="E88" s="24">
        <v>45446</v>
      </c>
      <c r="F88" s="24">
        <v>45455</v>
      </c>
      <c r="G88" s="22" t="s">
        <v>393</v>
      </c>
      <c r="H88" s="22" t="s">
        <v>393</v>
      </c>
      <c r="I88" s="22" t="s">
        <v>2249</v>
      </c>
      <c r="J88" s="22" t="s">
        <v>376</v>
      </c>
      <c r="K88" s="22"/>
      <c r="L88" s="22"/>
      <c r="M88" s="24" t="s">
        <v>310</v>
      </c>
      <c r="N88" s="24" t="s">
        <v>310</v>
      </c>
      <c r="O88" s="22" t="s">
        <v>2250</v>
      </c>
      <c r="P88" s="22">
        <v>500000</v>
      </c>
      <c r="Q88" s="22" t="s">
        <v>2265</v>
      </c>
      <c r="R88" s="22" t="s">
        <v>393</v>
      </c>
      <c r="S88" s="21" t="s">
        <v>2311</v>
      </c>
      <c r="T88" s="8" t="s">
        <v>381</v>
      </c>
      <c r="U88" s="8" t="s">
        <v>2312</v>
      </c>
      <c r="V88" s="21">
        <v>568885</v>
      </c>
      <c r="W88" s="21">
        <v>53911</v>
      </c>
      <c r="X88" s="21">
        <v>25500</v>
      </c>
      <c r="Y88" s="21">
        <v>8850</v>
      </c>
      <c r="Z88" s="21">
        <v>0</v>
      </c>
      <c r="AA88" s="21" t="s">
        <v>2253</v>
      </c>
      <c r="AB88" s="21">
        <v>0</v>
      </c>
      <c r="AC88" s="21">
        <v>0</v>
      </c>
      <c r="AD88" s="21">
        <v>79717</v>
      </c>
      <c r="AE88" s="21">
        <v>0</v>
      </c>
      <c r="AF88" s="21">
        <v>8000</v>
      </c>
      <c r="AG88" s="21">
        <v>0</v>
      </c>
      <c r="AH88" s="21">
        <v>0</v>
      </c>
      <c r="AI88" s="21">
        <v>0</v>
      </c>
      <c r="AJ88" s="21">
        <v>10000</v>
      </c>
      <c r="AK88" s="21">
        <v>0</v>
      </c>
      <c r="AL88" s="21">
        <v>0</v>
      </c>
      <c r="AM88" s="21">
        <v>0</v>
      </c>
      <c r="AN88" s="21">
        <v>0</v>
      </c>
      <c r="AO88" s="21">
        <v>0</v>
      </c>
      <c r="AP88" s="21">
        <v>0</v>
      </c>
      <c r="AQ88" s="21">
        <v>0</v>
      </c>
      <c r="AR88" s="21">
        <v>15000</v>
      </c>
      <c r="AS88" s="21">
        <v>0</v>
      </c>
      <c r="AT88" s="21">
        <v>0</v>
      </c>
      <c r="AU88" s="21">
        <v>0</v>
      </c>
      <c r="AV88" s="21">
        <v>0</v>
      </c>
      <c r="AW88" s="21"/>
      <c r="AX88" s="21">
        <v>12146</v>
      </c>
      <c r="AY88" s="21">
        <f t="shared" si="11"/>
        <v>10146</v>
      </c>
      <c r="AZ88" s="21">
        <f t="shared" si="12"/>
        <v>12146</v>
      </c>
      <c r="BA88" s="21">
        <f t="shared" si="13"/>
        <v>10146</v>
      </c>
      <c r="BB88" s="21">
        <v>0</v>
      </c>
      <c r="BC88" s="21">
        <v>2000</v>
      </c>
      <c r="BD88" s="21">
        <v>0</v>
      </c>
      <c r="BE88" s="21">
        <v>0</v>
      </c>
      <c r="BF88" s="21">
        <f t="shared" si="14"/>
        <v>707717</v>
      </c>
      <c r="BG88" s="21">
        <v>568885</v>
      </c>
      <c r="BH88" s="21" t="s">
        <v>39</v>
      </c>
      <c r="BI88" s="21" t="s">
        <v>2253</v>
      </c>
      <c r="BJ88" s="21" t="s">
        <v>2253</v>
      </c>
      <c r="BK88" s="21">
        <v>145883018</v>
      </c>
      <c r="BL88" s="21">
        <f>100000+38832</f>
        <v>138832</v>
      </c>
      <c r="BM88" s="21">
        <f t="shared" si="15"/>
        <v>0</v>
      </c>
      <c r="BN88" s="25"/>
      <c r="BO88" s="21"/>
      <c r="BP88" s="21"/>
      <c r="BQ88" s="21"/>
      <c r="BR88" s="21"/>
      <c r="BS88" s="21"/>
      <c r="BT88" s="21"/>
      <c r="BU88" s="26"/>
      <c r="BV88" s="27"/>
      <c r="BW88" s="27"/>
      <c r="BX88" s="27">
        <v>0</v>
      </c>
      <c r="BY88" s="27">
        <v>0</v>
      </c>
      <c r="BZ88" s="27">
        <v>0</v>
      </c>
      <c r="CA88" s="27" t="str">
        <f t="shared" si="16"/>
        <v>NO</v>
      </c>
      <c r="CB88" s="27"/>
      <c r="CC88" s="27"/>
      <c r="CD88" s="27"/>
      <c r="CE88" s="27"/>
      <c r="CF88" s="27"/>
      <c r="CG88" s="28"/>
    </row>
    <row r="89" spans="1:85" s="20" customFormat="1" ht="15.75" hidden="1" customHeight="1" x14ac:dyDescent="0.3">
      <c r="A89" s="21">
        <v>14</v>
      </c>
      <c r="B89" s="22" t="s">
        <v>2329</v>
      </c>
      <c r="C89" s="22" t="s">
        <v>395</v>
      </c>
      <c r="D89" s="23" t="s">
        <v>2330</v>
      </c>
      <c r="E89" s="24">
        <v>45447</v>
      </c>
      <c r="F89" s="24">
        <v>45456</v>
      </c>
      <c r="G89" s="22" t="s">
        <v>393</v>
      </c>
      <c r="H89" s="22" t="s">
        <v>393</v>
      </c>
      <c r="I89" s="22" t="s">
        <v>2249</v>
      </c>
      <c r="J89" s="22" t="s">
        <v>392</v>
      </c>
      <c r="K89" s="22"/>
      <c r="L89" s="22"/>
      <c r="M89" s="24" t="s">
        <v>310</v>
      </c>
      <c r="N89" s="24" t="s">
        <v>310</v>
      </c>
      <c r="O89" s="22" t="s">
        <v>2326</v>
      </c>
      <c r="P89" s="22">
        <v>500000</v>
      </c>
      <c r="Q89" s="22" t="s">
        <v>2265</v>
      </c>
      <c r="R89" s="22" t="s">
        <v>393</v>
      </c>
      <c r="S89" s="21" t="s">
        <v>2311</v>
      </c>
      <c r="T89" s="8" t="s">
        <v>381</v>
      </c>
      <c r="U89" s="8" t="s">
        <v>2312</v>
      </c>
      <c r="V89" s="21">
        <v>561885</v>
      </c>
      <c r="W89" s="21">
        <v>53351</v>
      </c>
      <c r="X89" s="21">
        <v>25000</v>
      </c>
      <c r="Y89" s="21">
        <v>8744</v>
      </c>
      <c r="Z89" s="21">
        <v>0</v>
      </c>
      <c r="AA89" s="21" t="s">
        <v>2253</v>
      </c>
      <c r="AB89" s="21">
        <v>0</v>
      </c>
      <c r="AC89" s="21">
        <v>0</v>
      </c>
      <c r="AD89" s="21">
        <v>72770</v>
      </c>
      <c r="AE89" s="21">
        <v>0</v>
      </c>
      <c r="AF89" s="21">
        <v>31700</v>
      </c>
      <c r="AG89" s="21">
        <v>0</v>
      </c>
      <c r="AH89" s="21">
        <v>0</v>
      </c>
      <c r="AI89" s="21">
        <v>0</v>
      </c>
      <c r="AJ89" s="21">
        <v>10000</v>
      </c>
      <c r="AK89" s="21">
        <v>0</v>
      </c>
      <c r="AL89" s="21">
        <v>0</v>
      </c>
      <c r="AM89" s="21">
        <v>0</v>
      </c>
      <c r="AN89" s="21">
        <v>0</v>
      </c>
      <c r="AO89" s="21">
        <v>0</v>
      </c>
      <c r="AP89" s="21">
        <v>0</v>
      </c>
      <c r="AQ89" s="21">
        <v>2100</v>
      </c>
      <c r="AR89" s="21">
        <v>15000</v>
      </c>
      <c r="AS89" s="21">
        <v>0</v>
      </c>
      <c r="AT89" s="21">
        <v>0</v>
      </c>
      <c r="AU89" s="21">
        <v>0</v>
      </c>
      <c r="AV89" s="21">
        <v>0</v>
      </c>
      <c r="AW89" s="21"/>
      <c r="AX89" s="21">
        <v>13580</v>
      </c>
      <c r="AY89" s="21">
        <f t="shared" si="11"/>
        <v>11580</v>
      </c>
      <c r="AZ89" s="21">
        <f t="shared" si="12"/>
        <v>13580</v>
      </c>
      <c r="BA89" s="21">
        <f t="shared" si="13"/>
        <v>11580</v>
      </c>
      <c r="BB89" s="21">
        <v>0</v>
      </c>
      <c r="BC89" s="21">
        <v>2000</v>
      </c>
      <c r="BD89" s="21">
        <v>0</v>
      </c>
      <c r="BE89" s="21">
        <v>0</v>
      </c>
      <c r="BF89" s="21">
        <f t="shared" si="14"/>
        <v>712770</v>
      </c>
      <c r="BG89" s="21">
        <v>561885</v>
      </c>
      <c r="BH89" s="21" t="s">
        <v>39</v>
      </c>
      <c r="BI89" s="21" t="s">
        <v>2253</v>
      </c>
      <c r="BJ89" s="21" t="s">
        <v>2253</v>
      </c>
      <c r="BK89" s="21">
        <v>145960036</v>
      </c>
      <c r="BL89" s="21">
        <f>5000+145885</f>
        <v>150885</v>
      </c>
      <c r="BM89" s="21">
        <f t="shared" si="15"/>
        <v>0</v>
      </c>
      <c r="BN89" s="25"/>
      <c r="BO89" s="21"/>
      <c r="BP89" s="21"/>
      <c r="BQ89" s="21"/>
      <c r="BR89" s="21"/>
      <c r="BS89" s="21"/>
      <c r="BT89" s="21"/>
      <c r="BU89" s="26"/>
      <c r="BV89" s="27"/>
      <c r="BW89" s="27"/>
      <c r="BX89" s="27">
        <v>0</v>
      </c>
      <c r="BY89" s="27">
        <v>0</v>
      </c>
      <c r="BZ89" s="27">
        <v>0</v>
      </c>
      <c r="CA89" s="27" t="str">
        <f t="shared" si="16"/>
        <v>NO</v>
      </c>
      <c r="CB89" s="27"/>
      <c r="CC89" s="27"/>
      <c r="CD89" s="27"/>
      <c r="CE89" s="27"/>
      <c r="CF89" s="27"/>
      <c r="CG89" s="28"/>
    </row>
    <row r="90" spans="1:85" s="20" customFormat="1" ht="15.75" hidden="1" customHeight="1" x14ac:dyDescent="0.3">
      <c r="A90" s="21">
        <v>16</v>
      </c>
      <c r="B90" s="22" t="s">
        <v>2334</v>
      </c>
      <c r="C90" s="22">
        <v>807129</v>
      </c>
      <c r="D90" s="23" t="s">
        <v>2335</v>
      </c>
      <c r="E90" s="24">
        <v>45448</v>
      </c>
      <c r="F90" s="24">
        <v>45449</v>
      </c>
      <c r="G90" s="22" t="s">
        <v>393</v>
      </c>
      <c r="H90" s="22" t="s">
        <v>393</v>
      </c>
      <c r="I90" s="22" t="s">
        <v>2249</v>
      </c>
      <c r="J90" s="22" t="s">
        <v>403</v>
      </c>
      <c r="K90" s="22"/>
      <c r="L90" s="22"/>
      <c r="M90" s="24" t="s">
        <v>2263</v>
      </c>
      <c r="N90" s="24" t="s">
        <v>2263</v>
      </c>
      <c r="O90" s="22" t="s">
        <v>2321</v>
      </c>
      <c r="P90" s="22">
        <v>950000</v>
      </c>
      <c r="Q90" s="22" t="s">
        <v>2336</v>
      </c>
      <c r="R90" s="22" t="s">
        <v>2337</v>
      </c>
      <c r="S90" s="21" t="s">
        <v>2311</v>
      </c>
      <c r="T90" s="8" t="s">
        <v>381</v>
      </c>
      <c r="U90" s="8" t="s">
        <v>2312</v>
      </c>
      <c r="V90" s="21">
        <v>983885</v>
      </c>
      <c r="W90" s="21">
        <v>86811</v>
      </c>
      <c r="X90" s="21">
        <v>33986</v>
      </c>
      <c r="Y90" s="21">
        <v>16709</v>
      </c>
      <c r="Z90" s="21">
        <v>0</v>
      </c>
      <c r="AA90" s="21" t="s">
        <v>2253</v>
      </c>
      <c r="AB90" s="21">
        <v>0</v>
      </c>
      <c r="AC90" s="21">
        <v>0</v>
      </c>
      <c r="AD90" s="21">
        <v>0</v>
      </c>
      <c r="AE90" s="21">
        <v>0</v>
      </c>
      <c r="AF90" s="21">
        <v>16733</v>
      </c>
      <c r="AG90" s="21">
        <v>0</v>
      </c>
      <c r="AH90" s="21">
        <v>0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21">
        <v>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/>
      <c r="AX90" s="21">
        <v>0</v>
      </c>
      <c r="AY90" s="21">
        <f t="shared" si="11"/>
        <v>-2000</v>
      </c>
      <c r="AZ90" s="21">
        <f t="shared" si="12"/>
        <v>0</v>
      </c>
      <c r="BA90" s="21">
        <f t="shared" si="13"/>
        <v>0</v>
      </c>
      <c r="BB90" s="21">
        <v>0</v>
      </c>
      <c r="BC90" s="21">
        <v>2000</v>
      </c>
      <c r="BD90" s="21">
        <v>0</v>
      </c>
      <c r="BE90" s="21">
        <v>0</v>
      </c>
      <c r="BF90" s="21">
        <f t="shared" si="14"/>
        <v>1138124</v>
      </c>
      <c r="BG90" s="21">
        <v>1125624</v>
      </c>
      <c r="BH90" s="21" t="s">
        <v>2287</v>
      </c>
      <c r="BI90" s="21" t="s">
        <v>2260</v>
      </c>
      <c r="BJ90" s="21" t="s">
        <v>2260</v>
      </c>
      <c r="BK90" s="21">
        <v>0</v>
      </c>
      <c r="BL90" s="21">
        <f>11000+1500</f>
        <v>12500</v>
      </c>
      <c r="BM90" s="21">
        <f t="shared" si="15"/>
        <v>0</v>
      </c>
      <c r="BN90" s="25"/>
      <c r="BO90" s="21"/>
      <c r="BP90" s="21"/>
      <c r="BQ90" s="21"/>
      <c r="BR90" s="21"/>
      <c r="BS90" s="21"/>
      <c r="BT90" s="21"/>
      <c r="BU90" s="26"/>
      <c r="BV90" s="27"/>
      <c r="BW90" s="27"/>
      <c r="BX90" s="27">
        <v>0</v>
      </c>
      <c r="BY90" s="27">
        <v>0</v>
      </c>
      <c r="BZ90" s="27">
        <v>0</v>
      </c>
      <c r="CA90" s="27" t="str">
        <f t="shared" si="16"/>
        <v>NO</v>
      </c>
      <c r="CB90" s="27"/>
      <c r="CC90" s="27"/>
      <c r="CD90" s="27"/>
      <c r="CE90" s="27"/>
      <c r="CF90" s="27"/>
      <c r="CG90" s="28"/>
    </row>
    <row r="91" spans="1:85" s="20" customFormat="1" ht="15.75" hidden="1" customHeight="1" x14ac:dyDescent="0.3">
      <c r="A91" s="21">
        <v>117</v>
      </c>
      <c r="B91" s="22" t="s">
        <v>2690</v>
      </c>
      <c r="C91" s="22" t="s">
        <v>553</v>
      </c>
      <c r="D91" s="23" t="s">
        <v>2691</v>
      </c>
      <c r="E91" s="24">
        <v>45467</v>
      </c>
      <c r="F91" s="24">
        <v>45468</v>
      </c>
      <c r="G91" s="22" t="s">
        <v>393</v>
      </c>
      <c r="H91" s="22" t="s">
        <v>393</v>
      </c>
      <c r="I91" s="22" t="s">
        <v>2249</v>
      </c>
      <c r="J91" s="22" t="s">
        <v>551</v>
      </c>
      <c r="K91" s="22"/>
      <c r="L91" s="22"/>
      <c r="M91" s="24" t="s">
        <v>310</v>
      </c>
      <c r="N91" s="24" t="s">
        <v>310</v>
      </c>
      <c r="O91" s="22" t="s">
        <v>2326</v>
      </c>
      <c r="P91" s="22">
        <v>520000</v>
      </c>
      <c r="Q91" s="22" t="s">
        <v>2271</v>
      </c>
      <c r="R91" s="22" t="s">
        <v>393</v>
      </c>
      <c r="S91" s="21" t="s">
        <v>2311</v>
      </c>
      <c r="T91" s="8" t="s">
        <v>381</v>
      </c>
      <c r="U91" s="8" t="s">
        <v>2312</v>
      </c>
      <c r="V91" s="21">
        <v>561885</v>
      </c>
      <c r="W91" s="21">
        <v>53351</v>
      </c>
      <c r="X91" s="21">
        <v>25000</v>
      </c>
      <c r="Y91" s="21">
        <v>8744</v>
      </c>
      <c r="Z91" s="21">
        <v>0</v>
      </c>
      <c r="AA91" s="21" t="s">
        <v>2253</v>
      </c>
      <c r="AB91" s="21">
        <v>0</v>
      </c>
      <c r="AC91" s="21">
        <v>0</v>
      </c>
      <c r="AD91" s="21">
        <v>0</v>
      </c>
      <c r="AE91" s="21">
        <v>0</v>
      </c>
      <c r="AF91" s="21">
        <v>30200</v>
      </c>
      <c r="AG91" s="21">
        <v>0</v>
      </c>
      <c r="AH91" s="21">
        <v>0</v>
      </c>
      <c r="AI91" s="21">
        <v>0</v>
      </c>
      <c r="AJ91" s="21">
        <v>10000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15000</v>
      </c>
      <c r="AS91" s="21">
        <v>0</v>
      </c>
      <c r="AT91" s="21">
        <v>0</v>
      </c>
      <c r="AU91" s="21">
        <v>0</v>
      </c>
      <c r="AV91" s="21">
        <v>0</v>
      </c>
      <c r="AW91" s="21"/>
      <c r="AX91" s="21">
        <v>14180</v>
      </c>
      <c r="AY91" s="21">
        <f t="shared" si="11"/>
        <v>12180</v>
      </c>
      <c r="AZ91" s="21">
        <f t="shared" si="12"/>
        <v>14180</v>
      </c>
      <c r="BA91" s="21">
        <f t="shared" si="13"/>
        <v>12180</v>
      </c>
      <c r="BB91" s="21">
        <v>0</v>
      </c>
      <c r="BC91" s="21">
        <v>2000</v>
      </c>
      <c r="BD91" s="21">
        <v>0</v>
      </c>
      <c r="BE91" s="21">
        <v>0</v>
      </c>
      <c r="BF91" s="21">
        <f t="shared" si="14"/>
        <v>640000</v>
      </c>
      <c r="BG91" s="21">
        <v>500485</v>
      </c>
      <c r="BH91" s="21" t="s">
        <v>39</v>
      </c>
      <c r="BI91" s="21" t="s">
        <v>2253</v>
      </c>
      <c r="BJ91" s="21" t="s">
        <v>2253</v>
      </c>
      <c r="BK91" s="29">
        <v>13524306</v>
      </c>
      <c r="BL91" s="21">
        <f>5000+60000+75000</f>
        <v>140000</v>
      </c>
      <c r="BM91" s="21">
        <f t="shared" si="15"/>
        <v>-485</v>
      </c>
      <c r="BN91" s="25"/>
      <c r="BO91" s="21"/>
      <c r="BP91" s="21"/>
      <c r="BQ91" s="21"/>
      <c r="BR91" s="21"/>
      <c r="BS91" s="21"/>
      <c r="BT91" s="21"/>
      <c r="BU91" s="26"/>
      <c r="BV91" s="27"/>
      <c r="BW91" s="27"/>
      <c r="BX91" s="27">
        <v>0</v>
      </c>
      <c r="BY91" s="27">
        <v>0</v>
      </c>
      <c r="BZ91" s="27">
        <v>0</v>
      </c>
      <c r="CA91" s="27" t="str">
        <f t="shared" si="16"/>
        <v>NO</v>
      </c>
      <c r="CB91" s="27"/>
      <c r="CC91" s="27"/>
      <c r="CD91" s="27"/>
      <c r="CE91" s="27"/>
      <c r="CF91" s="27"/>
      <c r="CG91" s="28"/>
    </row>
    <row r="92" spans="1:85" s="20" customFormat="1" ht="15.75" hidden="1" customHeight="1" x14ac:dyDescent="0.3">
      <c r="A92" s="21">
        <v>90</v>
      </c>
      <c r="B92" s="22" t="s">
        <v>2600</v>
      </c>
      <c r="C92" s="22">
        <v>817652</v>
      </c>
      <c r="D92" s="23" t="s">
        <v>2601</v>
      </c>
      <c r="E92" s="24">
        <v>45462</v>
      </c>
      <c r="F92" s="24">
        <v>45463</v>
      </c>
      <c r="G92" s="22" t="s">
        <v>393</v>
      </c>
      <c r="H92" s="22" t="s">
        <v>393</v>
      </c>
      <c r="I92" s="22" t="s">
        <v>2249</v>
      </c>
      <c r="J92" s="22" t="s">
        <v>2602</v>
      </c>
      <c r="K92" s="22"/>
      <c r="L92" s="22"/>
      <c r="M92" s="24" t="s">
        <v>2263</v>
      </c>
      <c r="N92" s="24" t="s">
        <v>2263</v>
      </c>
      <c r="O92" s="22" t="s">
        <v>2321</v>
      </c>
      <c r="P92" s="22">
        <v>930000</v>
      </c>
      <c r="Q92" s="22" t="s">
        <v>2251</v>
      </c>
      <c r="R92" s="22" t="s">
        <v>393</v>
      </c>
      <c r="S92" s="21" t="s">
        <v>2603</v>
      </c>
      <c r="T92" s="8" t="s">
        <v>533</v>
      </c>
      <c r="U92" s="8" t="s">
        <v>2312</v>
      </c>
      <c r="V92" s="21">
        <v>983885</v>
      </c>
      <c r="W92" s="21">
        <v>86811</v>
      </c>
      <c r="X92" s="21">
        <v>35000</v>
      </c>
      <c r="Y92" s="21">
        <v>16709</v>
      </c>
      <c r="Z92" s="21">
        <v>0</v>
      </c>
      <c r="AA92" s="21" t="s">
        <v>2253</v>
      </c>
      <c r="AB92" s="21">
        <v>0</v>
      </c>
      <c r="AC92" s="21">
        <v>0</v>
      </c>
      <c r="AD92" s="21">
        <v>0</v>
      </c>
      <c r="AE92" s="21">
        <v>0</v>
      </c>
      <c r="AF92" s="21">
        <v>31678</v>
      </c>
      <c r="AG92" s="21">
        <v>0</v>
      </c>
      <c r="AH92" s="21">
        <v>0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21">
        <v>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/>
      <c r="AX92" s="21">
        <v>0</v>
      </c>
      <c r="AY92" s="21">
        <f t="shared" si="11"/>
        <v>-2000</v>
      </c>
      <c r="AZ92" s="21">
        <f t="shared" si="12"/>
        <v>0</v>
      </c>
      <c r="BA92" s="21">
        <f t="shared" si="13"/>
        <v>0</v>
      </c>
      <c r="BB92" s="21">
        <v>0</v>
      </c>
      <c r="BC92" s="21">
        <v>2000</v>
      </c>
      <c r="BD92" s="21">
        <v>0</v>
      </c>
      <c r="BE92" s="21">
        <v>0</v>
      </c>
      <c r="BF92" s="21">
        <f t="shared" si="14"/>
        <v>1154083</v>
      </c>
      <c r="BG92" s="21">
        <v>901983</v>
      </c>
      <c r="BH92" s="21" t="s">
        <v>39</v>
      </c>
      <c r="BI92" s="21" t="s">
        <v>2253</v>
      </c>
      <c r="BJ92" s="21" t="s">
        <v>2253</v>
      </c>
      <c r="BK92" s="21">
        <v>1329033</v>
      </c>
      <c r="BL92" s="21">
        <f>2100+180000+30000</f>
        <v>212100</v>
      </c>
      <c r="BM92" s="21">
        <f t="shared" si="15"/>
        <v>40000</v>
      </c>
      <c r="BN92" s="25">
        <v>45469</v>
      </c>
      <c r="BO92" s="21"/>
      <c r="BP92" s="21"/>
      <c r="BQ92" s="21"/>
      <c r="BR92" s="21"/>
      <c r="BS92" s="21"/>
      <c r="BT92" s="21"/>
      <c r="BU92" s="26"/>
      <c r="BV92" s="27"/>
      <c r="BW92" s="27"/>
      <c r="BX92" s="27">
        <v>0</v>
      </c>
      <c r="BY92" s="27">
        <v>0</v>
      </c>
      <c r="BZ92" s="27">
        <v>0</v>
      </c>
      <c r="CA92" s="27" t="str">
        <f t="shared" si="16"/>
        <v>NO</v>
      </c>
      <c r="CB92" s="27"/>
      <c r="CC92" s="27"/>
      <c r="CD92" s="27"/>
      <c r="CE92" s="27"/>
      <c r="CF92" s="27"/>
      <c r="CG92" s="28"/>
    </row>
    <row r="93" spans="1:85" s="20" customFormat="1" ht="15.75" hidden="1" customHeight="1" x14ac:dyDescent="0.3">
      <c r="A93" s="21">
        <v>112</v>
      </c>
      <c r="B93" s="22" t="s">
        <v>2670</v>
      </c>
      <c r="C93" s="22">
        <v>286767</v>
      </c>
      <c r="D93" s="23" t="s">
        <v>2671</v>
      </c>
      <c r="E93" s="24">
        <v>45465</v>
      </c>
      <c r="F93" s="24">
        <v>45470</v>
      </c>
      <c r="G93" s="22" t="s">
        <v>333</v>
      </c>
      <c r="H93" s="22" t="s">
        <v>333</v>
      </c>
      <c r="I93" s="22" t="s">
        <v>2249</v>
      </c>
      <c r="J93" s="22" t="s">
        <v>1135</v>
      </c>
      <c r="K93" s="22"/>
      <c r="L93" s="22"/>
      <c r="M93" s="24" t="s">
        <v>2458</v>
      </c>
      <c r="N93" s="24" t="s">
        <v>2458</v>
      </c>
      <c r="O93" s="22" t="s">
        <v>2321</v>
      </c>
      <c r="P93" s="22">
        <v>442000</v>
      </c>
      <c r="Q93" s="22" t="s">
        <v>2298</v>
      </c>
      <c r="R93" s="22" t="s">
        <v>333</v>
      </c>
      <c r="S93" s="21" t="s">
        <v>2672</v>
      </c>
      <c r="T93" s="8" t="s">
        <v>3107</v>
      </c>
      <c r="U93" s="8" t="s">
        <v>2417</v>
      </c>
      <c r="V93" s="21">
        <v>506885</v>
      </c>
      <c r="W93" s="21">
        <v>48151</v>
      </c>
      <c r="X93" s="21">
        <v>20000</v>
      </c>
      <c r="Y93" s="21">
        <v>0</v>
      </c>
      <c r="Z93" s="21">
        <v>500</v>
      </c>
      <c r="AA93" s="21" t="s">
        <v>2253</v>
      </c>
      <c r="AB93" s="21">
        <v>0</v>
      </c>
      <c r="AC93" s="21">
        <v>0</v>
      </c>
      <c r="AD93" s="21">
        <v>0</v>
      </c>
      <c r="AE93" s="21">
        <v>0</v>
      </c>
      <c r="AF93" s="21">
        <v>30000</v>
      </c>
      <c r="AG93" s="21">
        <v>0</v>
      </c>
      <c r="AH93" s="21">
        <v>0</v>
      </c>
      <c r="AI93" s="21">
        <v>0</v>
      </c>
      <c r="AJ93" s="21">
        <v>18000</v>
      </c>
      <c r="AK93" s="21">
        <v>0</v>
      </c>
      <c r="AL93" s="21">
        <v>0</v>
      </c>
      <c r="AM93" s="21">
        <v>0</v>
      </c>
      <c r="AN93" s="21">
        <v>0</v>
      </c>
      <c r="AO93" s="21">
        <v>0</v>
      </c>
      <c r="AP93" s="21">
        <v>0</v>
      </c>
      <c r="AQ93" s="21">
        <v>3100</v>
      </c>
      <c r="AR93" s="21">
        <v>27000</v>
      </c>
      <c r="AS93" s="21">
        <v>0</v>
      </c>
      <c r="AT93" s="21">
        <v>0</v>
      </c>
      <c r="AU93" s="21">
        <v>0</v>
      </c>
      <c r="AV93" s="21">
        <v>0</v>
      </c>
      <c r="AW93" s="21"/>
      <c r="AX93" s="21">
        <v>8500</v>
      </c>
      <c r="AY93" s="21">
        <f t="shared" si="11"/>
        <v>6500</v>
      </c>
      <c r="AZ93" s="21">
        <f t="shared" si="12"/>
        <v>8500</v>
      </c>
      <c r="BA93" s="21">
        <f t="shared" si="13"/>
        <v>6500</v>
      </c>
      <c r="BB93" s="21">
        <v>0</v>
      </c>
      <c r="BC93" s="21">
        <v>2000</v>
      </c>
      <c r="BD93" s="21">
        <v>0</v>
      </c>
      <c r="BE93" s="21">
        <v>0</v>
      </c>
      <c r="BF93" s="21">
        <f t="shared" si="14"/>
        <v>548936</v>
      </c>
      <c r="BG93" s="21">
        <v>442000</v>
      </c>
      <c r="BH93" s="21" t="s">
        <v>39</v>
      </c>
      <c r="BI93" s="21" t="s">
        <v>2253</v>
      </c>
      <c r="BJ93" s="21" t="s">
        <v>2253</v>
      </c>
      <c r="BK93" s="21" t="s">
        <v>2673</v>
      </c>
      <c r="BL93" s="21">
        <v>107000</v>
      </c>
      <c r="BM93" s="21">
        <f t="shared" si="15"/>
        <v>-64</v>
      </c>
      <c r="BN93" s="25"/>
      <c r="BO93" s="21"/>
      <c r="BP93" s="21"/>
      <c r="BQ93" s="21"/>
      <c r="BR93" s="21"/>
      <c r="BS93" s="21"/>
      <c r="BT93" s="21"/>
      <c r="BU93" s="26"/>
      <c r="BV93" s="27"/>
      <c r="BW93" s="27"/>
      <c r="BX93" s="27">
        <v>0</v>
      </c>
      <c r="BY93" s="27">
        <v>0</v>
      </c>
      <c r="BZ93" s="27">
        <v>0</v>
      </c>
      <c r="CA93" s="27" t="str">
        <f t="shared" si="16"/>
        <v>NO</v>
      </c>
      <c r="CB93" s="27"/>
      <c r="CC93" s="27"/>
      <c r="CD93" s="27"/>
      <c r="CE93" s="27"/>
      <c r="CF93" s="27"/>
      <c r="CG93" s="28"/>
    </row>
    <row r="94" spans="1:85" s="20" customFormat="1" ht="15.75" hidden="1" customHeight="1" x14ac:dyDescent="0.3">
      <c r="A94" s="21">
        <v>143</v>
      </c>
      <c r="B94" s="22" t="s">
        <v>2771</v>
      </c>
      <c r="C94" s="22" t="s">
        <v>1231</v>
      </c>
      <c r="D94" s="23" t="s">
        <v>2772</v>
      </c>
      <c r="E94" s="24">
        <v>45470</v>
      </c>
      <c r="F94" s="24">
        <v>45471</v>
      </c>
      <c r="G94" s="22" t="s">
        <v>333</v>
      </c>
      <c r="H94" s="22" t="s">
        <v>333</v>
      </c>
      <c r="I94" s="22" t="s">
        <v>2249</v>
      </c>
      <c r="J94" s="22" t="s">
        <v>1229</v>
      </c>
      <c r="K94" s="22"/>
      <c r="L94" s="22"/>
      <c r="M94" s="24" t="s">
        <v>310</v>
      </c>
      <c r="N94" s="24" t="s">
        <v>310</v>
      </c>
      <c r="O94" s="22" t="s">
        <v>2250</v>
      </c>
      <c r="P94" s="22">
        <v>589000</v>
      </c>
      <c r="Q94" s="22" t="s">
        <v>2271</v>
      </c>
      <c r="R94" s="22" t="s">
        <v>333</v>
      </c>
      <c r="S94" s="21" t="s">
        <v>2672</v>
      </c>
      <c r="T94" s="8" t="s">
        <v>3107</v>
      </c>
      <c r="U94" s="8" t="s">
        <v>2417</v>
      </c>
      <c r="V94" s="21">
        <v>568885</v>
      </c>
      <c r="W94" s="21">
        <v>53911</v>
      </c>
      <c r="X94" s="21">
        <v>26000</v>
      </c>
      <c r="Y94" s="21">
        <v>8850</v>
      </c>
      <c r="Z94" s="21">
        <v>500</v>
      </c>
      <c r="AA94" s="21" t="s">
        <v>2253</v>
      </c>
      <c r="AB94" s="21">
        <v>0</v>
      </c>
      <c r="AC94" s="21">
        <v>2750</v>
      </c>
      <c r="AD94" s="21">
        <v>0</v>
      </c>
      <c r="AE94" s="21">
        <v>0</v>
      </c>
      <c r="AF94" s="21">
        <v>28000</v>
      </c>
      <c r="AG94" s="21">
        <v>0</v>
      </c>
      <c r="AH94" s="21">
        <v>0</v>
      </c>
      <c r="AI94" s="21">
        <v>0</v>
      </c>
      <c r="AJ94" s="21">
        <v>10000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15000</v>
      </c>
      <c r="AS94" s="21">
        <v>0</v>
      </c>
      <c r="AT94" s="21">
        <v>0</v>
      </c>
      <c r="AU94" s="21">
        <v>0</v>
      </c>
      <c r="AV94" s="21">
        <v>0</v>
      </c>
      <c r="AW94" s="21"/>
      <c r="AX94" s="21">
        <v>10000</v>
      </c>
      <c r="AY94" s="21">
        <f t="shared" si="11"/>
        <v>8000</v>
      </c>
      <c r="AZ94" s="21">
        <f t="shared" si="12"/>
        <v>10000</v>
      </c>
      <c r="BA94" s="21">
        <f t="shared" si="13"/>
        <v>8000</v>
      </c>
      <c r="BB94" s="21">
        <v>0</v>
      </c>
      <c r="BC94" s="21">
        <v>2000</v>
      </c>
      <c r="BD94" s="21">
        <v>0</v>
      </c>
      <c r="BE94" s="21">
        <v>0</v>
      </c>
      <c r="BF94" s="21">
        <f t="shared" si="14"/>
        <v>653896</v>
      </c>
      <c r="BG94" s="21">
        <v>563737</v>
      </c>
      <c r="BH94" s="21" t="s">
        <v>39</v>
      </c>
      <c r="BI94" s="21" t="s">
        <v>2253</v>
      </c>
      <c r="BJ94" s="21" t="s">
        <v>2253</v>
      </c>
      <c r="BK94" s="21">
        <v>13539452</v>
      </c>
      <c r="BL94" s="21">
        <v>90400</v>
      </c>
      <c r="BM94" s="21">
        <f t="shared" si="15"/>
        <v>-241</v>
      </c>
      <c r="BN94" s="25"/>
      <c r="BO94" s="21"/>
      <c r="BP94" s="21"/>
      <c r="BQ94" s="21"/>
      <c r="BR94" s="21"/>
      <c r="BS94" s="21"/>
      <c r="BT94" s="21"/>
      <c r="BU94" s="26"/>
      <c r="BV94" s="27"/>
      <c r="BW94" s="27"/>
      <c r="BX94" s="27">
        <v>0</v>
      </c>
      <c r="BY94" s="27">
        <v>0</v>
      </c>
      <c r="BZ94" s="27">
        <v>0</v>
      </c>
      <c r="CA94" s="27" t="str">
        <f t="shared" si="16"/>
        <v>NO</v>
      </c>
      <c r="CB94" s="27"/>
      <c r="CC94" s="27"/>
      <c r="CD94" s="27"/>
      <c r="CE94" s="27"/>
      <c r="CF94" s="27"/>
      <c r="CG94" s="28"/>
    </row>
    <row r="95" spans="1:85" s="20" customFormat="1" ht="15.75" hidden="1" customHeight="1" x14ac:dyDescent="0.3">
      <c r="A95" s="21">
        <v>3</v>
      </c>
      <c r="B95" s="22" t="s">
        <v>2261</v>
      </c>
      <c r="C95" s="22">
        <v>807622</v>
      </c>
      <c r="D95" s="23" t="s">
        <v>2262</v>
      </c>
      <c r="E95" s="24">
        <v>45445</v>
      </c>
      <c r="F95" s="24">
        <v>45446</v>
      </c>
      <c r="G95" s="22" t="s">
        <v>646</v>
      </c>
      <c r="H95" s="22" t="s">
        <v>646</v>
      </c>
      <c r="I95" s="22" t="s">
        <v>2249</v>
      </c>
      <c r="J95" s="22" t="s">
        <v>612</v>
      </c>
      <c r="K95" s="22"/>
      <c r="L95" s="22"/>
      <c r="M95" s="24" t="s">
        <v>3017</v>
      </c>
      <c r="N95" s="24" t="s">
        <v>2263</v>
      </c>
      <c r="O95" s="22" t="s">
        <v>2264</v>
      </c>
      <c r="P95" s="22">
        <v>900000</v>
      </c>
      <c r="Q95" s="22" t="s">
        <v>2265</v>
      </c>
      <c r="R95" s="22" t="s">
        <v>2266</v>
      </c>
      <c r="S95" s="21" t="s">
        <v>2259</v>
      </c>
      <c r="T95" s="8" t="s">
        <v>615</v>
      </c>
      <c r="U95" s="8" t="s">
        <v>2259</v>
      </c>
      <c r="V95" s="21">
        <v>1078885</v>
      </c>
      <c r="W95" s="21">
        <v>0</v>
      </c>
      <c r="X95" s="21">
        <v>30000</v>
      </c>
      <c r="Y95" s="21">
        <v>18325</v>
      </c>
      <c r="Z95" s="21">
        <v>500</v>
      </c>
      <c r="AA95" s="21" t="s">
        <v>2253</v>
      </c>
      <c r="AB95" s="21">
        <v>5000</v>
      </c>
      <c r="AC95" s="21">
        <v>0</v>
      </c>
      <c r="AD95" s="21">
        <v>10789</v>
      </c>
      <c r="AE95" s="21">
        <v>0</v>
      </c>
      <c r="AF95" s="21">
        <v>41000</v>
      </c>
      <c r="AG95" s="21">
        <v>0</v>
      </c>
      <c r="AH95" s="21">
        <v>0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21">
        <v>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/>
      <c r="AX95" s="21">
        <v>0</v>
      </c>
      <c r="AY95" s="21">
        <f t="shared" si="11"/>
        <v>0</v>
      </c>
      <c r="AZ95" s="21">
        <f t="shared" si="12"/>
        <v>0</v>
      </c>
      <c r="BA95" s="21">
        <f t="shared" si="13"/>
        <v>0</v>
      </c>
      <c r="BB95" s="21">
        <v>0</v>
      </c>
      <c r="BC95" s="21">
        <v>0</v>
      </c>
      <c r="BD95" s="21">
        <v>0</v>
      </c>
      <c r="BE95" s="21">
        <v>0</v>
      </c>
      <c r="BF95" s="21">
        <f t="shared" si="14"/>
        <v>1184499</v>
      </c>
      <c r="BG95" s="21">
        <v>878969</v>
      </c>
      <c r="BH95" s="21" t="s">
        <v>39</v>
      </c>
      <c r="BI95" s="21" t="s">
        <v>2253</v>
      </c>
      <c r="BJ95" s="21" t="s">
        <v>2253</v>
      </c>
      <c r="BK95" s="29">
        <v>145866664</v>
      </c>
      <c r="BL95" s="21">
        <f>10000+20000+120000+75000+55530</f>
        <v>280530</v>
      </c>
      <c r="BM95" s="21">
        <f t="shared" si="15"/>
        <v>25000</v>
      </c>
      <c r="BN95" s="25">
        <v>45446</v>
      </c>
      <c r="BO95" s="21"/>
      <c r="BP95" s="21"/>
      <c r="BQ95" s="21"/>
      <c r="BR95" s="21"/>
      <c r="BS95" s="21"/>
      <c r="BT95" s="21"/>
      <c r="BU95" s="26"/>
      <c r="BV95" s="27"/>
      <c r="BW95" s="27"/>
      <c r="BX95" s="27">
        <v>0</v>
      </c>
      <c r="BY95" s="27">
        <v>0</v>
      </c>
      <c r="BZ95" s="27">
        <v>0</v>
      </c>
      <c r="CA95" s="27" t="str">
        <f t="shared" si="16"/>
        <v>NO</v>
      </c>
      <c r="CB95" s="27"/>
      <c r="CC95" s="27"/>
      <c r="CD95" s="27"/>
      <c r="CE95" s="27"/>
      <c r="CF95" s="27"/>
      <c r="CG95" s="28"/>
    </row>
    <row r="96" spans="1:85" s="20" customFormat="1" ht="15.75" hidden="1" customHeight="1" x14ac:dyDescent="0.3">
      <c r="A96" s="21">
        <v>18</v>
      </c>
      <c r="B96" s="22" t="s">
        <v>2344</v>
      </c>
      <c r="C96" s="22" t="s">
        <v>638</v>
      </c>
      <c r="D96" s="23" t="s">
        <v>2345</v>
      </c>
      <c r="E96" s="24">
        <v>45448</v>
      </c>
      <c r="F96" s="24">
        <v>45448</v>
      </c>
      <c r="G96" s="22" t="s">
        <v>646</v>
      </c>
      <c r="H96" s="22" t="s">
        <v>646</v>
      </c>
      <c r="I96" s="22" t="s">
        <v>2249</v>
      </c>
      <c r="J96" s="22" t="s">
        <v>2346</v>
      </c>
      <c r="K96" s="22"/>
      <c r="L96" s="22"/>
      <c r="M96" s="24" t="s">
        <v>310</v>
      </c>
      <c r="N96" s="24" t="s">
        <v>310</v>
      </c>
      <c r="O96" s="22" t="s">
        <v>2347</v>
      </c>
      <c r="P96" s="22">
        <v>0</v>
      </c>
      <c r="Q96" s="22" t="s">
        <v>77</v>
      </c>
      <c r="R96" s="22" t="s">
        <v>646</v>
      </c>
      <c r="S96" s="21" t="s">
        <v>2259</v>
      </c>
      <c r="T96" s="8" t="s">
        <v>615</v>
      </c>
      <c r="U96" s="8" t="s">
        <v>2259</v>
      </c>
      <c r="V96" s="21">
        <v>561000</v>
      </c>
      <c r="W96" s="21">
        <v>0</v>
      </c>
      <c r="X96" s="21">
        <v>26000</v>
      </c>
      <c r="Y96" s="21">
        <v>0</v>
      </c>
      <c r="Z96" s="21">
        <v>500</v>
      </c>
      <c r="AA96" s="21" t="s">
        <v>2260</v>
      </c>
      <c r="AB96" s="21">
        <v>5000</v>
      </c>
      <c r="AC96" s="21">
        <v>0</v>
      </c>
      <c r="AD96" s="21">
        <v>0</v>
      </c>
      <c r="AE96" s="21">
        <v>0</v>
      </c>
      <c r="AF96" s="21">
        <v>0</v>
      </c>
      <c r="AG96" s="21">
        <v>0</v>
      </c>
      <c r="AH96" s="21">
        <v>0</v>
      </c>
      <c r="AI96" s="21">
        <v>0</v>
      </c>
      <c r="AJ96" s="21">
        <v>10000</v>
      </c>
      <c r="AK96" s="21">
        <v>0</v>
      </c>
      <c r="AL96" s="21">
        <v>0</v>
      </c>
      <c r="AM96" s="21">
        <v>0</v>
      </c>
      <c r="AN96" s="21">
        <v>0</v>
      </c>
      <c r="AO96" s="21">
        <v>0</v>
      </c>
      <c r="AP96" s="21">
        <v>0</v>
      </c>
      <c r="AQ96" s="21">
        <v>3100</v>
      </c>
      <c r="AR96" s="21">
        <v>15000</v>
      </c>
      <c r="AS96" s="21">
        <v>0</v>
      </c>
      <c r="AT96" s="21">
        <v>0</v>
      </c>
      <c r="AU96" s="21">
        <v>0</v>
      </c>
      <c r="AV96" s="21">
        <v>5000</v>
      </c>
      <c r="AW96" s="21"/>
      <c r="AX96" s="21">
        <v>3200</v>
      </c>
      <c r="AY96" s="21">
        <f t="shared" si="11"/>
        <v>8200</v>
      </c>
      <c r="AZ96" s="21">
        <f t="shared" si="12"/>
        <v>8200</v>
      </c>
      <c r="BA96" s="21">
        <f t="shared" si="13"/>
        <v>8200</v>
      </c>
      <c r="BB96" s="21">
        <v>0</v>
      </c>
      <c r="BC96" s="21">
        <v>0</v>
      </c>
      <c r="BD96" s="21">
        <v>0</v>
      </c>
      <c r="BE96" s="21">
        <v>0</v>
      </c>
      <c r="BF96" s="21">
        <f t="shared" si="14"/>
        <v>556200</v>
      </c>
      <c r="BG96" s="21">
        <v>0</v>
      </c>
      <c r="BH96" s="21" t="s">
        <v>2287</v>
      </c>
      <c r="BI96" s="21" t="s">
        <v>2260</v>
      </c>
      <c r="BJ96" s="21" t="s">
        <v>2260</v>
      </c>
      <c r="BK96" s="21">
        <v>0</v>
      </c>
      <c r="BL96" s="21">
        <f>5000+195000+300000</f>
        <v>500000</v>
      </c>
      <c r="BM96" s="21">
        <f t="shared" si="15"/>
        <v>56200</v>
      </c>
      <c r="BN96" s="25">
        <v>45453</v>
      </c>
      <c r="BO96" s="21"/>
      <c r="BP96" s="21"/>
      <c r="BQ96" s="21"/>
      <c r="BR96" s="21"/>
      <c r="BS96" s="21"/>
      <c r="BT96" s="21"/>
      <c r="BU96" s="26"/>
      <c r="BV96" s="27"/>
      <c r="BW96" s="27"/>
      <c r="BX96" s="27">
        <v>0</v>
      </c>
      <c r="BY96" s="27">
        <v>0</v>
      </c>
      <c r="BZ96" s="27">
        <v>0</v>
      </c>
      <c r="CA96" s="27" t="str">
        <f t="shared" si="16"/>
        <v>NO</v>
      </c>
      <c r="CB96" s="27"/>
      <c r="CC96" s="27"/>
      <c r="CD96" s="27"/>
      <c r="CE96" s="27"/>
      <c r="CF96" s="27"/>
      <c r="CG96" s="28"/>
    </row>
    <row r="97" spans="1:85" s="20" customFormat="1" ht="15.75" hidden="1" customHeight="1" x14ac:dyDescent="0.3">
      <c r="A97" s="21">
        <v>53</v>
      </c>
      <c r="B97" s="22" t="s">
        <v>2481</v>
      </c>
      <c r="C97" s="22">
        <v>892711</v>
      </c>
      <c r="D97" s="23" t="s">
        <v>2482</v>
      </c>
      <c r="E97" s="24">
        <v>45455</v>
      </c>
      <c r="F97" s="24">
        <v>45462</v>
      </c>
      <c r="G97" s="22" t="s">
        <v>646</v>
      </c>
      <c r="H97" s="22" t="s">
        <v>646</v>
      </c>
      <c r="I97" s="22" t="s">
        <v>2249</v>
      </c>
      <c r="J97" s="22" t="s">
        <v>696</v>
      </c>
      <c r="K97" s="22"/>
      <c r="L97" s="22"/>
      <c r="M97" s="24" t="s">
        <v>248</v>
      </c>
      <c r="N97" s="24" t="s">
        <v>248</v>
      </c>
      <c r="O97" s="22" t="s">
        <v>2264</v>
      </c>
      <c r="P97" s="22">
        <v>760000</v>
      </c>
      <c r="Q97" s="22" t="s">
        <v>2327</v>
      </c>
      <c r="R97" s="22" t="s">
        <v>2266</v>
      </c>
      <c r="S97" s="21" t="s">
        <v>2259</v>
      </c>
      <c r="T97" s="8" t="s">
        <v>615</v>
      </c>
      <c r="U97" s="8" t="s">
        <v>2259</v>
      </c>
      <c r="V97" s="21">
        <v>844877</v>
      </c>
      <c r="W97" s="21">
        <v>0</v>
      </c>
      <c r="X97" s="21">
        <v>24500</v>
      </c>
      <c r="Y97" s="21">
        <v>0</v>
      </c>
      <c r="Z97" s="21">
        <v>500</v>
      </c>
      <c r="AA97" s="21" t="s">
        <v>2253</v>
      </c>
      <c r="AB97" s="21">
        <v>4500</v>
      </c>
      <c r="AC97" s="21">
        <v>0</v>
      </c>
      <c r="AD97" s="21">
        <v>0</v>
      </c>
      <c r="AE97" s="21">
        <v>0</v>
      </c>
      <c r="AF97" s="21">
        <v>2804</v>
      </c>
      <c r="AG97" s="21">
        <v>0</v>
      </c>
      <c r="AH97" s="21">
        <v>0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21">
        <v>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4500</v>
      </c>
      <c r="AW97" s="21"/>
      <c r="AX97" s="21">
        <v>0</v>
      </c>
      <c r="AY97" s="21">
        <f t="shared" si="11"/>
        <v>4500</v>
      </c>
      <c r="AZ97" s="21">
        <f t="shared" si="12"/>
        <v>4500</v>
      </c>
      <c r="BA97" s="21">
        <f t="shared" si="13"/>
        <v>4500</v>
      </c>
      <c r="BB97" s="21">
        <v>0</v>
      </c>
      <c r="BC97" s="21">
        <v>0</v>
      </c>
      <c r="BD97" s="21">
        <v>0</v>
      </c>
      <c r="BE97" s="21">
        <v>0</v>
      </c>
      <c r="BF97" s="21">
        <f t="shared" si="14"/>
        <v>872681</v>
      </c>
      <c r="BG97" s="21">
        <v>742681</v>
      </c>
      <c r="BH97" s="21" t="s">
        <v>39</v>
      </c>
      <c r="BI97" s="21" t="s">
        <v>2253</v>
      </c>
      <c r="BJ97" s="21" t="s">
        <v>2253</v>
      </c>
      <c r="BK97" s="29" t="s">
        <v>2483</v>
      </c>
      <c r="BL97" s="21">
        <f>2000+90000+7000+31000</f>
        <v>130000</v>
      </c>
      <c r="BM97" s="21">
        <f t="shared" si="15"/>
        <v>0</v>
      </c>
      <c r="BN97" s="25"/>
      <c r="BO97" s="21"/>
      <c r="BP97" s="21"/>
      <c r="BQ97" s="21"/>
      <c r="BR97" s="21"/>
      <c r="BS97" s="21"/>
      <c r="BT97" s="21"/>
      <c r="BU97" s="26"/>
      <c r="BV97" s="27"/>
      <c r="BW97" s="27"/>
      <c r="BX97" s="27">
        <v>0</v>
      </c>
      <c r="BY97" s="27">
        <v>0</v>
      </c>
      <c r="BZ97" s="27">
        <v>0</v>
      </c>
      <c r="CA97" s="27" t="str">
        <f t="shared" si="16"/>
        <v>NO</v>
      </c>
      <c r="CB97" s="27"/>
      <c r="CC97" s="27"/>
      <c r="CD97" s="27"/>
      <c r="CE97" s="27"/>
      <c r="CF97" s="27"/>
      <c r="CG97" s="28"/>
    </row>
    <row r="98" spans="1:85" s="20" customFormat="1" ht="15.75" hidden="1" customHeight="1" x14ac:dyDescent="0.3">
      <c r="A98" s="21">
        <v>65</v>
      </c>
      <c r="B98" s="22" t="s">
        <v>2515</v>
      </c>
      <c r="C98" s="22" t="s">
        <v>717</v>
      </c>
      <c r="D98" s="23" t="s">
        <v>2516</v>
      </c>
      <c r="E98" s="24">
        <v>45457</v>
      </c>
      <c r="F98" s="24">
        <v>45458</v>
      </c>
      <c r="G98" s="22" t="s">
        <v>646</v>
      </c>
      <c r="H98" s="22" t="s">
        <v>646</v>
      </c>
      <c r="I98" s="22" t="s">
        <v>2517</v>
      </c>
      <c r="J98" s="22" t="s">
        <v>2518</v>
      </c>
      <c r="K98" s="22"/>
      <c r="L98" s="22"/>
      <c r="M98" s="24" t="s">
        <v>2362</v>
      </c>
      <c r="N98" s="24" t="s">
        <v>2362</v>
      </c>
      <c r="O98" s="22" t="s">
        <v>2321</v>
      </c>
      <c r="P98" s="22">
        <v>0</v>
      </c>
      <c r="Q98" s="22" t="s">
        <v>77</v>
      </c>
      <c r="R98" s="22" t="s">
        <v>646</v>
      </c>
      <c r="S98" s="21" t="s">
        <v>2259</v>
      </c>
      <c r="T98" s="8" t="s">
        <v>615</v>
      </c>
      <c r="U98" s="8" t="s">
        <v>2259</v>
      </c>
      <c r="V98" s="21">
        <v>599500</v>
      </c>
      <c r="W98" s="21">
        <v>0</v>
      </c>
      <c r="X98" s="21">
        <v>22485</v>
      </c>
      <c r="Y98" s="21">
        <v>0</v>
      </c>
      <c r="Z98" s="21">
        <v>500</v>
      </c>
      <c r="AA98" s="21" t="s">
        <v>2260</v>
      </c>
      <c r="AB98" s="21">
        <v>4500</v>
      </c>
      <c r="AC98" s="21">
        <v>0</v>
      </c>
      <c r="AD98" s="21">
        <v>0</v>
      </c>
      <c r="AE98" s="21">
        <v>0</v>
      </c>
      <c r="AF98" s="21">
        <v>30000</v>
      </c>
      <c r="AG98" s="21">
        <v>0</v>
      </c>
      <c r="AH98" s="21">
        <v>0</v>
      </c>
      <c r="AI98" s="21">
        <v>0</v>
      </c>
      <c r="AJ98" s="21">
        <v>10000</v>
      </c>
      <c r="AK98" s="21">
        <v>0</v>
      </c>
      <c r="AL98" s="21">
        <v>0</v>
      </c>
      <c r="AM98" s="21">
        <v>0</v>
      </c>
      <c r="AN98" s="21">
        <v>0</v>
      </c>
      <c r="AO98" s="21">
        <v>0</v>
      </c>
      <c r="AP98" s="21">
        <v>0</v>
      </c>
      <c r="AQ98" s="21">
        <v>3100</v>
      </c>
      <c r="AR98" s="21">
        <v>25000</v>
      </c>
      <c r="AS98" s="21">
        <v>0</v>
      </c>
      <c r="AT98" s="21">
        <v>0</v>
      </c>
      <c r="AU98" s="21">
        <v>0</v>
      </c>
      <c r="AV98" s="21">
        <v>4500</v>
      </c>
      <c r="AW98" s="21"/>
      <c r="AX98" s="21">
        <v>8064</v>
      </c>
      <c r="AY98" s="21">
        <f t="shared" ref="AY98:AY129" si="17">+AU98+AV98+AW98+AX98-BC98</f>
        <v>12564</v>
      </c>
      <c r="AZ98" s="21">
        <f t="shared" ref="AZ98:AZ129" si="18">+SUM(AU98:AX98)</f>
        <v>12564</v>
      </c>
      <c r="BA98" s="21">
        <f t="shared" ref="BA98:BA129" si="19">+IF(AZ98&gt;=BC98,AZ98-BC98,0)</f>
        <v>12564</v>
      </c>
      <c r="BB98" s="21">
        <v>0</v>
      </c>
      <c r="BC98" s="21">
        <v>0</v>
      </c>
      <c r="BD98" s="21">
        <v>0</v>
      </c>
      <c r="BE98" s="21">
        <v>0</v>
      </c>
      <c r="BF98" s="21">
        <f t="shared" ref="BF98:BF129" si="20">V98+W98+X98+Y98+Z98+AB98+AE98+AF98+AG98+AI98-AJ98-AO98-AP98-AQ98-AR98-AS98-AT98-AX98-BB98-BD98-BE98-AW98-AU98+AD98-AV98-AN98+AC98</f>
        <v>606321</v>
      </c>
      <c r="BG98" s="21">
        <v>0</v>
      </c>
      <c r="BH98" s="21" t="s">
        <v>2287</v>
      </c>
      <c r="BI98" s="21" t="s">
        <v>2260</v>
      </c>
      <c r="BJ98" s="21" t="s">
        <v>2260</v>
      </c>
      <c r="BK98" s="21">
        <v>0</v>
      </c>
      <c r="BL98" s="21">
        <f>2100+190000</f>
        <v>192100</v>
      </c>
      <c r="BM98" s="21">
        <f t="shared" ref="BM98:BM129" si="21">BF98-BG98-BL98-AH98</f>
        <v>414221</v>
      </c>
      <c r="BN98" s="25">
        <v>45458</v>
      </c>
      <c r="BO98" s="21"/>
      <c r="BP98" s="21"/>
      <c r="BQ98" s="21"/>
      <c r="BR98" s="21"/>
      <c r="BS98" s="21"/>
      <c r="BT98" s="21"/>
      <c r="BU98" s="26"/>
      <c r="BV98" s="27"/>
      <c r="BW98" s="27"/>
      <c r="BX98" s="27">
        <v>0</v>
      </c>
      <c r="BY98" s="27">
        <v>0</v>
      </c>
      <c r="BZ98" s="27">
        <v>0</v>
      </c>
      <c r="CA98" s="27" t="str">
        <f t="shared" si="16"/>
        <v>NO</v>
      </c>
      <c r="CB98" s="27"/>
      <c r="CC98" s="27"/>
      <c r="CD98" s="27"/>
      <c r="CE98" s="27"/>
      <c r="CF98" s="27"/>
      <c r="CG98" s="28"/>
    </row>
    <row r="99" spans="1:85" s="20" customFormat="1" ht="15.75" hidden="1" customHeight="1" x14ac:dyDescent="0.3">
      <c r="A99" s="21">
        <v>73</v>
      </c>
      <c r="B99" s="22" t="s">
        <v>2544</v>
      </c>
      <c r="C99" s="22">
        <v>804358</v>
      </c>
      <c r="D99" s="23" t="s">
        <v>2545</v>
      </c>
      <c r="E99" s="24">
        <v>45459</v>
      </c>
      <c r="F99" s="24">
        <v>45459</v>
      </c>
      <c r="G99" s="22" t="s">
        <v>646</v>
      </c>
      <c r="H99" s="22" t="s">
        <v>646</v>
      </c>
      <c r="I99" s="22" t="s">
        <v>2249</v>
      </c>
      <c r="J99" s="22" t="s">
        <v>2546</v>
      </c>
      <c r="K99" s="22"/>
      <c r="L99" s="22"/>
      <c r="M99" s="24" t="s">
        <v>2263</v>
      </c>
      <c r="N99" s="24" t="s">
        <v>2263</v>
      </c>
      <c r="O99" s="22" t="s">
        <v>2321</v>
      </c>
      <c r="P99" s="22">
        <v>0</v>
      </c>
      <c r="Q99" s="22" t="s">
        <v>77</v>
      </c>
      <c r="R99" s="22" t="s">
        <v>646</v>
      </c>
      <c r="S99" s="21" t="s">
        <v>2259</v>
      </c>
      <c r="T99" s="8" t="s">
        <v>615</v>
      </c>
      <c r="U99" s="8" t="s">
        <v>2259</v>
      </c>
      <c r="V99" s="21">
        <v>983885</v>
      </c>
      <c r="W99" s="21">
        <v>86811</v>
      </c>
      <c r="X99" s="21">
        <v>36986</v>
      </c>
      <c r="Y99" s="21">
        <v>16709</v>
      </c>
      <c r="Z99" s="21">
        <v>500</v>
      </c>
      <c r="AA99" s="21" t="s">
        <v>2253</v>
      </c>
      <c r="AB99" s="21">
        <v>0</v>
      </c>
      <c r="AC99" s="21">
        <v>4933</v>
      </c>
      <c r="AD99" s="21">
        <v>5000</v>
      </c>
      <c r="AE99" s="21">
        <v>0</v>
      </c>
      <c r="AF99" s="21">
        <v>41000</v>
      </c>
      <c r="AG99" s="21">
        <v>0</v>
      </c>
      <c r="AH99" s="21">
        <v>0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21">
        <v>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/>
      <c r="AX99" s="21">
        <v>0</v>
      </c>
      <c r="AY99" s="21">
        <f t="shared" si="17"/>
        <v>-2000</v>
      </c>
      <c r="AZ99" s="21">
        <f t="shared" si="18"/>
        <v>0</v>
      </c>
      <c r="BA99" s="21">
        <f t="shared" si="19"/>
        <v>0</v>
      </c>
      <c r="BB99" s="21">
        <v>0</v>
      </c>
      <c r="BC99" s="21">
        <v>2000</v>
      </c>
      <c r="BD99" s="21">
        <v>0</v>
      </c>
      <c r="BE99" s="21">
        <v>0</v>
      </c>
      <c r="BF99" s="21">
        <f t="shared" si="20"/>
        <v>1175824</v>
      </c>
      <c r="BG99" s="21">
        <v>0</v>
      </c>
      <c r="BH99" s="21" t="s">
        <v>2287</v>
      </c>
      <c r="BI99" s="21" t="s">
        <v>2260</v>
      </c>
      <c r="BJ99" s="21" t="s">
        <v>2260</v>
      </c>
      <c r="BK99" s="21">
        <v>0</v>
      </c>
      <c r="BL99" s="21">
        <f>11000+1159824+5000</f>
        <v>1175824</v>
      </c>
      <c r="BM99" s="21">
        <f t="shared" si="21"/>
        <v>0</v>
      </c>
      <c r="BN99" s="25"/>
      <c r="BO99" s="21"/>
      <c r="BP99" s="21"/>
      <c r="BQ99" s="21"/>
      <c r="BR99" s="21"/>
      <c r="BS99" s="21"/>
      <c r="BT99" s="21"/>
      <c r="BU99" s="26"/>
      <c r="BV99" s="27"/>
      <c r="BW99" s="27"/>
      <c r="BX99" s="27">
        <v>0</v>
      </c>
      <c r="BY99" s="27">
        <v>0</v>
      </c>
      <c r="BZ99" s="27">
        <v>0</v>
      </c>
      <c r="CA99" s="27" t="str">
        <f t="shared" si="16"/>
        <v>YES</v>
      </c>
      <c r="CB99" s="27"/>
      <c r="CC99" s="27"/>
      <c r="CD99" s="27"/>
      <c r="CE99" s="27"/>
      <c r="CF99" s="27"/>
      <c r="CG99" s="28"/>
    </row>
    <row r="100" spans="1:85" s="20" customFormat="1" ht="15.75" hidden="1" customHeight="1" x14ac:dyDescent="0.3">
      <c r="A100" s="21">
        <v>101</v>
      </c>
      <c r="B100" s="22" t="s">
        <v>2634</v>
      </c>
      <c r="C100" s="22">
        <v>101072</v>
      </c>
      <c r="D100" s="23" t="s">
        <v>2635</v>
      </c>
      <c r="E100" s="24">
        <v>45463</v>
      </c>
      <c r="F100" s="24">
        <v>45469</v>
      </c>
      <c r="G100" s="22" t="s">
        <v>646</v>
      </c>
      <c r="H100" s="22" t="s">
        <v>646</v>
      </c>
      <c r="I100" s="22" t="s">
        <v>2249</v>
      </c>
      <c r="J100" s="22" t="s">
        <v>2636</v>
      </c>
      <c r="K100" s="22"/>
      <c r="L100" s="22"/>
      <c r="M100" s="24" t="s">
        <v>2304</v>
      </c>
      <c r="N100" s="24" t="s">
        <v>2304</v>
      </c>
      <c r="O100" s="22" t="s">
        <v>2637</v>
      </c>
      <c r="P100" s="22">
        <v>660000</v>
      </c>
      <c r="Q100" s="22" t="s">
        <v>2336</v>
      </c>
      <c r="R100" s="22" t="s">
        <v>2638</v>
      </c>
      <c r="S100" s="21" t="s">
        <v>2259</v>
      </c>
      <c r="T100" s="8" t="s">
        <v>615</v>
      </c>
      <c r="U100" s="8" t="s">
        <v>2259</v>
      </c>
      <c r="V100" s="21">
        <v>648742</v>
      </c>
      <c r="W100" s="21">
        <v>59570</v>
      </c>
      <c r="X100" s="21">
        <v>27553</v>
      </c>
      <c r="Y100" s="21">
        <v>11033</v>
      </c>
      <c r="Z100" s="21">
        <v>500</v>
      </c>
      <c r="AA100" s="21" t="s">
        <v>2260</v>
      </c>
      <c r="AB100" s="21">
        <v>0</v>
      </c>
      <c r="AC100" s="21">
        <v>0</v>
      </c>
      <c r="AD100" s="21">
        <v>0</v>
      </c>
      <c r="AE100" s="21">
        <v>0</v>
      </c>
      <c r="AF100" s="21">
        <v>41000</v>
      </c>
      <c r="AG100" s="21">
        <v>0</v>
      </c>
      <c r="AH100" s="21">
        <v>0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21">
        <v>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7398</v>
      </c>
      <c r="AV100" s="21">
        <v>0</v>
      </c>
      <c r="AW100" s="21"/>
      <c r="AX100" s="21">
        <v>0</v>
      </c>
      <c r="AY100" s="21">
        <f t="shared" si="17"/>
        <v>5398</v>
      </c>
      <c r="AZ100" s="21">
        <f t="shared" si="18"/>
        <v>7398</v>
      </c>
      <c r="BA100" s="21">
        <f t="shared" si="19"/>
        <v>5398</v>
      </c>
      <c r="BB100" s="21">
        <v>0</v>
      </c>
      <c r="BC100" s="21">
        <v>2000</v>
      </c>
      <c r="BD100" s="21">
        <v>0</v>
      </c>
      <c r="BE100" s="21">
        <v>0</v>
      </c>
      <c r="BF100" s="21">
        <f t="shared" si="20"/>
        <v>781000</v>
      </c>
      <c r="BG100" s="21">
        <v>660000</v>
      </c>
      <c r="BH100" s="21" t="s">
        <v>39</v>
      </c>
      <c r="BI100" s="21" t="s">
        <v>2253</v>
      </c>
      <c r="BJ100" s="21" t="s">
        <v>2253</v>
      </c>
      <c r="BK100" s="21">
        <v>3336433</v>
      </c>
      <c r="BL100" s="21">
        <f>2000+119000</f>
        <v>121000</v>
      </c>
      <c r="BM100" s="21">
        <f t="shared" si="21"/>
        <v>0</v>
      </c>
      <c r="BN100" s="25"/>
      <c r="BO100" s="21"/>
      <c r="BP100" s="21"/>
      <c r="BQ100" s="21"/>
      <c r="BR100" s="21"/>
      <c r="BS100" s="21"/>
      <c r="BT100" s="21"/>
      <c r="BU100" s="26"/>
      <c r="BV100" s="27"/>
      <c r="BW100" s="27"/>
      <c r="BX100" s="27">
        <v>0</v>
      </c>
      <c r="BY100" s="27">
        <v>0</v>
      </c>
      <c r="BZ100" s="27">
        <v>0</v>
      </c>
      <c r="CA100" s="27" t="str">
        <f t="shared" si="16"/>
        <v>NO</v>
      </c>
      <c r="CB100" s="27"/>
      <c r="CC100" s="27"/>
      <c r="CD100" s="27"/>
      <c r="CE100" s="27"/>
      <c r="CF100" s="27"/>
      <c r="CG100" s="28"/>
    </row>
    <row r="101" spans="1:85" s="20" customFormat="1" ht="15.75" hidden="1" customHeight="1" x14ac:dyDescent="0.3">
      <c r="A101" s="21">
        <v>147</v>
      </c>
      <c r="B101" s="22" t="s">
        <v>2782</v>
      </c>
      <c r="C101" s="22" t="s">
        <v>837</v>
      </c>
      <c r="D101" s="23" t="s">
        <v>2783</v>
      </c>
      <c r="E101" s="24">
        <v>45470</v>
      </c>
      <c r="F101" s="24">
        <v>45471</v>
      </c>
      <c r="G101" s="22" t="s">
        <v>646</v>
      </c>
      <c r="H101" s="22" t="s">
        <v>646</v>
      </c>
      <c r="I101" s="22" t="s">
        <v>2249</v>
      </c>
      <c r="J101" s="22" t="s">
        <v>2784</v>
      </c>
      <c r="K101" s="22"/>
      <c r="L101" s="22"/>
      <c r="M101" s="24" t="s">
        <v>310</v>
      </c>
      <c r="N101" s="24" t="s">
        <v>310</v>
      </c>
      <c r="O101" s="22" t="s">
        <v>2347</v>
      </c>
      <c r="P101" s="22">
        <v>425000</v>
      </c>
      <c r="Q101" s="22" t="s">
        <v>2327</v>
      </c>
      <c r="R101" s="22" t="s">
        <v>726</v>
      </c>
      <c r="S101" s="21" t="s">
        <v>2259</v>
      </c>
      <c r="T101" s="8" t="s">
        <v>615</v>
      </c>
      <c r="U101" s="8" t="s">
        <v>2259</v>
      </c>
      <c r="V101" s="21">
        <v>561000</v>
      </c>
      <c r="W101" s="21">
        <v>0</v>
      </c>
      <c r="X101" s="21">
        <v>26037</v>
      </c>
      <c r="Y101" s="21">
        <v>0</v>
      </c>
      <c r="Z101" s="21">
        <v>500</v>
      </c>
      <c r="AA101" s="21" t="s">
        <v>2260</v>
      </c>
      <c r="AB101" s="21">
        <v>5000</v>
      </c>
      <c r="AC101" s="21">
        <v>0</v>
      </c>
      <c r="AD101" s="21">
        <v>0</v>
      </c>
      <c r="AE101" s="21">
        <v>0</v>
      </c>
      <c r="AF101" s="21">
        <v>11500</v>
      </c>
      <c r="AG101" s="21">
        <v>0</v>
      </c>
      <c r="AH101" s="21">
        <v>0</v>
      </c>
      <c r="AI101" s="21">
        <v>0</v>
      </c>
      <c r="AJ101" s="21">
        <v>10000</v>
      </c>
      <c r="AK101" s="21">
        <v>0</v>
      </c>
      <c r="AL101" s="21">
        <v>0</v>
      </c>
      <c r="AM101" s="21">
        <v>0</v>
      </c>
      <c r="AN101" s="21">
        <v>0</v>
      </c>
      <c r="AO101" s="21">
        <v>0</v>
      </c>
      <c r="AP101" s="21">
        <v>0</v>
      </c>
      <c r="AQ101" s="21">
        <v>3100</v>
      </c>
      <c r="AR101" s="21">
        <v>15000</v>
      </c>
      <c r="AS101" s="21">
        <v>0</v>
      </c>
      <c r="AT101" s="21">
        <v>0</v>
      </c>
      <c r="AU101" s="21">
        <v>0</v>
      </c>
      <c r="AV101" s="21">
        <v>5000</v>
      </c>
      <c r="AW101" s="21"/>
      <c r="AX101" s="21">
        <v>3500</v>
      </c>
      <c r="AY101" s="21">
        <f t="shared" si="17"/>
        <v>8500</v>
      </c>
      <c r="AZ101" s="21">
        <f t="shared" si="18"/>
        <v>8500</v>
      </c>
      <c r="BA101" s="21">
        <f t="shared" si="19"/>
        <v>8500</v>
      </c>
      <c r="BB101" s="21">
        <v>0</v>
      </c>
      <c r="BC101" s="21">
        <v>0</v>
      </c>
      <c r="BD101" s="21">
        <v>0</v>
      </c>
      <c r="BE101" s="21">
        <v>0</v>
      </c>
      <c r="BF101" s="21">
        <f t="shared" si="20"/>
        <v>567437</v>
      </c>
      <c r="BG101" s="21">
        <v>414337</v>
      </c>
      <c r="BH101" s="21" t="s">
        <v>39</v>
      </c>
      <c r="BI101" s="21" t="s">
        <v>2253</v>
      </c>
      <c r="BJ101" s="21" t="s">
        <v>2253</v>
      </c>
      <c r="BK101" s="21" t="s">
        <v>2785</v>
      </c>
      <c r="BL101" s="21">
        <f>2100+131500+8500+11000</f>
        <v>153100</v>
      </c>
      <c r="BM101" s="21">
        <f t="shared" si="21"/>
        <v>0</v>
      </c>
      <c r="BN101" s="25"/>
      <c r="BO101" s="21"/>
      <c r="BP101" s="21"/>
      <c r="BQ101" s="21"/>
      <c r="BR101" s="21"/>
      <c r="BS101" s="21"/>
      <c r="BT101" s="21"/>
      <c r="BU101" s="26"/>
      <c r="BV101" s="27"/>
      <c r="BW101" s="27"/>
      <c r="BX101" s="27">
        <v>0</v>
      </c>
      <c r="BY101" s="27">
        <v>0</v>
      </c>
      <c r="BZ101" s="27">
        <v>0</v>
      </c>
      <c r="CA101" s="27" t="str">
        <f t="shared" si="16"/>
        <v>NO</v>
      </c>
      <c r="CB101" s="27"/>
      <c r="CC101" s="27"/>
      <c r="CD101" s="27"/>
      <c r="CE101" s="27"/>
      <c r="CF101" s="27"/>
      <c r="CG101" s="28"/>
    </row>
    <row r="102" spans="1:85" s="20" customFormat="1" ht="15.75" hidden="1" customHeight="1" x14ac:dyDescent="0.3">
      <c r="A102" s="21">
        <v>165</v>
      </c>
      <c r="B102" s="22" t="s">
        <v>2838</v>
      </c>
      <c r="C102" s="22">
        <v>825778</v>
      </c>
      <c r="D102" s="23" t="s">
        <v>2839</v>
      </c>
      <c r="E102" s="24">
        <v>45473</v>
      </c>
      <c r="F102" s="24">
        <v>45444</v>
      </c>
      <c r="G102" s="22" t="s">
        <v>646</v>
      </c>
      <c r="H102" s="22" t="s">
        <v>646</v>
      </c>
      <c r="I102" s="22" t="s">
        <v>2249</v>
      </c>
      <c r="J102" s="22" t="s">
        <v>855</v>
      </c>
      <c r="K102" s="22"/>
      <c r="L102" s="22"/>
      <c r="M102" s="24" t="s">
        <v>2263</v>
      </c>
      <c r="N102" s="24" t="s">
        <v>2263</v>
      </c>
      <c r="O102" s="22" t="s">
        <v>2451</v>
      </c>
      <c r="P102" s="22">
        <v>800000</v>
      </c>
      <c r="Q102" s="22" t="s">
        <v>817</v>
      </c>
      <c r="R102" s="22" t="s">
        <v>817</v>
      </c>
      <c r="S102" s="21" t="s">
        <v>2259</v>
      </c>
      <c r="T102" s="8" t="s">
        <v>615</v>
      </c>
      <c r="U102" s="8" t="s">
        <v>2259</v>
      </c>
      <c r="V102" s="21">
        <v>983000</v>
      </c>
      <c r="W102" s="21">
        <v>0</v>
      </c>
      <c r="X102" s="21">
        <v>35000</v>
      </c>
      <c r="Y102" s="21">
        <v>16709</v>
      </c>
      <c r="Z102" s="21">
        <v>500</v>
      </c>
      <c r="AA102" s="21" t="s">
        <v>2260</v>
      </c>
      <c r="AB102" s="21">
        <v>5000</v>
      </c>
      <c r="AC102" s="21">
        <v>0</v>
      </c>
      <c r="AD102" s="21">
        <v>0</v>
      </c>
      <c r="AE102" s="21">
        <v>0</v>
      </c>
      <c r="AF102" s="21">
        <v>40891</v>
      </c>
      <c r="AG102" s="21">
        <v>0</v>
      </c>
      <c r="AH102" s="21">
        <v>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21">
        <v>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1000</v>
      </c>
      <c r="AV102" s="21">
        <v>0</v>
      </c>
      <c r="AW102" s="21"/>
      <c r="AX102" s="21">
        <v>0</v>
      </c>
      <c r="AY102" s="21">
        <f t="shared" si="17"/>
        <v>1000</v>
      </c>
      <c r="AZ102" s="21">
        <f t="shared" si="18"/>
        <v>1000</v>
      </c>
      <c r="BA102" s="21">
        <f t="shared" si="19"/>
        <v>1000</v>
      </c>
      <c r="BB102" s="21">
        <v>0</v>
      </c>
      <c r="BC102" s="21">
        <v>0</v>
      </c>
      <c r="BD102" s="21">
        <v>0</v>
      </c>
      <c r="BE102" s="21">
        <v>0</v>
      </c>
      <c r="BF102" s="21">
        <f t="shared" si="20"/>
        <v>1080100</v>
      </c>
      <c r="BG102" s="21">
        <v>800000</v>
      </c>
      <c r="BH102" s="21" t="s">
        <v>2287</v>
      </c>
      <c r="BI102" s="21" t="s">
        <v>2260</v>
      </c>
      <c r="BJ102" s="21" t="s">
        <v>2260</v>
      </c>
      <c r="BK102" s="21">
        <v>0</v>
      </c>
      <c r="BL102" s="21">
        <f>5000+190100+5000+80000</f>
        <v>280100</v>
      </c>
      <c r="BM102" s="21">
        <f t="shared" si="21"/>
        <v>0</v>
      </c>
      <c r="BN102" s="25"/>
      <c r="BO102" s="21"/>
      <c r="BP102" s="21"/>
      <c r="BQ102" s="21"/>
      <c r="BR102" s="21"/>
      <c r="BS102" s="21"/>
      <c r="BT102" s="21"/>
      <c r="BU102" s="26"/>
      <c r="BV102" s="27"/>
      <c r="BW102" s="27"/>
      <c r="BX102" s="27">
        <v>0</v>
      </c>
      <c r="BY102" s="27">
        <v>0</v>
      </c>
      <c r="BZ102" s="27">
        <v>0</v>
      </c>
      <c r="CA102" s="27" t="str">
        <f t="shared" si="16"/>
        <v>NO</v>
      </c>
      <c r="CB102" s="27"/>
      <c r="CC102" s="27"/>
      <c r="CD102" s="27"/>
      <c r="CE102" s="27"/>
      <c r="CF102" s="27"/>
      <c r="CG102" s="28"/>
    </row>
    <row r="103" spans="1:85" s="20" customFormat="1" ht="15.75" hidden="1" customHeight="1" x14ac:dyDescent="0.3">
      <c r="A103" s="21">
        <v>67</v>
      </c>
      <c r="B103" s="22" t="s">
        <v>2524</v>
      </c>
      <c r="C103" s="22">
        <v>815104</v>
      </c>
      <c r="D103" s="23" t="s">
        <v>2525</v>
      </c>
      <c r="E103" s="24">
        <v>45458</v>
      </c>
      <c r="F103" s="24">
        <v>45459</v>
      </c>
      <c r="G103" s="22" t="s">
        <v>646</v>
      </c>
      <c r="H103" s="22" t="s">
        <v>646</v>
      </c>
      <c r="I103" s="22" t="s">
        <v>2249</v>
      </c>
      <c r="J103" s="22" t="s">
        <v>725</v>
      </c>
      <c r="K103" s="22"/>
      <c r="L103" s="22"/>
      <c r="M103" s="24" t="s">
        <v>3103</v>
      </c>
      <c r="N103" s="24" t="s">
        <v>2263</v>
      </c>
      <c r="O103" s="22" t="s">
        <v>2264</v>
      </c>
      <c r="P103" s="22">
        <v>934662</v>
      </c>
      <c r="Q103" s="22" t="s">
        <v>2251</v>
      </c>
      <c r="R103" s="22" t="s">
        <v>2266</v>
      </c>
      <c r="S103" s="21" t="s">
        <v>2408</v>
      </c>
      <c r="T103" s="8" t="s">
        <v>687</v>
      </c>
      <c r="U103" s="8" t="s">
        <v>2408</v>
      </c>
      <c r="V103" s="21">
        <v>1078885</v>
      </c>
      <c r="W103" s="21">
        <v>0</v>
      </c>
      <c r="X103" s="21">
        <v>28500</v>
      </c>
      <c r="Y103" s="21">
        <v>18325</v>
      </c>
      <c r="Z103" s="21">
        <v>500</v>
      </c>
      <c r="AA103" s="21" t="s">
        <v>2253</v>
      </c>
      <c r="AB103" s="21">
        <v>5000</v>
      </c>
      <c r="AC103" s="21">
        <v>0</v>
      </c>
      <c r="AD103" s="21">
        <v>10789</v>
      </c>
      <c r="AE103" s="21">
        <v>0</v>
      </c>
      <c r="AF103" s="21">
        <v>40000</v>
      </c>
      <c r="AG103" s="21">
        <v>0</v>
      </c>
      <c r="AH103" s="21">
        <v>0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21">
        <v>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/>
      <c r="AX103" s="21">
        <v>0</v>
      </c>
      <c r="AY103" s="21">
        <f t="shared" si="17"/>
        <v>0</v>
      </c>
      <c r="AZ103" s="21">
        <f t="shared" si="18"/>
        <v>0</v>
      </c>
      <c r="BA103" s="21">
        <f t="shared" si="19"/>
        <v>0</v>
      </c>
      <c r="BB103" s="21">
        <v>0</v>
      </c>
      <c r="BC103" s="21">
        <v>0</v>
      </c>
      <c r="BD103" s="21">
        <v>0</v>
      </c>
      <c r="BE103" s="21">
        <v>0</v>
      </c>
      <c r="BF103" s="21">
        <f t="shared" si="20"/>
        <v>1181999</v>
      </c>
      <c r="BG103" s="21">
        <v>900815</v>
      </c>
      <c r="BH103" s="21" t="s">
        <v>39</v>
      </c>
      <c r="BI103" s="21" t="s">
        <v>2253</v>
      </c>
      <c r="BJ103" s="21" t="s">
        <v>2253</v>
      </c>
      <c r="BK103" s="21">
        <v>1207004</v>
      </c>
      <c r="BL103" s="21">
        <f>5000+50000+50000+50000+20000+5000+50000+45000+6184</f>
        <v>281184</v>
      </c>
      <c r="BM103" s="21">
        <f t="shared" si="21"/>
        <v>0</v>
      </c>
      <c r="BN103" s="25"/>
      <c r="BO103" s="21"/>
      <c r="BP103" s="21"/>
      <c r="BQ103" s="21"/>
      <c r="BR103" s="21"/>
      <c r="BS103" s="21"/>
      <c r="BT103" s="21"/>
      <c r="BU103" s="26"/>
      <c r="BV103" s="27"/>
      <c r="BW103" s="27"/>
      <c r="BX103" s="27">
        <v>0</v>
      </c>
      <c r="BY103" s="27">
        <v>0</v>
      </c>
      <c r="BZ103" s="27">
        <v>0</v>
      </c>
      <c r="CA103" s="27" t="str">
        <f t="shared" si="16"/>
        <v>NO</v>
      </c>
      <c r="CB103" s="27"/>
      <c r="CC103" s="27"/>
      <c r="CD103" s="27"/>
      <c r="CE103" s="27"/>
      <c r="CF103" s="27"/>
      <c r="CG103" s="28"/>
    </row>
    <row r="104" spans="1:85" s="20" customFormat="1" ht="15.75" hidden="1" customHeight="1" x14ac:dyDescent="0.3">
      <c r="A104" s="21">
        <v>89</v>
      </c>
      <c r="B104" s="22" t="s">
        <v>2597</v>
      </c>
      <c r="C104" s="22">
        <v>800514</v>
      </c>
      <c r="D104" s="23" t="s">
        <v>2598</v>
      </c>
      <c r="E104" s="24">
        <v>45462</v>
      </c>
      <c r="F104" s="24">
        <v>45463</v>
      </c>
      <c r="G104" s="22" t="s">
        <v>646</v>
      </c>
      <c r="H104" s="22" t="s">
        <v>646</v>
      </c>
      <c r="I104" s="22" t="s">
        <v>2249</v>
      </c>
      <c r="J104" s="22" t="s">
        <v>762</v>
      </c>
      <c r="K104" s="22"/>
      <c r="L104" s="22"/>
      <c r="M104" s="24" t="s">
        <v>2362</v>
      </c>
      <c r="N104" s="24" t="s">
        <v>2362</v>
      </c>
      <c r="O104" s="22" t="s">
        <v>2350</v>
      </c>
      <c r="P104" s="22">
        <v>628000</v>
      </c>
      <c r="Q104" s="22" t="s">
        <v>2599</v>
      </c>
      <c r="R104" s="22" t="s">
        <v>646</v>
      </c>
      <c r="S104" s="21" t="s">
        <v>2408</v>
      </c>
      <c r="T104" s="8" t="s">
        <v>687</v>
      </c>
      <c r="U104" s="8" t="s">
        <v>2408</v>
      </c>
      <c r="V104" s="21">
        <v>628000</v>
      </c>
      <c r="W104" s="21">
        <v>58821</v>
      </c>
      <c r="X104" s="21">
        <v>22500</v>
      </c>
      <c r="Y104" s="21">
        <v>0</v>
      </c>
      <c r="Z104" s="21">
        <v>0</v>
      </c>
      <c r="AA104" s="21" t="s">
        <v>2260</v>
      </c>
      <c r="AB104" s="21">
        <v>0</v>
      </c>
      <c r="AC104" s="21">
        <v>0</v>
      </c>
      <c r="AD104" s="21">
        <v>0</v>
      </c>
      <c r="AE104" s="21">
        <v>0</v>
      </c>
      <c r="AF104" s="21">
        <v>40779</v>
      </c>
      <c r="AG104" s="21">
        <v>0</v>
      </c>
      <c r="AH104" s="21">
        <v>0</v>
      </c>
      <c r="AI104" s="21">
        <v>0</v>
      </c>
      <c r="AJ104" s="21">
        <v>10000</v>
      </c>
      <c r="AK104" s="21">
        <v>0</v>
      </c>
      <c r="AL104" s="21">
        <v>0</v>
      </c>
      <c r="AM104" s="21">
        <v>0</v>
      </c>
      <c r="AN104" s="21">
        <v>0</v>
      </c>
      <c r="AO104" s="21">
        <v>0</v>
      </c>
      <c r="AP104" s="21">
        <v>0</v>
      </c>
      <c r="AQ104" s="21">
        <v>3100</v>
      </c>
      <c r="AR104" s="21">
        <v>25000</v>
      </c>
      <c r="AS104" s="21">
        <v>0</v>
      </c>
      <c r="AT104" s="21">
        <v>0</v>
      </c>
      <c r="AU104" s="21">
        <v>12000</v>
      </c>
      <c r="AV104" s="21">
        <v>0</v>
      </c>
      <c r="AW104" s="21"/>
      <c r="AX104" s="21">
        <v>0</v>
      </c>
      <c r="AY104" s="21">
        <f t="shared" si="17"/>
        <v>10000</v>
      </c>
      <c r="AZ104" s="21">
        <f t="shared" si="18"/>
        <v>12000</v>
      </c>
      <c r="BA104" s="21">
        <f t="shared" si="19"/>
        <v>10000</v>
      </c>
      <c r="BB104" s="21">
        <v>0</v>
      </c>
      <c r="BC104" s="21">
        <v>2000</v>
      </c>
      <c r="BD104" s="21">
        <v>0</v>
      </c>
      <c r="BE104" s="21">
        <v>0</v>
      </c>
      <c r="BF104" s="21">
        <f t="shared" si="20"/>
        <v>700000</v>
      </c>
      <c r="BG104" s="21">
        <v>590442</v>
      </c>
      <c r="BH104" s="21" t="s">
        <v>2583</v>
      </c>
      <c r="BI104" s="21" t="s">
        <v>2260</v>
      </c>
      <c r="BJ104" s="21" t="s">
        <v>2260</v>
      </c>
      <c r="BK104" s="21">
        <v>0</v>
      </c>
      <c r="BL104" s="21">
        <f>2000+67558+40000</f>
        <v>109558</v>
      </c>
      <c r="BM104" s="21">
        <f t="shared" si="21"/>
        <v>0</v>
      </c>
      <c r="BN104" s="25"/>
      <c r="BO104" s="21"/>
      <c r="BP104" s="21"/>
      <c r="BQ104" s="21"/>
      <c r="BR104" s="21"/>
      <c r="BS104" s="21"/>
      <c r="BT104" s="21"/>
      <c r="BU104" s="26"/>
      <c r="BV104" s="27"/>
      <c r="BW104" s="27"/>
      <c r="BX104" s="27">
        <v>0</v>
      </c>
      <c r="BY104" s="27">
        <v>0</v>
      </c>
      <c r="BZ104" s="27">
        <v>0</v>
      </c>
      <c r="CA104" s="27" t="str">
        <f t="shared" si="16"/>
        <v>NO</v>
      </c>
      <c r="CB104" s="27"/>
      <c r="CC104" s="27"/>
      <c r="CD104" s="27"/>
      <c r="CE104" s="27"/>
      <c r="CF104" s="27"/>
      <c r="CG104" s="28"/>
    </row>
    <row r="105" spans="1:85" s="20" customFormat="1" ht="15.75" hidden="1" customHeight="1" x14ac:dyDescent="0.3">
      <c r="A105" s="21">
        <v>15</v>
      </c>
      <c r="B105" s="22" t="s">
        <v>2331</v>
      </c>
      <c r="C105" s="22" t="s">
        <v>954</v>
      </c>
      <c r="D105" s="23" t="s">
        <v>2332</v>
      </c>
      <c r="E105" s="24">
        <v>45447</v>
      </c>
      <c r="F105" s="24">
        <v>45449</v>
      </c>
      <c r="G105" s="22" t="s">
        <v>333</v>
      </c>
      <c r="H105" s="22" t="s">
        <v>333</v>
      </c>
      <c r="I105" s="22" t="s">
        <v>2249</v>
      </c>
      <c r="J105" s="22" t="s">
        <v>952</v>
      </c>
      <c r="K105" s="22"/>
      <c r="L105" s="22"/>
      <c r="M105" s="24" t="s">
        <v>310</v>
      </c>
      <c r="N105" s="24" t="s">
        <v>310</v>
      </c>
      <c r="O105" s="22" t="s">
        <v>2333</v>
      </c>
      <c r="P105" s="22">
        <v>552000</v>
      </c>
      <c r="Q105" s="22" t="s">
        <v>2271</v>
      </c>
      <c r="R105" s="22" t="s">
        <v>333</v>
      </c>
      <c r="S105" s="21" t="s">
        <v>2280</v>
      </c>
      <c r="T105" s="8" t="s">
        <v>879</v>
      </c>
      <c r="U105" s="8" t="s">
        <v>2280</v>
      </c>
      <c r="V105" s="21">
        <v>561885</v>
      </c>
      <c r="W105" s="21">
        <v>53351</v>
      </c>
      <c r="X105" s="21">
        <v>26000</v>
      </c>
      <c r="Y105" s="21">
        <v>8850</v>
      </c>
      <c r="Z105" s="21">
        <v>0</v>
      </c>
      <c r="AA105" s="21" t="s">
        <v>2253</v>
      </c>
      <c r="AB105" s="21">
        <v>0</v>
      </c>
      <c r="AC105" s="21">
        <v>0</v>
      </c>
      <c r="AD105" s="21">
        <v>0</v>
      </c>
      <c r="AE105" s="21">
        <v>0</v>
      </c>
      <c r="AF105" s="21">
        <v>7000</v>
      </c>
      <c r="AG105" s="21">
        <v>0</v>
      </c>
      <c r="AH105" s="21">
        <v>0</v>
      </c>
      <c r="AI105" s="21">
        <v>0</v>
      </c>
      <c r="AJ105" s="21">
        <v>10000</v>
      </c>
      <c r="AK105" s="21">
        <v>0</v>
      </c>
      <c r="AL105" s="21">
        <v>0</v>
      </c>
      <c r="AM105" s="21">
        <v>0</v>
      </c>
      <c r="AN105" s="21">
        <v>0</v>
      </c>
      <c r="AO105" s="21">
        <v>0</v>
      </c>
      <c r="AP105" s="21">
        <v>0</v>
      </c>
      <c r="AQ105" s="21">
        <v>0</v>
      </c>
      <c r="AR105" s="21">
        <v>15000</v>
      </c>
      <c r="AS105" s="21">
        <v>0</v>
      </c>
      <c r="AT105" s="21">
        <v>0</v>
      </c>
      <c r="AU105" s="21">
        <v>0</v>
      </c>
      <c r="AV105" s="21">
        <v>0</v>
      </c>
      <c r="AW105" s="21"/>
      <c r="AX105" s="21">
        <v>0</v>
      </c>
      <c r="AY105" s="21">
        <f t="shared" si="17"/>
        <v>-2000</v>
      </c>
      <c r="AZ105" s="21">
        <f t="shared" si="18"/>
        <v>0</v>
      </c>
      <c r="BA105" s="21">
        <f t="shared" si="19"/>
        <v>0</v>
      </c>
      <c r="BB105" s="21">
        <v>0</v>
      </c>
      <c r="BC105" s="21">
        <v>2000</v>
      </c>
      <c r="BD105" s="21">
        <v>0</v>
      </c>
      <c r="BE105" s="21">
        <v>0</v>
      </c>
      <c r="BF105" s="21">
        <f t="shared" si="20"/>
        <v>632086</v>
      </c>
      <c r="BG105" s="21">
        <v>532000</v>
      </c>
      <c r="BH105" s="21" t="s">
        <v>39</v>
      </c>
      <c r="BI105" s="21" t="s">
        <v>2253</v>
      </c>
      <c r="BJ105" s="21" t="s">
        <v>2253</v>
      </c>
      <c r="BK105" s="21">
        <v>13361254</v>
      </c>
      <c r="BL105" s="21">
        <f>10100+90000</f>
        <v>100100</v>
      </c>
      <c r="BM105" s="21">
        <f t="shared" si="21"/>
        <v>-14</v>
      </c>
      <c r="BN105" s="25"/>
      <c r="BO105" s="21"/>
      <c r="BP105" s="21"/>
      <c r="BQ105" s="21"/>
      <c r="BR105" s="21"/>
      <c r="BS105" s="21"/>
      <c r="BT105" s="21"/>
      <c r="BU105" s="26"/>
      <c r="BV105" s="27"/>
      <c r="BW105" s="27"/>
      <c r="BX105" s="27">
        <v>0</v>
      </c>
      <c r="BY105" s="27">
        <v>0</v>
      </c>
      <c r="BZ105" s="27">
        <v>0</v>
      </c>
      <c r="CA105" s="27" t="str">
        <f t="shared" si="16"/>
        <v>NO</v>
      </c>
      <c r="CB105" s="27"/>
      <c r="CC105" s="27"/>
      <c r="CD105" s="27"/>
      <c r="CE105" s="27"/>
      <c r="CF105" s="27"/>
      <c r="CG105" s="28"/>
    </row>
    <row r="106" spans="1:85" s="20" customFormat="1" ht="15.75" hidden="1" customHeight="1" x14ac:dyDescent="0.3">
      <c r="A106" s="21">
        <v>114</v>
      </c>
      <c r="B106" s="22" t="s">
        <v>2679</v>
      </c>
      <c r="C106" s="22">
        <v>133983</v>
      </c>
      <c r="D106" s="23" t="s">
        <v>2680</v>
      </c>
      <c r="E106" s="24">
        <v>45467</v>
      </c>
      <c r="F106" s="24">
        <v>45468</v>
      </c>
      <c r="G106" s="22" t="s">
        <v>333</v>
      </c>
      <c r="H106" s="22" t="s">
        <v>333</v>
      </c>
      <c r="I106" s="22" t="s">
        <v>2249</v>
      </c>
      <c r="J106" s="22" t="s">
        <v>1145</v>
      </c>
      <c r="K106" s="22"/>
      <c r="L106" s="22"/>
      <c r="M106" s="24" t="s">
        <v>2304</v>
      </c>
      <c r="N106" s="24" t="s">
        <v>2992</v>
      </c>
      <c r="O106" s="22" t="s">
        <v>2681</v>
      </c>
      <c r="P106" s="22">
        <v>700000</v>
      </c>
      <c r="Q106" s="22" t="s">
        <v>406</v>
      </c>
      <c r="R106" s="22" t="s">
        <v>2609</v>
      </c>
      <c r="S106" s="21" t="s">
        <v>2280</v>
      </c>
      <c r="T106" s="8" t="s">
        <v>879</v>
      </c>
      <c r="U106" s="8" t="s">
        <v>2280</v>
      </c>
      <c r="V106" s="21">
        <v>875127</v>
      </c>
      <c r="W106" s="21">
        <v>74789</v>
      </c>
      <c r="X106" s="21">
        <v>31646</v>
      </c>
      <c r="Y106" s="21">
        <v>14951</v>
      </c>
      <c r="Z106" s="21">
        <v>500</v>
      </c>
      <c r="AA106" s="21" t="s">
        <v>2253</v>
      </c>
      <c r="AB106" s="21">
        <v>0</v>
      </c>
      <c r="AC106" s="21">
        <v>4921</v>
      </c>
      <c r="AD106" s="21">
        <v>0</v>
      </c>
      <c r="AE106" s="21">
        <v>0</v>
      </c>
      <c r="AF106" s="21">
        <v>5700</v>
      </c>
      <c r="AG106" s="21">
        <v>0</v>
      </c>
      <c r="AH106" s="21">
        <v>0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21">
        <v>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/>
      <c r="AX106" s="21">
        <v>8534</v>
      </c>
      <c r="AY106" s="21">
        <f t="shared" si="17"/>
        <v>8534</v>
      </c>
      <c r="AZ106" s="21">
        <f t="shared" si="18"/>
        <v>8534</v>
      </c>
      <c r="BA106" s="21">
        <f t="shared" si="19"/>
        <v>8534</v>
      </c>
      <c r="BB106" s="21">
        <v>0</v>
      </c>
      <c r="BC106" s="21">
        <v>0</v>
      </c>
      <c r="BD106" s="21">
        <v>0</v>
      </c>
      <c r="BE106" s="21">
        <v>0</v>
      </c>
      <c r="BF106" s="21">
        <f t="shared" si="20"/>
        <v>999100</v>
      </c>
      <c r="BG106" s="21">
        <v>700000</v>
      </c>
      <c r="BH106" s="21" t="s">
        <v>39</v>
      </c>
      <c r="BI106" s="21" t="s">
        <v>2260</v>
      </c>
      <c r="BJ106" s="21" t="s">
        <v>2260</v>
      </c>
      <c r="BK106" s="21">
        <v>3340706</v>
      </c>
      <c r="BL106" s="21">
        <f>5100+294000</f>
        <v>299100</v>
      </c>
      <c r="BM106" s="21">
        <f t="shared" si="21"/>
        <v>0</v>
      </c>
      <c r="BN106" s="25"/>
      <c r="BO106" s="21"/>
      <c r="BP106" s="21"/>
      <c r="BQ106" s="21"/>
      <c r="BR106" s="21"/>
      <c r="BS106" s="21"/>
      <c r="BT106" s="21"/>
      <c r="BU106" s="26"/>
      <c r="BV106" s="27"/>
      <c r="BW106" s="27"/>
      <c r="BX106" s="27">
        <v>0</v>
      </c>
      <c r="BY106" s="27">
        <v>0</v>
      </c>
      <c r="BZ106" s="27">
        <v>0</v>
      </c>
      <c r="CA106" s="27" t="str">
        <f t="shared" si="16"/>
        <v>NO</v>
      </c>
      <c r="CB106" s="27"/>
      <c r="CC106" s="27"/>
      <c r="CD106" s="27"/>
      <c r="CE106" s="27"/>
      <c r="CF106" s="27"/>
      <c r="CG106" s="28"/>
    </row>
    <row r="107" spans="1:85" s="20" customFormat="1" ht="15.75" hidden="1" customHeight="1" x14ac:dyDescent="0.3">
      <c r="A107" s="21">
        <v>120</v>
      </c>
      <c r="B107" s="22" t="s">
        <v>2699</v>
      </c>
      <c r="C107" s="22">
        <v>901122</v>
      </c>
      <c r="D107" s="23" t="s">
        <v>2700</v>
      </c>
      <c r="E107" s="24">
        <v>45467</v>
      </c>
      <c r="F107" s="24">
        <v>45468</v>
      </c>
      <c r="G107" s="22" t="s">
        <v>333</v>
      </c>
      <c r="H107" s="22" t="s">
        <v>333</v>
      </c>
      <c r="I107" s="22" t="s">
        <v>2249</v>
      </c>
      <c r="J107" s="22" t="s">
        <v>1155</v>
      </c>
      <c r="K107" s="22"/>
      <c r="L107" s="22"/>
      <c r="M107" s="24" t="s">
        <v>248</v>
      </c>
      <c r="N107" s="24" t="s">
        <v>248</v>
      </c>
      <c r="O107" s="22" t="s">
        <v>2701</v>
      </c>
      <c r="P107" s="22">
        <v>730000</v>
      </c>
      <c r="Q107" s="22" t="s">
        <v>2373</v>
      </c>
      <c r="R107" s="22" t="s">
        <v>333</v>
      </c>
      <c r="S107" s="21" t="s">
        <v>2280</v>
      </c>
      <c r="T107" s="8" t="s">
        <v>879</v>
      </c>
      <c r="U107" s="8" t="s">
        <v>2280</v>
      </c>
      <c r="V107" s="21">
        <v>912877</v>
      </c>
      <c r="W107" s="21">
        <v>0</v>
      </c>
      <c r="X107" s="21">
        <v>29000</v>
      </c>
      <c r="Y107" s="21">
        <v>15505</v>
      </c>
      <c r="Z107" s="21">
        <v>0</v>
      </c>
      <c r="AA107" s="21" t="s">
        <v>2253</v>
      </c>
      <c r="AB107" s="21">
        <v>4500</v>
      </c>
      <c r="AC107" s="21">
        <v>0</v>
      </c>
      <c r="AD107" s="21">
        <v>0</v>
      </c>
      <c r="AE107" s="21">
        <v>0</v>
      </c>
      <c r="AF107" s="21">
        <v>4000</v>
      </c>
      <c r="AG107" s="21">
        <v>0</v>
      </c>
      <c r="AH107" s="21">
        <v>0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21">
        <v>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/>
      <c r="AX107" s="21">
        <v>0</v>
      </c>
      <c r="AY107" s="21">
        <f t="shared" si="17"/>
        <v>0</v>
      </c>
      <c r="AZ107" s="21">
        <f t="shared" si="18"/>
        <v>0</v>
      </c>
      <c r="BA107" s="21">
        <f t="shared" si="19"/>
        <v>0</v>
      </c>
      <c r="BB107" s="21">
        <v>0</v>
      </c>
      <c r="BC107" s="21">
        <v>0</v>
      </c>
      <c r="BD107" s="21">
        <v>0</v>
      </c>
      <c r="BE107" s="21">
        <v>0</v>
      </c>
      <c r="BF107" s="21">
        <f t="shared" si="20"/>
        <v>965882</v>
      </c>
      <c r="BG107" s="21">
        <v>730000</v>
      </c>
      <c r="BH107" s="21" t="s">
        <v>2287</v>
      </c>
      <c r="BI107" s="21" t="s">
        <v>2260</v>
      </c>
      <c r="BJ107" s="21" t="s">
        <v>2260</v>
      </c>
      <c r="BK107" s="21">
        <v>0</v>
      </c>
      <c r="BL107" s="21">
        <f>20000+10000+60000+2000+100+60000+83782</f>
        <v>235882</v>
      </c>
      <c r="BM107" s="21">
        <f t="shared" si="21"/>
        <v>0</v>
      </c>
      <c r="BN107" s="25"/>
      <c r="BO107" s="21"/>
      <c r="BP107" s="21"/>
      <c r="BQ107" s="21"/>
      <c r="BR107" s="21"/>
      <c r="BS107" s="21"/>
      <c r="BT107" s="21"/>
      <c r="BU107" s="26"/>
      <c r="BV107" s="27"/>
      <c r="BW107" s="27"/>
      <c r="BX107" s="27">
        <v>0</v>
      </c>
      <c r="BY107" s="27">
        <v>0</v>
      </c>
      <c r="BZ107" s="27">
        <v>0</v>
      </c>
      <c r="CA107" s="27" t="str">
        <f t="shared" si="16"/>
        <v>NO</v>
      </c>
      <c r="CB107" s="27"/>
      <c r="CC107" s="27"/>
      <c r="CD107" s="27"/>
      <c r="CE107" s="27"/>
      <c r="CF107" s="27"/>
      <c r="CG107" s="28"/>
    </row>
    <row r="108" spans="1:85" s="20" customFormat="1" ht="15.75" hidden="1" customHeight="1" x14ac:dyDescent="0.3">
      <c r="A108" s="21">
        <v>131</v>
      </c>
      <c r="B108" s="29" t="s">
        <v>2732</v>
      </c>
      <c r="C108" s="22">
        <v>439040</v>
      </c>
      <c r="D108" s="23" t="s">
        <v>2733</v>
      </c>
      <c r="E108" s="24">
        <v>45469</v>
      </c>
      <c r="F108" s="24"/>
      <c r="G108" s="22" t="s">
        <v>333</v>
      </c>
      <c r="H108" s="22" t="s">
        <v>333</v>
      </c>
      <c r="I108" s="22" t="s">
        <v>2249</v>
      </c>
      <c r="J108" s="22" t="s">
        <v>2734</v>
      </c>
      <c r="K108" s="22"/>
      <c r="L108" s="22"/>
      <c r="M108" s="24" t="s">
        <v>2275</v>
      </c>
      <c r="N108" s="24" t="s">
        <v>2991</v>
      </c>
      <c r="O108" s="22" t="s">
        <v>2735</v>
      </c>
      <c r="P108" s="22">
        <v>555000</v>
      </c>
      <c r="Q108" s="22" t="s">
        <v>2277</v>
      </c>
      <c r="R108" s="22" t="s">
        <v>2736</v>
      </c>
      <c r="S108" s="21" t="s">
        <v>2280</v>
      </c>
      <c r="T108" s="8" t="s">
        <v>879</v>
      </c>
      <c r="U108" s="8" t="s">
        <v>2280</v>
      </c>
      <c r="V108" s="21">
        <v>915492</v>
      </c>
      <c r="W108" s="21">
        <v>82091</v>
      </c>
      <c r="X108" s="21">
        <v>34894</v>
      </c>
      <c r="Y108" s="21">
        <v>15788</v>
      </c>
      <c r="Z108" s="21">
        <v>0</v>
      </c>
      <c r="AA108" s="21" t="s">
        <v>2260</v>
      </c>
      <c r="AB108" s="21">
        <v>0</v>
      </c>
      <c r="AC108" s="21">
        <v>4496</v>
      </c>
      <c r="AD108" s="21">
        <v>0</v>
      </c>
      <c r="AE108" s="21">
        <v>0</v>
      </c>
      <c r="AF108" s="21">
        <v>25250</v>
      </c>
      <c r="AG108" s="21">
        <v>0</v>
      </c>
      <c r="AH108" s="21">
        <v>0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21">
        <v>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/>
      <c r="AX108" s="21">
        <v>0</v>
      </c>
      <c r="AY108" s="21">
        <f t="shared" si="17"/>
        <v>-2000</v>
      </c>
      <c r="AZ108" s="21">
        <f t="shared" si="18"/>
        <v>0</v>
      </c>
      <c r="BA108" s="21">
        <f t="shared" si="19"/>
        <v>0</v>
      </c>
      <c r="BB108" s="21">
        <v>0</v>
      </c>
      <c r="BC108" s="21">
        <v>2000</v>
      </c>
      <c r="BD108" s="21">
        <v>0</v>
      </c>
      <c r="BE108" s="21">
        <v>0</v>
      </c>
      <c r="BF108" s="21">
        <f t="shared" si="20"/>
        <v>1078011</v>
      </c>
      <c r="BG108" s="21">
        <v>915492</v>
      </c>
      <c r="BH108" s="21" t="s">
        <v>39</v>
      </c>
      <c r="BI108" s="21" t="s">
        <v>2253</v>
      </c>
      <c r="BJ108" s="21" t="s">
        <v>2253</v>
      </c>
      <c r="BK108" s="21">
        <v>28115707</v>
      </c>
      <c r="BL108" s="21">
        <f>5100+41900+58100+55169+2250</f>
        <v>162519</v>
      </c>
      <c r="BM108" s="21">
        <f t="shared" si="21"/>
        <v>0</v>
      </c>
      <c r="BN108" s="25"/>
      <c r="BO108" s="21"/>
      <c r="BP108" s="21"/>
      <c r="BQ108" s="21"/>
      <c r="BR108" s="21"/>
      <c r="BS108" s="21"/>
      <c r="BT108" s="21"/>
      <c r="BU108" s="26"/>
      <c r="BV108" s="27"/>
      <c r="BW108" s="27"/>
      <c r="BX108" s="27">
        <v>0</v>
      </c>
      <c r="BY108" s="27">
        <v>0</v>
      </c>
      <c r="BZ108" s="27">
        <v>0</v>
      </c>
      <c r="CA108" s="27" t="str">
        <f t="shared" si="16"/>
        <v>NO</v>
      </c>
      <c r="CB108" s="27"/>
      <c r="CC108" s="27"/>
      <c r="CD108" s="27"/>
      <c r="CE108" s="27"/>
      <c r="CF108" s="27"/>
      <c r="CG108" s="28"/>
    </row>
    <row r="109" spans="1:85" s="20" customFormat="1" ht="15.75" hidden="1" customHeight="1" x14ac:dyDescent="0.3">
      <c r="A109" s="21">
        <v>169</v>
      </c>
      <c r="B109" s="22" t="s">
        <v>1258</v>
      </c>
      <c r="C109" s="22">
        <v>298897</v>
      </c>
      <c r="D109" s="23" t="s">
        <v>2848</v>
      </c>
      <c r="E109" s="24">
        <v>45473</v>
      </c>
      <c r="F109" s="24"/>
      <c r="G109" s="22" t="s">
        <v>333</v>
      </c>
      <c r="H109" s="22" t="s">
        <v>333</v>
      </c>
      <c r="I109" s="22" t="s">
        <v>2249</v>
      </c>
      <c r="J109" s="22" t="s">
        <v>1259</v>
      </c>
      <c r="K109" s="22"/>
      <c r="L109" s="22"/>
      <c r="M109" s="24" t="s">
        <v>2458</v>
      </c>
      <c r="N109" s="24" t="s">
        <v>2987</v>
      </c>
      <c r="O109" s="22" t="s">
        <v>2459</v>
      </c>
      <c r="P109" s="22">
        <v>500000</v>
      </c>
      <c r="Q109" s="22" t="s">
        <v>2277</v>
      </c>
      <c r="R109" s="22" t="s">
        <v>2791</v>
      </c>
      <c r="S109" s="21" t="s">
        <v>2280</v>
      </c>
      <c r="T109" s="8" t="s">
        <v>879</v>
      </c>
      <c r="U109" s="8" t="s">
        <v>2280</v>
      </c>
      <c r="V109" s="21">
        <v>535885</v>
      </c>
      <c r="W109" s="21">
        <v>50471</v>
      </c>
      <c r="X109" s="21">
        <v>21000</v>
      </c>
      <c r="Y109" s="21">
        <v>8343</v>
      </c>
      <c r="Z109" s="21">
        <v>500</v>
      </c>
      <c r="AA109" s="21" t="s">
        <v>2253</v>
      </c>
      <c r="AB109" s="21">
        <v>0</v>
      </c>
      <c r="AC109" s="21">
        <v>2680</v>
      </c>
      <c r="AD109" s="21">
        <v>0</v>
      </c>
      <c r="AE109" s="21">
        <v>0</v>
      </c>
      <c r="AF109" s="21">
        <f>7390+28610</f>
        <v>36000</v>
      </c>
      <c r="AG109" s="21">
        <v>0</v>
      </c>
      <c r="AH109" s="21">
        <v>75000</v>
      </c>
      <c r="AI109" s="21">
        <v>0</v>
      </c>
      <c r="AJ109" s="21">
        <v>18000</v>
      </c>
      <c r="AK109" s="21">
        <v>0</v>
      </c>
      <c r="AL109" s="21">
        <v>0</v>
      </c>
      <c r="AM109" s="21">
        <v>0</v>
      </c>
      <c r="AN109" s="21">
        <v>0</v>
      </c>
      <c r="AO109" s="21">
        <v>0</v>
      </c>
      <c r="AP109" s="21">
        <v>0</v>
      </c>
      <c r="AQ109" s="21">
        <v>2500</v>
      </c>
      <c r="AR109" s="21">
        <v>22000</v>
      </c>
      <c r="AS109" s="21">
        <v>0</v>
      </c>
      <c r="AT109" s="21">
        <v>0</v>
      </c>
      <c r="AU109" s="21">
        <v>0</v>
      </c>
      <c r="AV109" s="21">
        <v>0</v>
      </c>
      <c r="AW109" s="21">
        <v>3390</v>
      </c>
      <c r="AX109" s="21">
        <v>10000</v>
      </c>
      <c r="AY109" s="21">
        <f t="shared" si="17"/>
        <v>11390</v>
      </c>
      <c r="AZ109" s="21">
        <f t="shared" si="18"/>
        <v>13390</v>
      </c>
      <c r="BA109" s="21">
        <f t="shared" si="19"/>
        <v>11390</v>
      </c>
      <c r="BB109" s="21">
        <v>15000</v>
      </c>
      <c r="BC109" s="21">
        <v>2000</v>
      </c>
      <c r="BD109" s="21">
        <v>0</v>
      </c>
      <c r="BE109" s="21">
        <v>0</v>
      </c>
      <c r="BF109" s="21">
        <f t="shared" si="20"/>
        <v>583989</v>
      </c>
      <c r="BG109" s="21">
        <v>500000</v>
      </c>
      <c r="BH109" s="21" t="s">
        <v>39</v>
      </c>
      <c r="BI109" s="21" t="s">
        <v>2253</v>
      </c>
      <c r="BJ109" s="21" t="s">
        <v>2253</v>
      </c>
      <c r="BK109" s="21">
        <v>29250554</v>
      </c>
      <c r="BL109" s="21">
        <f>2000+100</f>
        <v>2100</v>
      </c>
      <c r="BM109" s="21">
        <f t="shared" si="21"/>
        <v>6889</v>
      </c>
      <c r="BN109" s="25">
        <v>45474</v>
      </c>
      <c r="BO109" s="21"/>
      <c r="BP109" s="21" t="s">
        <v>2253</v>
      </c>
      <c r="BQ109" s="21" t="s">
        <v>2253</v>
      </c>
      <c r="BR109" s="21" t="s">
        <v>2253</v>
      </c>
      <c r="BS109" s="21" t="s">
        <v>2443</v>
      </c>
      <c r="BT109" s="21"/>
      <c r="BU109" s="26"/>
      <c r="BV109" s="27"/>
      <c r="BW109" s="27"/>
      <c r="BX109" s="27">
        <v>0</v>
      </c>
      <c r="BY109" s="27">
        <v>0</v>
      </c>
      <c r="BZ109" s="27">
        <v>0</v>
      </c>
      <c r="CA109" s="27" t="str">
        <f t="shared" si="16"/>
        <v>NO</v>
      </c>
      <c r="CB109" s="27"/>
      <c r="CC109" s="27"/>
      <c r="CD109" s="27"/>
      <c r="CE109" s="27"/>
      <c r="CF109" s="27"/>
      <c r="CG109" s="28"/>
    </row>
    <row r="110" spans="1:85" s="20" customFormat="1" ht="15.75" hidden="1" customHeight="1" x14ac:dyDescent="0.3">
      <c r="A110" s="21">
        <v>23</v>
      </c>
      <c r="B110" s="22" t="s">
        <v>2365</v>
      </c>
      <c r="C110" s="22" t="s">
        <v>648</v>
      </c>
      <c r="D110" s="23" t="s">
        <v>2366</v>
      </c>
      <c r="E110" s="24">
        <v>45449</v>
      </c>
      <c r="F110" s="24">
        <v>45455</v>
      </c>
      <c r="G110" s="22" t="s">
        <v>646</v>
      </c>
      <c r="H110" s="22" t="s">
        <v>646</v>
      </c>
      <c r="I110" s="22" t="s">
        <v>2249</v>
      </c>
      <c r="J110" s="22" t="s">
        <v>2367</v>
      </c>
      <c r="K110" s="22"/>
      <c r="L110" s="22"/>
      <c r="M110" s="24" t="s">
        <v>310</v>
      </c>
      <c r="N110" s="24" t="s">
        <v>310</v>
      </c>
      <c r="O110" s="22" t="s">
        <v>2326</v>
      </c>
      <c r="P110" s="22">
        <v>514456</v>
      </c>
      <c r="Q110" s="22" t="s">
        <v>2368</v>
      </c>
      <c r="R110" s="22" t="s">
        <v>646</v>
      </c>
      <c r="S110" s="21" t="s">
        <v>2369</v>
      </c>
      <c r="T110" s="8" t="s">
        <v>652</v>
      </c>
      <c r="U110" s="8" t="s">
        <v>2259</v>
      </c>
      <c r="V110" s="21">
        <v>561885</v>
      </c>
      <c r="W110" s="21">
        <v>53351</v>
      </c>
      <c r="X110" s="21">
        <v>27248</v>
      </c>
      <c r="Y110" s="21">
        <v>8744</v>
      </c>
      <c r="Z110" s="21">
        <v>500</v>
      </c>
      <c r="AA110" s="21" t="s">
        <v>2253</v>
      </c>
      <c r="AB110" s="21">
        <v>0</v>
      </c>
      <c r="AC110" s="21">
        <v>2875</v>
      </c>
      <c r="AD110" s="21">
        <v>0</v>
      </c>
      <c r="AE110" s="21">
        <v>0</v>
      </c>
      <c r="AF110" s="21">
        <v>5370</v>
      </c>
      <c r="AG110" s="21">
        <v>0</v>
      </c>
      <c r="AH110" s="21">
        <v>0</v>
      </c>
      <c r="AI110" s="21">
        <v>0</v>
      </c>
      <c r="AJ110" s="21">
        <v>10000</v>
      </c>
      <c r="AK110" s="21">
        <v>0</v>
      </c>
      <c r="AL110" s="21">
        <v>0</v>
      </c>
      <c r="AM110" s="21">
        <v>0</v>
      </c>
      <c r="AN110" s="21">
        <v>0</v>
      </c>
      <c r="AO110" s="21">
        <v>0</v>
      </c>
      <c r="AP110" s="21">
        <v>0</v>
      </c>
      <c r="AQ110" s="21">
        <v>3100</v>
      </c>
      <c r="AR110" s="21">
        <v>15000</v>
      </c>
      <c r="AS110" s="21">
        <v>0</v>
      </c>
      <c r="AT110" s="21">
        <v>0</v>
      </c>
      <c r="AU110" s="21">
        <v>0</v>
      </c>
      <c r="AV110" s="21">
        <v>0</v>
      </c>
      <c r="AW110" s="21"/>
      <c r="AX110" s="21">
        <v>0</v>
      </c>
      <c r="AY110" s="21">
        <f t="shared" si="17"/>
        <v>-2000</v>
      </c>
      <c r="AZ110" s="21">
        <f t="shared" si="18"/>
        <v>0</v>
      </c>
      <c r="BA110" s="21">
        <f t="shared" si="19"/>
        <v>0</v>
      </c>
      <c r="BB110" s="21">
        <v>10000</v>
      </c>
      <c r="BC110" s="21">
        <v>2000</v>
      </c>
      <c r="BD110" s="21">
        <v>0</v>
      </c>
      <c r="BE110" s="21">
        <v>0</v>
      </c>
      <c r="BF110" s="21">
        <f t="shared" si="20"/>
        <v>621873</v>
      </c>
      <c r="BG110" s="21">
        <v>500844</v>
      </c>
      <c r="BH110" s="21" t="s">
        <v>2287</v>
      </c>
      <c r="BI110" s="21" t="s">
        <v>2253</v>
      </c>
      <c r="BJ110" s="21" t="s">
        <v>2253</v>
      </c>
      <c r="BK110" s="21">
        <v>0</v>
      </c>
      <c r="BL110" s="21">
        <f>2100+126000</f>
        <v>128100</v>
      </c>
      <c r="BM110" s="21">
        <f t="shared" si="21"/>
        <v>-7071</v>
      </c>
      <c r="BN110" s="25"/>
      <c r="BO110" s="21"/>
      <c r="BP110" s="21"/>
      <c r="BQ110" s="21"/>
      <c r="BR110" s="21"/>
      <c r="BS110" s="21"/>
      <c r="BT110" s="21"/>
      <c r="BU110" s="26"/>
      <c r="BV110" s="27"/>
      <c r="BW110" s="27"/>
      <c r="BX110" s="27">
        <v>0</v>
      </c>
      <c r="BY110" s="27">
        <v>0</v>
      </c>
      <c r="BZ110" s="27">
        <v>0</v>
      </c>
      <c r="CA110" s="27" t="str">
        <f t="shared" si="16"/>
        <v>NO</v>
      </c>
      <c r="CB110" s="27"/>
      <c r="CC110" s="27"/>
      <c r="CD110" s="27"/>
      <c r="CE110" s="27"/>
      <c r="CF110" s="27"/>
      <c r="CG110" s="28"/>
    </row>
    <row r="111" spans="1:85" s="20" customFormat="1" ht="15.75" hidden="1" customHeight="1" x14ac:dyDescent="0.3">
      <c r="A111" s="21">
        <v>32</v>
      </c>
      <c r="B111" s="22" t="s">
        <v>2398</v>
      </c>
      <c r="C111" s="22" t="s">
        <v>663</v>
      </c>
      <c r="D111" s="23" t="s">
        <v>2399</v>
      </c>
      <c r="E111" s="24">
        <v>45451</v>
      </c>
      <c r="F111" s="24">
        <v>45458</v>
      </c>
      <c r="G111" s="22" t="s">
        <v>646</v>
      </c>
      <c r="H111" s="22" t="s">
        <v>646</v>
      </c>
      <c r="I111" s="22" t="s">
        <v>2249</v>
      </c>
      <c r="J111" s="22" t="s">
        <v>661</v>
      </c>
      <c r="K111" s="22"/>
      <c r="L111" s="22"/>
      <c r="M111" s="24" t="s">
        <v>2362</v>
      </c>
      <c r="N111" s="24" t="s">
        <v>2362</v>
      </c>
      <c r="O111" s="22" t="s">
        <v>2400</v>
      </c>
      <c r="P111" s="22">
        <v>605000</v>
      </c>
      <c r="Q111" s="22" t="s">
        <v>2265</v>
      </c>
      <c r="R111" s="22" t="s">
        <v>646</v>
      </c>
      <c r="S111" s="21" t="s">
        <v>2369</v>
      </c>
      <c r="T111" s="8" t="s">
        <v>652</v>
      </c>
      <c r="U111" s="8" t="s">
        <v>2259</v>
      </c>
      <c r="V111" s="21">
        <v>676385</v>
      </c>
      <c r="W111" s="21">
        <v>0</v>
      </c>
      <c r="X111" s="21">
        <v>26000</v>
      </c>
      <c r="Y111" s="21">
        <v>0</v>
      </c>
      <c r="Z111" s="21">
        <v>500</v>
      </c>
      <c r="AA111" s="21" t="s">
        <v>2253</v>
      </c>
      <c r="AB111" s="21">
        <v>4500</v>
      </c>
      <c r="AC111" s="21">
        <v>0</v>
      </c>
      <c r="AD111" s="21">
        <v>82246</v>
      </c>
      <c r="AE111" s="21">
        <v>0</v>
      </c>
      <c r="AF111" s="21">
        <v>31500</v>
      </c>
      <c r="AG111" s="21">
        <v>0</v>
      </c>
      <c r="AH111" s="21">
        <v>0</v>
      </c>
      <c r="AI111" s="21">
        <v>0</v>
      </c>
      <c r="AJ111" s="21">
        <v>10000</v>
      </c>
      <c r="AK111" s="21">
        <v>0</v>
      </c>
      <c r="AL111" s="21">
        <v>0</v>
      </c>
      <c r="AM111" s="21">
        <v>0</v>
      </c>
      <c r="AN111" s="21">
        <v>0</v>
      </c>
      <c r="AO111" s="21">
        <v>0</v>
      </c>
      <c r="AP111" s="21">
        <v>0</v>
      </c>
      <c r="AQ111" s="21">
        <v>3100</v>
      </c>
      <c r="AR111" s="21">
        <v>25000</v>
      </c>
      <c r="AS111" s="21">
        <v>0</v>
      </c>
      <c r="AT111" s="21">
        <v>0</v>
      </c>
      <c r="AU111" s="21">
        <v>0</v>
      </c>
      <c r="AV111" s="21">
        <v>4500</v>
      </c>
      <c r="AW111" s="21"/>
      <c r="AX111" s="21">
        <v>0</v>
      </c>
      <c r="AY111" s="21">
        <f t="shared" si="17"/>
        <v>4500</v>
      </c>
      <c r="AZ111" s="21">
        <f t="shared" si="18"/>
        <v>4500</v>
      </c>
      <c r="BA111" s="21">
        <f t="shared" si="19"/>
        <v>4500</v>
      </c>
      <c r="BB111" s="21">
        <v>0</v>
      </c>
      <c r="BC111" s="21">
        <v>0</v>
      </c>
      <c r="BD111" s="21">
        <v>0</v>
      </c>
      <c r="BE111" s="21">
        <v>0</v>
      </c>
      <c r="BF111" s="21">
        <f t="shared" si="20"/>
        <v>778531</v>
      </c>
      <c r="BG111" s="21">
        <v>675500</v>
      </c>
      <c r="BH111" s="21" t="s">
        <v>39</v>
      </c>
      <c r="BI111" s="21" t="s">
        <v>2253</v>
      </c>
      <c r="BJ111" s="21" t="s">
        <v>2253</v>
      </c>
      <c r="BK111" s="21">
        <v>146006935</v>
      </c>
      <c r="BL111" s="21">
        <f>2100+52000+36000+12921</f>
        <v>103021</v>
      </c>
      <c r="BM111" s="21">
        <f t="shared" si="21"/>
        <v>10</v>
      </c>
      <c r="BN111" s="25"/>
      <c r="BO111" s="21"/>
      <c r="BP111" s="21"/>
      <c r="BQ111" s="21"/>
      <c r="BR111" s="21"/>
      <c r="BS111" s="21"/>
      <c r="BT111" s="21"/>
      <c r="BU111" s="26"/>
      <c r="BV111" s="27"/>
      <c r="BW111" s="27"/>
      <c r="BX111" s="27">
        <v>0</v>
      </c>
      <c r="BY111" s="27">
        <v>0</v>
      </c>
      <c r="BZ111" s="27">
        <v>0</v>
      </c>
      <c r="CA111" s="27" t="str">
        <f t="shared" si="16"/>
        <v>NO</v>
      </c>
      <c r="CB111" s="27"/>
      <c r="CC111" s="27"/>
      <c r="CD111" s="27"/>
      <c r="CE111" s="27"/>
      <c r="CF111" s="27"/>
      <c r="CG111" s="28"/>
    </row>
    <row r="112" spans="1:85" s="20" customFormat="1" ht="15.75" hidden="1" customHeight="1" x14ac:dyDescent="0.3">
      <c r="A112" s="21">
        <v>46</v>
      </c>
      <c r="B112" s="22" t="s">
        <v>2453</v>
      </c>
      <c r="C112" s="22" t="s">
        <v>673</v>
      </c>
      <c r="D112" s="23" t="s">
        <v>2454</v>
      </c>
      <c r="E112" s="24">
        <v>45453</v>
      </c>
      <c r="F112" s="24">
        <v>45454</v>
      </c>
      <c r="G112" s="22" t="s">
        <v>646</v>
      </c>
      <c r="H112" s="22" t="s">
        <v>646</v>
      </c>
      <c r="I112" s="22" t="s">
        <v>2249</v>
      </c>
      <c r="J112" s="22" t="s">
        <v>671</v>
      </c>
      <c r="K112" s="22"/>
      <c r="L112" s="22"/>
      <c r="M112" s="24" t="s">
        <v>310</v>
      </c>
      <c r="N112" s="24" t="s">
        <v>310</v>
      </c>
      <c r="O112" s="22" t="s">
        <v>2326</v>
      </c>
      <c r="P112" s="22">
        <v>500000</v>
      </c>
      <c r="Q112" s="22" t="s">
        <v>2336</v>
      </c>
      <c r="R112" s="22" t="s">
        <v>2455</v>
      </c>
      <c r="S112" s="21" t="s">
        <v>2369</v>
      </c>
      <c r="T112" s="8" t="s">
        <v>652</v>
      </c>
      <c r="U112" s="8" t="s">
        <v>2259</v>
      </c>
      <c r="V112" s="21">
        <v>561885</v>
      </c>
      <c r="W112" s="21">
        <v>53351</v>
      </c>
      <c r="X112" s="21">
        <v>27248</v>
      </c>
      <c r="Y112" s="21">
        <v>8744</v>
      </c>
      <c r="Z112" s="21">
        <v>500</v>
      </c>
      <c r="AA112" s="21" t="s">
        <v>2253</v>
      </c>
      <c r="AB112" s="21">
        <v>0</v>
      </c>
      <c r="AC112" s="21">
        <v>0</v>
      </c>
      <c r="AD112" s="21">
        <v>0</v>
      </c>
      <c r="AE112" s="21">
        <v>0</v>
      </c>
      <c r="AF112" s="21">
        <v>2310</v>
      </c>
      <c r="AG112" s="21">
        <v>0</v>
      </c>
      <c r="AH112" s="21">
        <v>0</v>
      </c>
      <c r="AI112" s="21">
        <v>0</v>
      </c>
      <c r="AJ112" s="21">
        <v>10000</v>
      </c>
      <c r="AK112" s="21">
        <v>0</v>
      </c>
      <c r="AL112" s="21">
        <v>0</v>
      </c>
      <c r="AM112" s="21">
        <v>0</v>
      </c>
      <c r="AN112" s="21">
        <v>0</v>
      </c>
      <c r="AO112" s="21">
        <v>0</v>
      </c>
      <c r="AP112" s="21">
        <v>0</v>
      </c>
      <c r="AQ112" s="21">
        <v>3100</v>
      </c>
      <c r="AR112" s="21">
        <v>15000</v>
      </c>
      <c r="AS112" s="21">
        <v>0</v>
      </c>
      <c r="AT112" s="21">
        <v>0</v>
      </c>
      <c r="AU112" s="21">
        <v>0</v>
      </c>
      <c r="AV112" s="21">
        <v>0</v>
      </c>
      <c r="AW112" s="21"/>
      <c r="AX112" s="21">
        <v>0</v>
      </c>
      <c r="AY112" s="21">
        <f t="shared" si="17"/>
        <v>-2000</v>
      </c>
      <c r="AZ112" s="21">
        <f t="shared" si="18"/>
        <v>0</v>
      </c>
      <c r="BA112" s="21">
        <f t="shared" si="19"/>
        <v>0</v>
      </c>
      <c r="BB112" s="21">
        <v>0</v>
      </c>
      <c r="BC112" s="21">
        <v>2000</v>
      </c>
      <c r="BD112" s="21">
        <v>0</v>
      </c>
      <c r="BE112" s="21">
        <v>0</v>
      </c>
      <c r="BF112" s="21">
        <f t="shared" si="20"/>
        <v>625938</v>
      </c>
      <c r="BG112" s="21">
        <v>500000</v>
      </c>
      <c r="BH112" s="21" t="s">
        <v>39</v>
      </c>
      <c r="BI112" s="21" t="s">
        <v>2253</v>
      </c>
      <c r="BJ112" s="21" t="s">
        <v>2253</v>
      </c>
      <c r="BK112" s="21">
        <v>3206179</v>
      </c>
      <c r="BL112" s="21">
        <f>2100+124300</f>
        <v>126400</v>
      </c>
      <c r="BM112" s="21">
        <f t="shared" si="21"/>
        <v>-462</v>
      </c>
      <c r="BN112" s="25"/>
      <c r="BO112" s="21"/>
      <c r="BP112" s="21"/>
      <c r="BQ112" s="21"/>
      <c r="BR112" s="21"/>
      <c r="BS112" s="21"/>
      <c r="BT112" s="21"/>
      <c r="BU112" s="26"/>
      <c r="BV112" s="27"/>
      <c r="BW112" s="27"/>
      <c r="BX112" s="27">
        <v>0</v>
      </c>
      <c r="BY112" s="27">
        <v>0</v>
      </c>
      <c r="BZ112" s="27">
        <v>0</v>
      </c>
      <c r="CA112" s="27" t="str">
        <f t="shared" si="16"/>
        <v>NO</v>
      </c>
      <c r="CB112" s="27"/>
      <c r="CC112" s="27"/>
      <c r="CD112" s="27"/>
      <c r="CE112" s="27"/>
      <c r="CF112" s="27"/>
      <c r="CG112" s="28"/>
    </row>
    <row r="113" spans="1:85" s="20" customFormat="1" ht="15.75" hidden="1" customHeight="1" x14ac:dyDescent="0.3">
      <c r="A113" s="21">
        <v>72</v>
      </c>
      <c r="B113" s="22" t="s">
        <v>2541</v>
      </c>
      <c r="C113" s="22">
        <v>571192</v>
      </c>
      <c r="D113" s="23" t="s">
        <v>2542</v>
      </c>
      <c r="E113" s="24">
        <v>45459</v>
      </c>
      <c r="F113" s="24">
        <v>45467</v>
      </c>
      <c r="G113" s="22" t="s">
        <v>646</v>
      </c>
      <c r="H113" s="22" t="s">
        <v>646</v>
      </c>
      <c r="I113" s="22" t="s">
        <v>2249</v>
      </c>
      <c r="J113" s="22" t="s">
        <v>744</v>
      </c>
      <c r="K113" s="22"/>
      <c r="L113" s="22"/>
      <c r="M113" s="24" t="s">
        <v>248</v>
      </c>
      <c r="N113" s="24" t="s">
        <v>248</v>
      </c>
      <c r="O113" s="22" t="s">
        <v>2543</v>
      </c>
      <c r="P113" s="22">
        <v>700000</v>
      </c>
      <c r="Q113" s="22" t="s">
        <v>2265</v>
      </c>
      <c r="R113" s="22" t="s">
        <v>646</v>
      </c>
      <c r="S113" s="21" t="s">
        <v>2369</v>
      </c>
      <c r="T113" s="8" t="s">
        <v>652</v>
      </c>
      <c r="U113" s="8" t="s">
        <v>2259</v>
      </c>
      <c r="V113" s="21">
        <v>751627</v>
      </c>
      <c r="W113" s="21">
        <v>0</v>
      </c>
      <c r="X113" s="21">
        <v>23000</v>
      </c>
      <c r="Y113" s="21">
        <v>12768</v>
      </c>
      <c r="Z113" s="21">
        <v>500</v>
      </c>
      <c r="AA113" s="21" t="s">
        <v>2253</v>
      </c>
      <c r="AB113" s="21">
        <v>4500</v>
      </c>
      <c r="AC113" s="21">
        <v>0</v>
      </c>
      <c r="AD113" s="21">
        <v>55600</v>
      </c>
      <c r="AE113" s="21">
        <v>0</v>
      </c>
      <c r="AF113" s="21">
        <v>7500</v>
      </c>
      <c r="AG113" s="21">
        <v>0</v>
      </c>
      <c r="AH113" s="21">
        <v>0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21">
        <v>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/>
      <c r="AX113" s="21">
        <v>0</v>
      </c>
      <c r="AY113" s="21">
        <f t="shared" si="17"/>
        <v>0</v>
      </c>
      <c r="AZ113" s="21">
        <f t="shared" si="18"/>
        <v>0</v>
      </c>
      <c r="BA113" s="21">
        <f t="shared" si="19"/>
        <v>0</v>
      </c>
      <c r="BB113" s="21">
        <v>0</v>
      </c>
      <c r="BC113" s="21">
        <v>0</v>
      </c>
      <c r="BD113" s="21">
        <v>0</v>
      </c>
      <c r="BE113" s="21">
        <v>0</v>
      </c>
      <c r="BF113" s="21">
        <f t="shared" si="20"/>
        <v>855495</v>
      </c>
      <c r="BG113" s="21">
        <v>751000</v>
      </c>
      <c r="BH113" s="21" t="s">
        <v>39</v>
      </c>
      <c r="BI113" s="21" t="s">
        <v>2253</v>
      </c>
      <c r="BJ113" s="21" t="s">
        <v>2253</v>
      </c>
      <c r="BK113" s="21">
        <v>145972762</v>
      </c>
      <c r="BL113" s="21">
        <f>2000+102495</f>
        <v>104495</v>
      </c>
      <c r="BM113" s="21">
        <f t="shared" si="21"/>
        <v>0</v>
      </c>
      <c r="BN113" s="25"/>
      <c r="BO113" s="21"/>
      <c r="BP113" s="21"/>
      <c r="BQ113" s="21"/>
      <c r="BR113" s="21"/>
      <c r="BS113" s="21"/>
      <c r="BT113" s="21"/>
      <c r="BU113" s="26"/>
      <c r="BV113" s="27"/>
      <c r="BW113" s="27"/>
      <c r="BX113" s="27">
        <v>0</v>
      </c>
      <c r="BY113" s="27">
        <v>0</v>
      </c>
      <c r="BZ113" s="27">
        <v>0</v>
      </c>
      <c r="CA113" s="27" t="str">
        <f t="shared" si="16"/>
        <v>NO</v>
      </c>
      <c r="CB113" s="27"/>
      <c r="CC113" s="27"/>
      <c r="CD113" s="27"/>
      <c r="CE113" s="27"/>
      <c r="CF113" s="27"/>
      <c r="CG113" s="28"/>
    </row>
    <row r="114" spans="1:85" s="20" customFormat="1" ht="15.75" hidden="1" customHeight="1" x14ac:dyDescent="0.3">
      <c r="A114" s="21">
        <v>88</v>
      </c>
      <c r="B114" s="22" t="s">
        <v>2595</v>
      </c>
      <c r="C114" s="22">
        <v>810722</v>
      </c>
      <c r="D114" s="23" t="s">
        <v>2596</v>
      </c>
      <c r="E114" s="24">
        <v>45462</v>
      </c>
      <c r="F114" s="24">
        <v>45463</v>
      </c>
      <c r="G114" s="22" t="s">
        <v>646</v>
      </c>
      <c r="H114" s="22" t="s">
        <v>646</v>
      </c>
      <c r="I114" s="22" t="s">
        <v>2249</v>
      </c>
      <c r="J114" s="22" t="s">
        <v>754</v>
      </c>
      <c r="K114" s="22"/>
      <c r="L114" s="22"/>
      <c r="M114" s="24" t="s">
        <v>2263</v>
      </c>
      <c r="N114" s="24" t="s">
        <v>2263</v>
      </c>
      <c r="O114" s="22" t="s">
        <v>2264</v>
      </c>
      <c r="P114" s="22">
        <v>932761</v>
      </c>
      <c r="Q114" s="22" t="s">
        <v>2271</v>
      </c>
      <c r="R114" s="22" t="s">
        <v>726</v>
      </c>
      <c r="S114" s="21" t="s">
        <v>2369</v>
      </c>
      <c r="T114" s="8" t="s">
        <v>652</v>
      </c>
      <c r="U114" s="8" t="s">
        <v>2259</v>
      </c>
      <c r="V114" s="21">
        <v>1078885</v>
      </c>
      <c r="W114" s="21">
        <v>0</v>
      </c>
      <c r="X114" s="21">
        <v>28000</v>
      </c>
      <c r="Y114" s="21">
        <v>0</v>
      </c>
      <c r="Z114" s="21">
        <v>500</v>
      </c>
      <c r="AA114" s="21" t="s">
        <v>2253</v>
      </c>
      <c r="AB114" s="21">
        <v>5000</v>
      </c>
      <c r="AC114" s="21">
        <v>0</v>
      </c>
      <c r="AD114" s="21">
        <v>10789</v>
      </c>
      <c r="AE114" s="21">
        <v>0</v>
      </c>
      <c r="AF114" s="21">
        <v>39926</v>
      </c>
      <c r="AG114" s="21">
        <v>0</v>
      </c>
      <c r="AH114" s="21">
        <v>0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21">
        <v>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/>
      <c r="AX114" s="21">
        <v>0</v>
      </c>
      <c r="AY114" s="21">
        <f t="shared" si="17"/>
        <v>0</v>
      </c>
      <c r="AZ114" s="21">
        <f t="shared" si="18"/>
        <v>0</v>
      </c>
      <c r="BA114" s="21">
        <f t="shared" si="19"/>
        <v>0</v>
      </c>
      <c r="BB114" s="21">
        <v>0</v>
      </c>
      <c r="BC114" s="21">
        <v>0</v>
      </c>
      <c r="BD114" s="21">
        <v>0</v>
      </c>
      <c r="BE114" s="21">
        <v>0</v>
      </c>
      <c r="BF114" s="21">
        <f t="shared" si="20"/>
        <v>1163100</v>
      </c>
      <c r="BG114" s="21">
        <v>900000</v>
      </c>
      <c r="BH114" s="21" t="s">
        <v>39</v>
      </c>
      <c r="BI114" s="21" t="s">
        <v>2253</v>
      </c>
      <c r="BJ114" s="21" t="s">
        <v>2253</v>
      </c>
      <c r="BK114" s="21">
        <v>13470470</v>
      </c>
      <c r="BL114" s="21">
        <f>2100+19000+50000+49000+49000+50000+24000+20000</f>
        <v>263100</v>
      </c>
      <c r="BM114" s="21">
        <f t="shared" si="21"/>
        <v>0</v>
      </c>
      <c r="BN114" s="25"/>
      <c r="BO114" s="21"/>
      <c r="BP114" s="21"/>
      <c r="BQ114" s="21"/>
      <c r="BR114" s="21"/>
      <c r="BS114" s="21"/>
      <c r="BT114" s="21"/>
      <c r="BU114" s="26"/>
      <c r="BV114" s="27"/>
      <c r="BW114" s="27"/>
      <c r="BX114" s="27">
        <v>0</v>
      </c>
      <c r="BY114" s="27">
        <v>0</v>
      </c>
      <c r="BZ114" s="27">
        <v>0</v>
      </c>
      <c r="CA114" s="27" t="str">
        <f t="shared" si="16"/>
        <v>NO</v>
      </c>
      <c r="CB114" s="27"/>
      <c r="CC114" s="27"/>
      <c r="CD114" s="27"/>
      <c r="CE114" s="27"/>
      <c r="CF114" s="27"/>
      <c r="CG114" s="28"/>
    </row>
    <row r="115" spans="1:85" s="20" customFormat="1" ht="15.75" hidden="1" customHeight="1" x14ac:dyDescent="0.3">
      <c r="A115" s="21">
        <v>100</v>
      </c>
      <c r="B115" s="22" t="s">
        <v>2632</v>
      </c>
      <c r="C115" s="22">
        <v>571174</v>
      </c>
      <c r="D115" s="23" t="s">
        <v>2633</v>
      </c>
      <c r="E115" s="24">
        <v>45463</v>
      </c>
      <c r="F115" s="24">
        <v>45463</v>
      </c>
      <c r="G115" s="22" t="s">
        <v>646</v>
      </c>
      <c r="H115" s="22" t="s">
        <v>646</v>
      </c>
      <c r="I115" s="22" t="s">
        <v>2249</v>
      </c>
      <c r="J115" s="22" t="s">
        <v>1817</v>
      </c>
      <c r="K115" s="22"/>
      <c r="L115" s="22"/>
      <c r="M115" s="24" t="s">
        <v>248</v>
      </c>
      <c r="N115" s="24" t="s">
        <v>248</v>
      </c>
      <c r="O115" s="22" t="s">
        <v>2543</v>
      </c>
      <c r="P115" s="22">
        <v>0</v>
      </c>
      <c r="Q115" s="22" t="s">
        <v>77</v>
      </c>
      <c r="R115" s="22" t="s">
        <v>646</v>
      </c>
      <c r="S115" s="21" t="s">
        <v>2369</v>
      </c>
      <c r="T115" s="8" t="s">
        <v>652</v>
      </c>
      <c r="U115" s="8" t="s">
        <v>2259</v>
      </c>
      <c r="V115" s="21">
        <v>751627</v>
      </c>
      <c r="W115" s="21">
        <v>0</v>
      </c>
      <c r="X115" s="21">
        <v>23500</v>
      </c>
      <c r="Y115" s="21">
        <v>12768</v>
      </c>
      <c r="Z115" s="21">
        <v>500</v>
      </c>
      <c r="AA115" s="21" t="s">
        <v>2253</v>
      </c>
      <c r="AB115" s="21">
        <v>4500</v>
      </c>
      <c r="AC115" s="21">
        <v>0</v>
      </c>
      <c r="AD115" s="21">
        <v>0</v>
      </c>
      <c r="AE115" s="21">
        <v>0</v>
      </c>
      <c r="AF115" s="21">
        <v>8705</v>
      </c>
      <c r="AG115" s="21">
        <v>0</v>
      </c>
      <c r="AH115" s="21">
        <v>0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21">
        <v>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4500</v>
      </c>
      <c r="AW115" s="21"/>
      <c r="AX115" s="21">
        <v>0</v>
      </c>
      <c r="AY115" s="21">
        <f t="shared" si="17"/>
        <v>4500</v>
      </c>
      <c r="AZ115" s="21">
        <f t="shared" si="18"/>
        <v>4500</v>
      </c>
      <c r="BA115" s="21">
        <f t="shared" si="19"/>
        <v>4500</v>
      </c>
      <c r="BB115" s="21">
        <v>0</v>
      </c>
      <c r="BC115" s="21">
        <v>0</v>
      </c>
      <c r="BD115" s="21">
        <v>0</v>
      </c>
      <c r="BE115" s="21">
        <v>0</v>
      </c>
      <c r="BF115" s="21">
        <f t="shared" si="20"/>
        <v>797100</v>
      </c>
      <c r="BG115" s="21">
        <v>0</v>
      </c>
      <c r="BH115" s="21" t="s">
        <v>2287</v>
      </c>
      <c r="BI115" s="21" t="s">
        <v>2260</v>
      </c>
      <c r="BJ115" s="21" t="s">
        <v>2260</v>
      </c>
      <c r="BK115" s="21">
        <v>0</v>
      </c>
      <c r="BL115" s="21">
        <f>1000+1100+170000+50000+50000+15000+500000+10000</f>
        <v>797100</v>
      </c>
      <c r="BM115" s="21">
        <f t="shared" si="21"/>
        <v>0</v>
      </c>
      <c r="BN115" s="25"/>
      <c r="BO115" s="21"/>
      <c r="BP115" s="21"/>
      <c r="BQ115" s="21"/>
      <c r="BR115" s="21"/>
      <c r="BS115" s="21"/>
      <c r="BT115" s="21"/>
      <c r="BU115" s="26"/>
      <c r="BV115" s="27"/>
      <c r="BW115" s="27"/>
      <c r="BX115" s="27">
        <v>0</v>
      </c>
      <c r="BY115" s="27">
        <v>0</v>
      </c>
      <c r="BZ115" s="27">
        <v>0</v>
      </c>
      <c r="CA115" s="27" t="str">
        <f t="shared" si="16"/>
        <v>NO</v>
      </c>
      <c r="CB115" s="27"/>
      <c r="CC115" s="27"/>
      <c r="CD115" s="27"/>
      <c r="CE115" s="27"/>
      <c r="CF115" s="27"/>
      <c r="CG115" s="28"/>
    </row>
    <row r="116" spans="1:85" s="20" customFormat="1" ht="15.75" customHeight="1" x14ac:dyDescent="0.3">
      <c r="A116" s="21">
        <v>96</v>
      </c>
      <c r="B116" s="22" t="s">
        <v>2620</v>
      </c>
      <c r="C116" s="22">
        <v>821631</v>
      </c>
      <c r="D116" s="23" t="s">
        <v>2621</v>
      </c>
      <c r="E116" s="24">
        <v>45463</v>
      </c>
      <c r="F116" s="24">
        <v>45464</v>
      </c>
      <c r="G116" s="22" t="s">
        <v>646</v>
      </c>
      <c r="H116" s="22" t="s">
        <v>646</v>
      </c>
      <c r="I116" s="22" t="s">
        <v>2249</v>
      </c>
      <c r="J116" s="22" t="s">
        <v>2622</v>
      </c>
      <c r="K116" s="22"/>
      <c r="L116" s="22"/>
      <c r="M116" s="24" t="s">
        <v>2263</v>
      </c>
      <c r="N116" s="24" t="s">
        <v>2263</v>
      </c>
      <c r="O116" s="22" t="s">
        <v>2321</v>
      </c>
      <c r="P116" s="22">
        <v>1000000</v>
      </c>
      <c r="Q116" s="22" t="s">
        <v>784</v>
      </c>
      <c r="R116" s="22" t="s">
        <v>646</v>
      </c>
      <c r="S116" s="21" t="s">
        <v>2623</v>
      </c>
      <c r="T116" s="8" t="s">
        <v>785</v>
      </c>
      <c r="U116" s="8" t="s">
        <v>2408</v>
      </c>
      <c r="V116" s="21">
        <v>983885</v>
      </c>
      <c r="W116" s="21">
        <v>86811</v>
      </c>
      <c r="X116" s="21">
        <v>33000</v>
      </c>
      <c r="Y116" s="21">
        <v>16709</v>
      </c>
      <c r="Z116" s="21">
        <v>0</v>
      </c>
      <c r="AA116" s="21" t="s">
        <v>2253</v>
      </c>
      <c r="AB116" s="21">
        <v>0</v>
      </c>
      <c r="AC116" s="21">
        <v>4933</v>
      </c>
      <c r="AD116" s="21">
        <v>0</v>
      </c>
      <c r="AE116" s="21">
        <v>0</v>
      </c>
      <c r="AF116" s="21">
        <v>30000</v>
      </c>
      <c r="AG116" s="21">
        <v>0</v>
      </c>
      <c r="AH116" s="21">
        <v>0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21">
        <v>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/>
      <c r="AX116" s="21">
        <v>0</v>
      </c>
      <c r="AY116" s="21">
        <f t="shared" si="17"/>
        <v>-2000</v>
      </c>
      <c r="AZ116" s="21">
        <f t="shared" si="18"/>
        <v>0</v>
      </c>
      <c r="BA116" s="21">
        <f t="shared" si="19"/>
        <v>0</v>
      </c>
      <c r="BB116" s="21">
        <v>0</v>
      </c>
      <c r="BC116" s="21">
        <v>2000</v>
      </c>
      <c r="BD116" s="21">
        <v>0</v>
      </c>
      <c r="BE116" s="21">
        <v>0</v>
      </c>
      <c r="BF116" s="21">
        <f t="shared" si="20"/>
        <v>1155338</v>
      </c>
      <c r="BG116" s="21">
        <v>1000000</v>
      </c>
      <c r="BH116" s="21" t="s">
        <v>2287</v>
      </c>
      <c r="BI116" s="21" t="s">
        <v>2260</v>
      </c>
      <c r="BJ116" s="21" t="s">
        <v>2260</v>
      </c>
      <c r="BK116" s="21">
        <v>0</v>
      </c>
      <c r="BL116" s="21">
        <f>11000+1500</f>
        <v>12500</v>
      </c>
      <c r="BM116" s="21">
        <f t="shared" si="21"/>
        <v>142838</v>
      </c>
      <c r="BN116" s="25">
        <v>45473</v>
      </c>
      <c r="BO116" s="21"/>
      <c r="BP116" s="21"/>
      <c r="BQ116" s="21"/>
      <c r="BR116" s="21"/>
      <c r="BS116" s="21"/>
      <c r="BT116" s="21"/>
      <c r="BU116" s="26"/>
      <c r="BV116" s="27"/>
      <c r="BW116" s="27"/>
      <c r="BX116" s="27">
        <v>0</v>
      </c>
      <c r="BY116" s="27">
        <v>0</v>
      </c>
      <c r="BZ116" s="27">
        <v>0</v>
      </c>
      <c r="CA116" s="27" t="str">
        <f t="shared" si="16"/>
        <v>YES</v>
      </c>
      <c r="CB116" s="27"/>
      <c r="CC116" s="27"/>
      <c r="CD116" s="27"/>
      <c r="CE116" s="27"/>
      <c r="CF116" s="27"/>
      <c r="CG116" s="28"/>
    </row>
    <row r="117" spans="1:85" s="20" customFormat="1" ht="15.75" customHeight="1" x14ac:dyDescent="0.3">
      <c r="A117" s="21">
        <v>109</v>
      </c>
      <c r="B117" s="22" t="s">
        <v>2659</v>
      </c>
      <c r="C117" s="22" t="s">
        <v>806</v>
      </c>
      <c r="D117" s="23" t="s">
        <v>2660</v>
      </c>
      <c r="E117" s="24">
        <v>45464</v>
      </c>
      <c r="F117" s="24">
        <v>45467</v>
      </c>
      <c r="G117" s="22" t="s">
        <v>646</v>
      </c>
      <c r="H117" s="22" t="s">
        <v>646</v>
      </c>
      <c r="I117" s="22" t="s">
        <v>2249</v>
      </c>
      <c r="J117" s="22" t="s">
        <v>2661</v>
      </c>
      <c r="K117" s="22"/>
      <c r="L117" s="22"/>
      <c r="M117" s="24" t="s">
        <v>310</v>
      </c>
      <c r="N117" s="24" t="s">
        <v>310</v>
      </c>
      <c r="O117" s="22" t="s">
        <v>2250</v>
      </c>
      <c r="P117" s="22">
        <v>610000</v>
      </c>
      <c r="Q117" s="22" t="s">
        <v>2662</v>
      </c>
      <c r="R117" s="22" t="s">
        <v>726</v>
      </c>
      <c r="S117" s="21" t="s">
        <v>2623</v>
      </c>
      <c r="T117" s="8" t="s">
        <v>785</v>
      </c>
      <c r="U117" s="8" t="s">
        <v>2408</v>
      </c>
      <c r="V117" s="21">
        <v>568885</v>
      </c>
      <c r="W117" s="21">
        <v>0</v>
      </c>
      <c r="X117" s="21">
        <v>27000</v>
      </c>
      <c r="Y117" s="21">
        <v>8850</v>
      </c>
      <c r="Z117" s="21">
        <v>500</v>
      </c>
      <c r="AA117" s="21" t="s">
        <v>2253</v>
      </c>
      <c r="AB117" s="21">
        <v>4500</v>
      </c>
      <c r="AC117" s="21">
        <v>0</v>
      </c>
      <c r="AD117" s="21">
        <v>0</v>
      </c>
      <c r="AE117" s="21">
        <v>0</v>
      </c>
      <c r="AF117" s="21">
        <v>7000</v>
      </c>
      <c r="AG117" s="21">
        <v>0</v>
      </c>
      <c r="AH117" s="21">
        <v>0</v>
      </c>
      <c r="AI117" s="21">
        <v>0</v>
      </c>
      <c r="AJ117" s="21">
        <v>10000</v>
      </c>
      <c r="AK117" s="21">
        <v>0</v>
      </c>
      <c r="AL117" s="21">
        <v>0</v>
      </c>
      <c r="AM117" s="21">
        <v>0</v>
      </c>
      <c r="AN117" s="21">
        <v>0</v>
      </c>
      <c r="AO117" s="21">
        <v>0</v>
      </c>
      <c r="AP117" s="21">
        <v>0</v>
      </c>
      <c r="AQ117" s="21">
        <v>0</v>
      </c>
      <c r="AR117" s="21">
        <v>15000</v>
      </c>
      <c r="AS117" s="21">
        <v>0</v>
      </c>
      <c r="AT117" s="21">
        <v>0</v>
      </c>
      <c r="AU117" s="21">
        <v>5000</v>
      </c>
      <c r="AV117" s="21">
        <v>4500</v>
      </c>
      <c r="AW117" s="21"/>
      <c r="AX117" s="21">
        <v>0</v>
      </c>
      <c r="AY117" s="21">
        <f t="shared" si="17"/>
        <v>9500</v>
      </c>
      <c r="AZ117" s="21">
        <f t="shared" si="18"/>
        <v>9500</v>
      </c>
      <c r="BA117" s="21">
        <f t="shared" si="19"/>
        <v>9500</v>
      </c>
      <c r="BB117" s="21">
        <v>0</v>
      </c>
      <c r="BC117" s="21">
        <v>0</v>
      </c>
      <c r="BD117" s="21">
        <v>0</v>
      </c>
      <c r="BE117" s="21">
        <v>0</v>
      </c>
      <c r="BF117" s="21">
        <f t="shared" si="20"/>
        <v>582235</v>
      </c>
      <c r="BG117" s="21">
        <v>610000</v>
      </c>
      <c r="BH117" s="21" t="s">
        <v>2287</v>
      </c>
      <c r="BI117" s="21" t="s">
        <v>2260</v>
      </c>
      <c r="BJ117" s="21" t="s">
        <v>2260</v>
      </c>
      <c r="BK117" s="21">
        <v>0</v>
      </c>
      <c r="BL117" s="21">
        <f>2100+74749</f>
        <v>76849</v>
      </c>
      <c r="BM117" s="21">
        <f t="shared" si="21"/>
        <v>-104614</v>
      </c>
      <c r="BN117" s="25"/>
      <c r="BO117" s="21"/>
      <c r="BP117" s="21"/>
      <c r="BQ117" s="21"/>
      <c r="BR117" s="21"/>
      <c r="BS117" s="21"/>
      <c r="BT117" s="21"/>
      <c r="BU117" s="26"/>
      <c r="BV117" s="27"/>
      <c r="BW117" s="27"/>
      <c r="BX117" s="27">
        <v>0</v>
      </c>
      <c r="BY117" s="27">
        <v>0</v>
      </c>
      <c r="BZ117" s="27">
        <v>0</v>
      </c>
      <c r="CA117" s="27" t="str">
        <f t="shared" si="16"/>
        <v>NO</v>
      </c>
      <c r="CB117" s="27"/>
      <c r="CC117" s="27"/>
      <c r="CD117" s="27"/>
      <c r="CE117" s="27"/>
      <c r="CF117" s="27"/>
      <c r="CG117" s="28"/>
    </row>
    <row r="118" spans="1:85" s="20" customFormat="1" ht="15.75" customHeight="1" x14ac:dyDescent="0.3">
      <c r="A118" s="21">
        <v>137</v>
      </c>
      <c r="B118" s="22" t="s">
        <v>2752</v>
      </c>
      <c r="C118" s="22">
        <v>285647</v>
      </c>
      <c r="D118" s="23" t="s">
        <v>2753</v>
      </c>
      <c r="E118" s="24">
        <v>45469</v>
      </c>
      <c r="F118" s="24">
        <v>45470</v>
      </c>
      <c r="G118" s="22" t="s">
        <v>646</v>
      </c>
      <c r="H118" s="22" t="s">
        <v>646</v>
      </c>
      <c r="I118" s="22" t="s">
        <v>2249</v>
      </c>
      <c r="J118" s="22" t="s">
        <v>824</v>
      </c>
      <c r="K118" s="22"/>
      <c r="L118" s="22"/>
      <c r="M118" s="24" t="s">
        <v>2458</v>
      </c>
      <c r="N118" s="24" t="s">
        <v>2458</v>
      </c>
      <c r="O118" s="22" t="s">
        <v>2321</v>
      </c>
      <c r="P118" s="22">
        <v>480000</v>
      </c>
      <c r="Q118" s="22" t="s">
        <v>2271</v>
      </c>
      <c r="R118" s="22" t="s">
        <v>646</v>
      </c>
      <c r="S118" s="21" t="s">
        <v>2623</v>
      </c>
      <c r="T118" s="8" t="s">
        <v>785</v>
      </c>
      <c r="U118" s="8" t="s">
        <v>2408</v>
      </c>
      <c r="V118" s="21">
        <v>506885</v>
      </c>
      <c r="W118" s="21">
        <v>48151</v>
      </c>
      <c r="X118" s="21">
        <v>21000</v>
      </c>
      <c r="Y118" s="21">
        <v>7882</v>
      </c>
      <c r="Z118" s="21">
        <v>500</v>
      </c>
      <c r="AA118" s="21" t="s">
        <v>2253</v>
      </c>
      <c r="AB118" s="21">
        <v>0</v>
      </c>
      <c r="AC118" s="21">
        <v>0</v>
      </c>
      <c r="AD118" s="21">
        <v>0</v>
      </c>
      <c r="AE118" s="21">
        <v>0</v>
      </c>
      <c r="AF118" s="21">
        <v>27000</v>
      </c>
      <c r="AG118" s="21">
        <v>0</v>
      </c>
      <c r="AH118" s="21">
        <v>300000</v>
      </c>
      <c r="AI118" s="21">
        <v>221000</v>
      </c>
      <c r="AJ118" s="21">
        <v>18000</v>
      </c>
      <c r="AK118" s="21">
        <v>0</v>
      </c>
      <c r="AL118" s="21">
        <v>0</v>
      </c>
      <c r="AM118" s="21">
        <v>0</v>
      </c>
      <c r="AN118" s="21">
        <v>0</v>
      </c>
      <c r="AO118" s="21">
        <v>0</v>
      </c>
      <c r="AP118" s="21">
        <v>0</v>
      </c>
      <c r="AQ118" s="21">
        <v>3100</v>
      </c>
      <c r="AR118" s="21">
        <v>22000</v>
      </c>
      <c r="AS118" s="21">
        <v>0</v>
      </c>
      <c r="AT118" s="21">
        <v>0</v>
      </c>
      <c r="AU118" s="21">
        <v>0</v>
      </c>
      <c r="AV118" s="21">
        <v>0</v>
      </c>
      <c r="AW118" s="21"/>
      <c r="AX118" s="29">
        <f>6892+5000</f>
        <v>11892</v>
      </c>
      <c r="AY118" s="21">
        <f t="shared" si="17"/>
        <v>9892</v>
      </c>
      <c r="AZ118" s="21">
        <f t="shared" si="18"/>
        <v>11892</v>
      </c>
      <c r="BA118" s="21">
        <f t="shared" si="19"/>
        <v>9892</v>
      </c>
      <c r="BB118" s="21">
        <v>15000</v>
      </c>
      <c r="BC118" s="21">
        <v>2000</v>
      </c>
      <c r="BD118" s="21">
        <v>0</v>
      </c>
      <c r="BE118" s="21">
        <v>0</v>
      </c>
      <c r="BF118" s="21">
        <f t="shared" si="20"/>
        <v>762426</v>
      </c>
      <c r="BG118" s="21">
        <v>462699</v>
      </c>
      <c r="BH118" s="21" t="s">
        <v>39</v>
      </c>
      <c r="BI118" s="21" t="s">
        <v>2253</v>
      </c>
      <c r="BJ118" s="21" t="s">
        <v>2253</v>
      </c>
      <c r="BK118" s="21">
        <v>0</v>
      </c>
      <c r="BL118" s="21">
        <v>0</v>
      </c>
      <c r="BM118" s="21">
        <f t="shared" si="21"/>
        <v>-273</v>
      </c>
      <c r="BN118" s="25"/>
      <c r="BO118" s="21"/>
      <c r="BP118" s="21" t="s">
        <v>2253</v>
      </c>
      <c r="BQ118" s="21" t="s">
        <v>2253</v>
      </c>
      <c r="BR118" s="21" t="s">
        <v>2253</v>
      </c>
      <c r="BS118" s="21" t="s">
        <v>2472</v>
      </c>
      <c r="BT118" s="21"/>
      <c r="BU118" s="26"/>
      <c r="BV118" s="27"/>
      <c r="BW118" s="27"/>
      <c r="BX118" s="27">
        <v>0</v>
      </c>
      <c r="BY118" s="27">
        <v>0</v>
      </c>
      <c r="BZ118" s="27">
        <v>0</v>
      </c>
      <c r="CA118" s="27" t="str">
        <f t="shared" si="16"/>
        <v>NO</v>
      </c>
      <c r="CB118" s="27"/>
      <c r="CC118" s="27"/>
      <c r="CD118" s="27"/>
      <c r="CE118" s="27"/>
      <c r="CF118" s="27"/>
      <c r="CG118" s="28"/>
    </row>
    <row r="119" spans="1:85" s="20" customFormat="1" ht="15.75" hidden="1" customHeight="1" x14ac:dyDescent="0.3">
      <c r="A119" s="21">
        <v>95</v>
      </c>
      <c r="B119" s="22" t="s">
        <v>2616</v>
      </c>
      <c r="C119" s="22">
        <v>809659</v>
      </c>
      <c r="D119" s="23" t="s">
        <v>2617</v>
      </c>
      <c r="E119" s="24">
        <v>45463</v>
      </c>
      <c r="F119" s="24">
        <v>45464</v>
      </c>
      <c r="G119" s="22" t="s">
        <v>333</v>
      </c>
      <c r="H119" s="22" t="s">
        <v>333</v>
      </c>
      <c r="I119" s="22" t="s">
        <v>2249</v>
      </c>
      <c r="J119" s="22" t="s">
        <v>1092</v>
      </c>
      <c r="K119" s="22"/>
      <c r="L119" s="22"/>
      <c r="M119" s="24" t="s">
        <v>2263</v>
      </c>
      <c r="N119" s="24" t="s">
        <v>2263</v>
      </c>
      <c r="O119" s="22" t="s">
        <v>2321</v>
      </c>
      <c r="P119" s="22">
        <v>1025000</v>
      </c>
      <c r="Q119" s="22" t="s">
        <v>2336</v>
      </c>
      <c r="R119" s="22" t="s">
        <v>2618</v>
      </c>
      <c r="S119" s="21" t="s">
        <v>2619</v>
      </c>
      <c r="T119" s="8" t="s">
        <v>3063</v>
      </c>
      <c r="U119" s="8" t="s">
        <v>2417</v>
      </c>
      <c r="V119" s="21">
        <v>983000</v>
      </c>
      <c r="W119" s="21">
        <v>116640</v>
      </c>
      <c r="X119" s="21">
        <v>29000</v>
      </c>
      <c r="Y119" s="21">
        <v>16709</v>
      </c>
      <c r="Z119" s="21">
        <v>500</v>
      </c>
      <c r="AA119" s="21" t="s">
        <v>2260</v>
      </c>
      <c r="AB119" s="21">
        <v>0</v>
      </c>
      <c r="AC119" s="21">
        <v>0</v>
      </c>
      <c r="AD119" s="21">
        <v>0</v>
      </c>
      <c r="AE119" s="21">
        <v>0</v>
      </c>
      <c r="AF119" s="21">
        <v>29490</v>
      </c>
      <c r="AG119" s="21">
        <v>0</v>
      </c>
      <c r="AH119" s="21">
        <v>0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21">
        <v>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/>
      <c r="AX119" s="21">
        <v>0</v>
      </c>
      <c r="AY119" s="21">
        <f t="shared" si="17"/>
        <v>-2000</v>
      </c>
      <c r="AZ119" s="21">
        <f t="shared" si="18"/>
        <v>0</v>
      </c>
      <c r="BA119" s="21">
        <f t="shared" si="19"/>
        <v>0</v>
      </c>
      <c r="BB119" s="21">
        <v>0</v>
      </c>
      <c r="BC119" s="21">
        <v>2000</v>
      </c>
      <c r="BD119" s="21">
        <v>0</v>
      </c>
      <c r="BE119" s="21">
        <v>0</v>
      </c>
      <c r="BF119" s="21">
        <f t="shared" si="20"/>
        <v>1175339</v>
      </c>
      <c r="BG119" s="21">
        <v>1159000</v>
      </c>
      <c r="BH119" s="21" t="s">
        <v>39</v>
      </c>
      <c r="BI119" s="21" t="s">
        <v>2253</v>
      </c>
      <c r="BJ119" s="21" t="s">
        <v>2253</v>
      </c>
      <c r="BK119" s="21">
        <v>3329454</v>
      </c>
      <c r="BL119" s="21">
        <f>5500+8500+2500</f>
        <v>16500</v>
      </c>
      <c r="BM119" s="21">
        <f t="shared" si="21"/>
        <v>-161</v>
      </c>
      <c r="BN119" s="25"/>
      <c r="BO119" s="21"/>
      <c r="BP119" s="21"/>
      <c r="BQ119" s="21"/>
      <c r="BR119" s="21"/>
      <c r="BS119" s="21"/>
      <c r="BT119" s="21"/>
      <c r="BU119" s="26"/>
      <c r="BV119" s="27"/>
      <c r="BW119" s="27"/>
      <c r="BX119" s="27">
        <v>0</v>
      </c>
      <c r="BY119" s="27">
        <v>0</v>
      </c>
      <c r="BZ119" s="27">
        <v>0</v>
      </c>
      <c r="CA119" s="27" t="str">
        <f t="shared" si="16"/>
        <v>NO</v>
      </c>
      <c r="CB119" s="27"/>
      <c r="CC119" s="27"/>
      <c r="CD119" s="27"/>
      <c r="CE119" s="27"/>
      <c r="CF119" s="27"/>
      <c r="CG119" s="28"/>
    </row>
    <row r="120" spans="1:85" s="20" customFormat="1" ht="15.75" hidden="1" customHeight="1" x14ac:dyDescent="0.3">
      <c r="A120" s="21">
        <v>34</v>
      </c>
      <c r="B120" s="22" t="s">
        <v>2404</v>
      </c>
      <c r="C120" s="22">
        <v>286788</v>
      </c>
      <c r="D120" s="23" t="s">
        <v>2405</v>
      </c>
      <c r="E120" s="24">
        <v>45452</v>
      </c>
      <c r="F120" s="24">
        <v>45456</v>
      </c>
      <c r="G120" s="22" t="s">
        <v>646</v>
      </c>
      <c r="H120" s="22" t="s">
        <v>646</v>
      </c>
      <c r="I120" s="22" t="s">
        <v>2249</v>
      </c>
      <c r="J120" s="22" t="s">
        <v>2406</v>
      </c>
      <c r="K120" s="22"/>
      <c r="L120" s="22"/>
      <c r="M120" s="24" t="s">
        <v>2296</v>
      </c>
      <c r="N120" s="24" t="s">
        <v>2296</v>
      </c>
      <c r="O120" s="22" t="s">
        <v>2400</v>
      </c>
      <c r="P120" s="22">
        <v>350000</v>
      </c>
      <c r="Q120" s="22" t="s">
        <v>2251</v>
      </c>
      <c r="R120" s="22" t="s">
        <v>646</v>
      </c>
      <c r="S120" s="21" t="s">
        <v>2407</v>
      </c>
      <c r="T120" s="8" t="s">
        <v>3081</v>
      </c>
      <c r="U120" s="8" t="s">
        <v>2408</v>
      </c>
      <c r="V120" s="21">
        <v>660385</v>
      </c>
      <c r="W120" s="21">
        <v>60531</v>
      </c>
      <c r="X120" s="21">
        <v>21700</v>
      </c>
      <c r="Y120" s="21">
        <v>0</v>
      </c>
      <c r="Z120" s="21">
        <v>500</v>
      </c>
      <c r="AA120" s="21" t="s">
        <v>2253</v>
      </c>
      <c r="AB120" s="21">
        <v>0</v>
      </c>
      <c r="AC120" s="21">
        <v>0</v>
      </c>
      <c r="AD120" s="21">
        <v>0</v>
      </c>
      <c r="AE120" s="21">
        <v>0</v>
      </c>
      <c r="AF120" s="21">
        <v>3594</v>
      </c>
      <c r="AG120" s="21">
        <v>0</v>
      </c>
      <c r="AH120" s="21">
        <v>0</v>
      </c>
      <c r="AI120" s="21">
        <v>0</v>
      </c>
      <c r="AJ120" s="21">
        <v>10000</v>
      </c>
      <c r="AK120" s="21">
        <v>0</v>
      </c>
      <c r="AL120" s="21">
        <v>0</v>
      </c>
      <c r="AM120" s="21">
        <v>0</v>
      </c>
      <c r="AN120" s="21">
        <v>0</v>
      </c>
      <c r="AO120" s="21">
        <v>0</v>
      </c>
      <c r="AP120" s="21">
        <v>0</v>
      </c>
      <c r="AQ120" s="21">
        <v>3100</v>
      </c>
      <c r="AR120" s="21">
        <v>25000</v>
      </c>
      <c r="AS120" s="21">
        <v>0</v>
      </c>
      <c r="AT120" s="21">
        <v>0</v>
      </c>
      <c r="AU120" s="21">
        <v>0</v>
      </c>
      <c r="AV120" s="21">
        <v>0</v>
      </c>
      <c r="AW120" s="21"/>
      <c r="AX120" s="21">
        <v>7610</v>
      </c>
      <c r="AY120" s="21">
        <f t="shared" si="17"/>
        <v>5610</v>
      </c>
      <c r="AZ120" s="21">
        <f t="shared" si="18"/>
        <v>7610</v>
      </c>
      <c r="BA120" s="21">
        <f t="shared" si="19"/>
        <v>5610</v>
      </c>
      <c r="BB120" s="21">
        <v>0</v>
      </c>
      <c r="BC120" s="21">
        <v>2000</v>
      </c>
      <c r="BD120" s="21">
        <v>0</v>
      </c>
      <c r="BE120" s="21">
        <v>0</v>
      </c>
      <c r="BF120" s="21">
        <f t="shared" si="20"/>
        <v>701000</v>
      </c>
      <c r="BG120" s="21">
        <v>338499</v>
      </c>
      <c r="BH120" s="21" t="s">
        <v>39</v>
      </c>
      <c r="BI120" s="21" t="s">
        <v>2253</v>
      </c>
      <c r="BJ120" s="21" t="s">
        <v>2253</v>
      </c>
      <c r="BK120" s="21">
        <v>1204468</v>
      </c>
      <c r="BL120" s="21">
        <f>5000+57800+190000</f>
        <v>252800</v>
      </c>
      <c r="BM120" s="21">
        <f t="shared" si="21"/>
        <v>109701</v>
      </c>
      <c r="BN120" s="25">
        <v>45454</v>
      </c>
      <c r="BO120" s="21"/>
      <c r="BP120" s="21"/>
      <c r="BQ120" s="21"/>
      <c r="BR120" s="21"/>
      <c r="BS120" s="21"/>
      <c r="BT120" s="21"/>
      <c r="BU120" s="26"/>
      <c r="BV120" s="27"/>
      <c r="BW120" s="27"/>
      <c r="BX120" s="27">
        <v>0</v>
      </c>
      <c r="BY120" s="27">
        <v>0</v>
      </c>
      <c r="BZ120" s="27">
        <v>0</v>
      </c>
      <c r="CA120" s="27" t="str">
        <f t="shared" si="16"/>
        <v>NO</v>
      </c>
      <c r="CB120" s="27"/>
      <c r="CC120" s="27"/>
      <c r="CD120" s="27"/>
      <c r="CE120" s="27"/>
      <c r="CF120" s="27"/>
      <c r="CG120" s="28"/>
    </row>
    <row r="121" spans="1:85" s="20" customFormat="1" ht="15.75" hidden="1" customHeight="1" x14ac:dyDescent="0.3">
      <c r="A121" s="21">
        <v>60</v>
      </c>
      <c r="B121" s="22" t="s">
        <v>2498</v>
      </c>
      <c r="C121" s="22" t="s">
        <v>706</v>
      </c>
      <c r="D121" s="23" t="s">
        <v>2499</v>
      </c>
      <c r="E121" s="24">
        <v>45456</v>
      </c>
      <c r="F121" s="24">
        <v>45458</v>
      </c>
      <c r="G121" s="22" t="s">
        <v>646</v>
      </c>
      <c r="H121" s="22" t="s">
        <v>646</v>
      </c>
      <c r="I121" s="22" t="s">
        <v>2249</v>
      </c>
      <c r="J121" s="22" t="s">
        <v>704</v>
      </c>
      <c r="K121" s="22"/>
      <c r="L121" s="22"/>
      <c r="M121" s="24" t="s">
        <v>2362</v>
      </c>
      <c r="N121" s="24" t="s">
        <v>2362</v>
      </c>
      <c r="O121" s="22" t="s">
        <v>2321</v>
      </c>
      <c r="P121" s="22">
        <v>540000</v>
      </c>
      <c r="Q121" s="22" t="s">
        <v>2368</v>
      </c>
      <c r="R121" s="22" t="s">
        <v>646</v>
      </c>
      <c r="S121" s="21" t="s">
        <v>2407</v>
      </c>
      <c r="T121" s="8" t="s">
        <v>3081</v>
      </c>
      <c r="U121" s="8" t="s">
        <v>2408</v>
      </c>
      <c r="V121" s="21">
        <v>600385</v>
      </c>
      <c r="W121" s="21">
        <v>56531</v>
      </c>
      <c r="X121" s="21">
        <v>21500</v>
      </c>
      <c r="Y121" s="21">
        <v>0</v>
      </c>
      <c r="Z121" s="21">
        <v>500</v>
      </c>
      <c r="AA121" s="21" t="s">
        <v>2253</v>
      </c>
      <c r="AB121" s="21">
        <v>0</v>
      </c>
      <c r="AC121" s="21">
        <v>0</v>
      </c>
      <c r="AD121" s="21">
        <v>0</v>
      </c>
      <c r="AE121" s="21">
        <v>0</v>
      </c>
      <c r="AF121" s="21">
        <v>3230</v>
      </c>
      <c r="AG121" s="21">
        <v>0</v>
      </c>
      <c r="AH121" s="21">
        <v>0</v>
      </c>
      <c r="AI121" s="21">
        <v>0</v>
      </c>
      <c r="AJ121" s="21">
        <v>10000</v>
      </c>
      <c r="AK121" s="21">
        <v>0</v>
      </c>
      <c r="AL121" s="21">
        <v>0</v>
      </c>
      <c r="AM121" s="21">
        <v>0</v>
      </c>
      <c r="AN121" s="21">
        <v>0</v>
      </c>
      <c r="AO121" s="21">
        <v>0</v>
      </c>
      <c r="AP121" s="21">
        <v>0</v>
      </c>
      <c r="AQ121" s="21">
        <v>3100</v>
      </c>
      <c r="AR121" s="21">
        <v>25000</v>
      </c>
      <c r="AS121" s="21">
        <v>0</v>
      </c>
      <c r="AT121" s="21">
        <v>0</v>
      </c>
      <c r="AU121" s="21">
        <v>0</v>
      </c>
      <c r="AV121" s="21">
        <v>0</v>
      </c>
      <c r="AW121" s="21"/>
      <c r="AX121" s="21">
        <v>12000</v>
      </c>
      <c r="AY121" s="21">
        <f t="shared" si="17"/>
        <v>10000</v>
      </c>
      <c r="AZ121" s="21">
        <f t="shared" si="18"/>
        <v>12000</v>
      </c>
      <c r="BA121" s="21">
        <f t="shared" si="19"/>
        <v>10000</v>
      </c>
      <c r="BB121" s="21">
        <v>15000</v>
      </c>
      <c r="BC121" s="21">
        <v>2000</v>
      </c>
      <c r="BD121" s="21">
        <v>0</v>
      </c>
      <c r="BE121" s="21">
        <v>0</v>
      </c>
      <c r="BF121" s="21">
        <f t="shared" si="20"/>
        <v>617046</v>
      </c>
      <c r="BG121" s="21">
        <v>525895</v>
      </c>
      <c r="BH121" s="21" t="s">
        <v>2287</v>
      </c>
      <c r="BI121" s="21" t="s">
        <v>2253</v>
      </c>
      <c r="BJ121" s="21" t="s">
        <v>2253</v>
      </c>
      <c r="BK121" s="21">
        <v>0</v>
      </c>
      <c r="BL121" s="21">
        <f>2100+50000+8000+10000</f>
        <v>70100</v>
      </c>
      <c r="BM121" s="21">
        <f t="shared" si="21"/>
        <v>21051</v>
      </c>
      <c r="BN121" s="25">
        <v>45468</v>
      </c>
      <c r="BO121" s="21"/>
      <c r="BP121" s="21"/>
      <c r="BQ121" s="21"/>
      <c r="BR121" s="21"/>
      <c r="BS121" s="21"/>
      <c r="BT121" s="21"/>
      <c r="BU121" s="26"/>
      <c r="BV121" s="27"/>
      <c r="BW121" s="27"/>
      <c r="BX121" s="27">
        <v>0</v>
      </c>
      <c r="BY121" s="27">
        <v>0</v>
      </c>
      <c r="BZ121" s="27">
        <v>0</v>
      </c>
      <c r="CA121" s="27" t="str">
        <f t="shared" si="16"/>
        <v>NO</v>
      </c>
      <c r="CB121" s="27"/>
      <c r="CC121" s="27"/>
      <c r="CD121" s="27"/>
      <c r="CE121" s="27"/>
      <c r="CF121" s="27"/>
      <c r="CG121" s="28"/>
    </row>
    <row r="122" spans="1:85" s="20" customFormat="1" ht="15.75" hidden="1" customHeight="1" x14ac:dyDescent="0.3">
      <c r="A122" s="21">
        <v>4</v>
      </c>
      <c r="B122" s="22" t="s">
        <v>2267</v>
      </c>
      <c r="C122" s="22" t="s">
        <v>1296</v>
      </c>
      <c r="D122" s="23" t="s">
        <v>2268</v>
      </c>
      <c r="E122" s="24">
        <v>45445</v>
      </c>
      <c r="F122" s="24">
        <v>45448</v>
      </c>
      <c r="G122" s="22" t="s">
        <v>2269</v>
      </c>
      <c r="H122" s="22" t="s">
        <v>2269</v>
      </c>
      <c r="I122" s="22" t="s">
        <v>2249</v>
      </c>
      <c r="J122" s="22" t="s">
        <v>1294</v>
      </c>
      <c r="K122" s="22"/>
      <c r="L122" s="22"/>
      <c r="M122" s="24" t="s">
        <v>310</v>
      </c>
      <c r="N122" s="24" t="s">
        <v>310</v>
      </c>
      <c r="O122" s="22" t="s">
        <v>2270</v>
      </c>
      <c r="P122" s="22">
        <v>595000</v>
      </c>
      <c r="Q122" s="22" t="s">
        <v>2271</v>
      </c>
      <c r="R122" s="22" t="s">
        <v>260</v>
      </c>
      <c r="S122" s="21" t="s">
        <v>2272</v>
      </c>
      <c r="T122" s="8" t="s">
        <v>1297</v>
      </c>
      <c r="U122" s="8" t="s">
        <v>1299</v>
      </c>
      <c r="V122" s="21">
        <v>561000</v>
      </c>
      <c r="W122" s="21">
        <v>53351</v>
      </c>
      <c r="X122" s="21">
        <v>25000</v>
      </c>
      <c r="Y122" s="21">
        <v>0</v>
      </c>
      <c r="Z122" s="21">
        <v>500</v>
      </c>
      <c r="AA122" s="21" t="s">
        <v>2260</v>
      </c>
      <c r="AB122" s="21">
        <v>0</v>
      </c>
      <c r="AC122" s="21">
        <v>0</v>
      </c>
      <c r="AD122" s="21">
        <v>0</v>
      </c>
      <c r="AE122" s="21">
        <v>0</v>
      </c>
      <c r="AF122" s="21">
        <v>27690</v>
      </c>
      <c r="AG122" s="21">
        <v>0</v>
      </c>
      <c r="AH122" s="21">
        <v>0</v>
      </c>
      <c r="AI122" s="21">
        <v>0</v>
      </c>
      <c r="AJ122" s="21">
        <v>10000</v>
      </c>
      <c r="AK122" s="21">
        <v>0</v>
      </c>
      <c r="AL122" s="21">
        <v>0</v>
      </c>
      <c r="AM122" s="21">
        <v>0</v>
      </c>
      <c r="AN122" s="21">
        <v>0</v>
      </c>
      <c r="AO122" s="21">
        <v>0</v>
      </c>
      <c r="AP122" s="21">
        <v>0</v>
      </c>
      <c r="AQ122" s="21">
        <v>0</v>
      </c>
      <c r="AR122" s="21">
        <v>15000</v>
      </c>
      <c r="AS122" s="21">
        <v>0</v>
      </c>
      <c r="AT122" s="21">
        <v>0</v>
      </c>
      <c r="AU122" s="21">
        <v>0</v>
      </c>
      <c r="AV122" s="21">
        <v>0</v>
      </c>
      <c r="AW122" s="21"/>
      <c r="AX122" s="21">
        <v>2541</v>
      </c>
      <c r="AY122" s="21">
        <f t="shared" si="17"/>
        <v>541</v>
      </c>
      <c r="AZ122" s="21">
        <f t="shared" si="18"/>
        <v>2541</v>
      </c>
      <c r="BA122" s="21">
        <f t="shared" si="19"/>
        <v>541</v>
      </c>
      <c r="BB122" s="21">
        <v>0</v>
      </c>
      <c r="BC122" s="21">
        <v>2000</v>
      </c>
      <c r="BD122" s="21">
        <v>0</v>
      </c>
      <c r="BE122" s="21">
        <v>0</v>
      </c>
      <c r="BF122" s="21">
        <f t="shared" si="20"/>
        <v>640000</v>
      </c>
      <c r="BG122" s="21">
        <v>575000</v>
      </c>
      <c r="BH122" s="21" t="s">
        <v>39</v>
      </c>
      <c r="BI122" s="21" t="s">
        <v>2253</v>
      </c>
      <c r="BJ122" s="21" t="s">
        <v>2253</v>
      </c>
      <c r="BK122" s="21">
        <v>13345322</v>
      </c>
      <c r="BL122" s="21">
        <v>0</v>
      </c>
      <c r="BM122" s="21">
        <f t="shared" si="21"/>
        <v>65000</v>
      </c>
      <c r="BN122" s="25">
        <v>45446</v>
      </c>
      <c r="BO122" s="21"/>
      <c r="BP122" s="21"/>
      <c r="BQ122" s="21"/>
      <c r="BR122" s="21"/>
      <c r="BS122" s="21"/>
      <c r="BT122" s="21"/>
      <c r="BU122" s="26"/>
      <c r="BV122" s="27"/>
      <c r="BW122" s="27"/>
      <c r="BX122" s="27">
        <v>0</v>
      </c>
      <c r="BY122" s="27">
        <v>0</v>
      </c>
      <c r="BZ122" s="27">
        <v>0</v>
      </c>
      <c r="CA122" s="27" t="str">
        <f t="shared" si="16"/>
        <v>NO</v>
      </c>
      <c r="CB122" s="27"/>
      <c r="CC122" s="27"/>
      <c r="CD122" s="27"/>
      <c r="CE122" s="27"/>
      <c r="CF122" s="27"/>
      <c r="CG122" s="28"/>
    </row>
    <row r="123" spans="1:85" s="20" customFormat="1" ht="15.75" hidden="1" customHeight="1" x14ac:dyDescent="0.3">
      <c r="A123" s="21">
        <v>43</v>
      </c>
      <c r="B123" s="22" t="s">
        <v>2440</v>
      </c>
      <c r="C123" s="22">
        <v>114747</v>
      </c>
      <c r="D123" s="23" t="s">
        <v>2441</v>
      </c>
      <c r="E123" s="24">
        <v>45453</v>
      </c>
      <c r="F123" s="24">
        <v>45453</v>
      </c>
      <c r="G123" s="22" t="s">
        <v>333</v>
      </c>
      <c r="H123" s="22" t="s">
        <v>333</v>
      </c>
      <c r="I123" s="22" t="s">
        <v>2249</v>
      </c>
      <c r="J123" s="22" t="s">
        <v>962</v>
      </c>
      <c r="K123" s="22"/>
      <c r="L123" s="22"/>
      <c r="M123" s="24" t="s">
        <v>3108</v>
      </c>
      <c r="N123" s="24" t="s">
        <v>2304</v>
      </c>
      <c r="O123" s="22" t="s">
        <v>2442</v>
      </c>
      <c r="P123" s="22">
        <v>0</v>
      </c>
      <c r="Q123" s="22" t="s">
        <v>77</v>
      </c>
      <c r="R123" s="22" t="s">
        <v>333</v>
      </c>
      <c r="S123" s="21" t="s">
        <v>967</v>
      </c>
      <c r="T123" s="8" t="s">
        <v>966</v>
      </c>
      <c r="U123" s="8" t="s">
        <v>2280</v>
      </c>
      <c r="V123" s="21">
        <v>730127</v>
      </c>
      <c r="W123" s="21">
        <v>66010</v>
      </c>
      <c r="X123" s="21">
        <v>30000</v>
      </c>
      <c r="Y123" s="21">
        <v>12402</v>
      </c>
      <c r="Z123" s="21">
        <v>500</v>
      </c>
      <c r="AA123" s="21" t="s">
        <v>2253</v>
      </c>
      <c r="AB123" s="21">
        <v>0</v>
      </c>
      <c r="AC123" s="21">
        <v>3540</v>
      </c>
      <c r="AD123" s="21">
        <v>0</v>
      </c>
      <c r="AE123" s="21">
        <v>0</v>
      </c>
      <c r="AF123" s="21">
        <v>31000</v>
      </c>
      <c r="AG123" s="21">
        <v>0</v>
      </c>
      <c r="AH123" s="21">
        <v>125000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21">
        <v>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/>
      <c r="AX123" s="21">
        <v>0</v>
      </c>
      <c r="AY123" s="21">
        <f t="shared" si="17"/>
        <v>-2000</v>
      </c>
      <c r="AZ123" s="21">
        <f t="shared" si="18"/>
        <v>0</v>
      </c>
      <c r="BA123" s="21">
        <f t="shared" si="19"/>
        <v>0</v>
      </c>
      <c r="BB123" s="21">
        <v>0</v>
      </c>
      <c r="BC123" s="21">
        <v>2000</v>
      </c>
      <c r="BD123" s="21">
        <v>0</v>
      </c>
      <c r="BE123" s="21">
        <v>0</v>
      </c>
      <c r="BF123" s="21">
        <f t="shared" si="20"/>
        <v>873579</v>
      </c>
      <c r="BG123" s="21">
        <v>0</v>
      </c>
      <c r="BH123" s="21" t="s">
        <v>39</v>
      </c>
      <c r="BI123" s="21" t="s">
        <v>2253</v>
      </c>
      <c r="BJ123" s="21" t="s">
        <v>2253</v>
      </c>
      <c r="BK123" s="21">
        <v>0</v>
      </c>
      <c r="BL123" s="21">
        <f>5100+500</f>
        <v>5600</v>
      </c>
      <c r="BM123" s="21">
        <f t="shared" si="21"/>
        <v>742979</v>
      </c>
      <c r="BN123" s="25"/>
      <c r="BO123" s="21"/>
      <c r="BP123" s="21" t="s">
        <v>2253</v>
      </c>
      <c r="BQ123" s="21" t="s">
        <v>2253</v>
      </c>
      <c r="BR123" s="21" t="s">
        <v>2253</v>
      </c>
      <c r="BS123" s="21" t="s">
        <v>2443</v>
      </c>
      <c r="BT123" s="21"/>
      <c r="BU123" s="26"/>
      <c r="BV123" s="27"/>
      <c r="BW123" s="27"/>
      <c r="BX123" s="27">
        <v>0</v>
      </c>
      <c r="BY123" s="27">
        <v>0</v>
      </c>
      <c r="BZ123" s="27">
        <v>0</v>
      </c>
      <c r="CA123" s="27" t="str">
        <f t="shared" si="16"/>
        <v>YES</v>
      </c>
      <c r="CB123" s="27"/>
      <c r="CC123" s="27"/>
      <c r="CD123" s="27"/>
      <c r="CE123" s="27"/>
      <c r="CF123" s="27"/>
      <c r="CG123" s="28"/>
    </row>
    <row r="124" spans="1:85" s="20" customFormat="1" ht="15.75" hidden="1" customHeight="1" x14ac:dyDescent="0.3">
      <c r="A124" s="21">
        <v>45</v>
      </c>
      <c r="B124" s="22" t="s">
        <v>2448</v>
      </c>
      <c r="C124" s="22">
        <v>801830</v>
      </c>
      <c r="D124" s="23" t="s">
        <v>2449</v>
      </c>
      <c r="E124" s="24">
        <v>45453</v>
      </c>
      <c r="F124" s="24">
        <v>45454</v>
      </c>
      <c r="G124" s="22" t="s">
        <v>333</v>
      </c>
      <c r="H124" s="22" t="s">
        <v>333</v>
      </c>
      <c r="I124" s="22" t="s">
        <v>2249</v>
      </c>
      <c r="J124" s="22" t="s">
        <v>2450</v>
      </c>
      <c r="K124" s="22"/>
      <c r="L124" s="22"/>
      <c r="M124" s="24" t="s">
        <v>3103</v>
      </c>
      <c r="N124" s="24" t="s">
        <v>2263</v>
      </c>
      <c r="O124" s="22" t="s">
        <v>2451</v>
      </c>
      <c r="P124" s="22">
        <v>900000</v>
      </c>
      <c r="Q124" s="22" t="s">
        <v>2277</v>
      </c>
      <c r="R124" s="22" t="s">
        <v>2452</v>
      </c>
      <c r="S124" s="140" t="s">
        <v>967</v>
      </c>
      <c r="T124" s="8" t="s">
        <v>966</v>
      </c>
      <c r="U124" s="8" t="s">
        <v>2280</v>
      </c>
      <c r="V124" s="21">
        <v>983885</v>
      </c>
      <c r="W124" s="21">
        <v>86811</v>
      </c>
      <c r="X124" s="21">
        <v>36162</v>
      </c>
      <c r="Y124" s="21">
        <v>16709</v>
      </c>
      <c r="Z124" s="21">
        <v>500</v>
      </c>
      <c r="AA124" s="21" t="s">
        <v>2253</v>
      </c>
      <c r="AB124" s="21">
        <v>0</v>
      </c>
      <c r="AC124" s="21">
        <v>4933</v>
      </c>
      <c r="AD124" s="21">
        <v>0</v>
      </c>
      <c r="AE124" s="21">
        <v>0</v>
      </c>
      <c r="AF124" s="21">
        <v>40000</v>
      </c>
      <c r="AG124" s="21">
        <v>0</v>
      </c>
      <c r="AH124" s="21">
        <v>0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21">
        <v>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/>
      <c r="AX124" s="21">
        <v>0</v>
      </c>
      <c r="AY124" s="21">
        <f t="shared" si="17"/>
        <v>-2000</v>
      </c>
      <c r="AZ124" s="21">
        <f t="shared" si="18"/>
        <v>0</v>
      </c>
      <c r="BA124" s="21">
        <f t="shared" si="19"/>
        <v>0</v>
      </c>
      <c r="BB124" s="21">
        <v>0</v>
      </c>
      <c r="BC124" s="21">
        <v>2000</v>
      </c>
      <c r="BD124" s="21">
        <v>0</v>
      </c>
      <c r="BE124" s="21">
        <v>0</v>
      </c>
      <c r="BF124" s="21">
        <f t="shared" si="20"/>
        <v>1169000</v>
      </c>
      <c r="BG124" s="21">
        <v>900000</v>
      </c>
      <c r="BH124" s="21" t="s">
        <v>39</v>
      </c>
      <c r="BI124" s="21" t="s">
        <v>2253</v>
      </c>
      <c r="BJ124" s="21" t="s">
        <v>2253</v>
      </c>
      <c r="BK124" s="21">
        <v>28517238</v>
      </c>
      <c r="BL124" s="21">
        <f>21000+199000</f>
        <v>220000</v>
      </c>
      <c r="BM124" s="21">
        <f t="shared" si="21"/>
        <v>49000</v>
      </c>
      <c r="BN124" s="25">
        <v>45453</v>
      </c>
      <c r="BO124" s="21"/>
      <c r="BP124" s="21"/>
      <c r="BQ124" s="21"/>
      <c r="BR124" s="21"/>
      <c r="BS124" s="21"/>
      <c r="BT124" s="21"/>
      <c r="BU124" s="26"/>
      <c r="BV124" s="27"/>
      <c r="BW124" s="27"/>
      <c r="BX124" s="27">
        <v>0</v>
      </c>
      <c r="BY124" s="27">
        <v>0</v>
      </c>
      <c r="BZ124" s="27">
        <v>0</v>
      </c>
      <c r="CA124" s="27" t="str">
        <f t="shared" si="16"/>
        <v>YES</v>
      </c>
      <c r="CB124" s="27"/>
      <c r="CC124" s="27"/>
      <c r="CD124" s="27"/>
      <c r="CE124" s="27"/>
      <c r="CF124" s="27"/>
      <c r="CG124" s="28"/>
    </row>
    <row r="125" spans="1:85" s="20" customFormat="1" ht="15.75" hidden="1" customHeight="1" x14ac:dyDescent="0.3">
      <c r="A125" s="21">
        <v>57</v>
      </c>
      <c r="B125" s="22" t="s">
        <v>2490</v>
      </c>
      <c r="C125" s="22" t="s">
        <v>1017</v>
      </c>
      <c r="D125" s="23" t="s">
        <v>2491</v>
      </c>
      <c r="E125" s="24">
        <v>45455</v>
      </c>
      <c r="F125" s="24">
        <v>45461</v>
      </c>
      <c r="G125" s="22" t="s">
        <v>333</v>
      </c>
      <c r="H125" s="22" t="s">
        <v>333</v>
      </c>
      <c r="I125" s="22" t="s">
        <v>2249</v>
      </c>
      <c r="J125" s="22" t="s">
        <v>1015</v>
      </c>
      <c r="K125" s="22"/>
      <c r="L125" s="22"/>
      <c r="M125" s="24" t="s">
        <v>2362</v>
      </c>
      <c r="N125" s="24" t="s">
        <v>2362</v>
      </c>
      <c r="O125" s="22" t="s">
        <v>2321</v>
      </c>
      <c r="P125" s="22">
        <v>391000</v>
      </c>
      <c r="Q125" s="22" t="s">
        <v>2271</v>
      </c>
      <c r="R125" s="22" t="s">
        <v>333</v>
      </c>
      <c r="S125" s="21" t="s">
        <v>967</v>
      </c>
      <c r="T125" s="8" t="s">
        <v>966</v>
      </c>
      <c r="U125" s="8" t="s">
        <v>2280</v>
      </c>
      <c r="V125" s="21">
        <v>600385</v>
      </c>
      <c r="W125" s="21">
        <v>56531</v>
      </c>
      <c r="X125" s="21">
        <v>22000</v>
      </c>
      <c r="Y125" s="21">
        <v>9346</v>
      </c>
      <c r="Z125" s="21">
        <v>500</v>
      </c>
      <c r="AA125" s="21" t="s">
        <v>2253</v>
      </c>
      <c r="AB125" s="21">
        <v>0</v>
      </c>
      <c r="AC125" s="21">
        <v>0</v>
      </c>
      <c r="AD125" s="21">
        <v>0</v>
      </c>
      <c r="AE125" s="21">
        <v>0</v>
      </c>
      <c r="AF125" s="21">
        <v>37000</v>
      </c>
      <c r="AG125" s="21">
        <v>0</v>
      </c>
      <c r="AH125" s="21">
        <v>0</v>
      </c>
      <c r="AI125" s="21">
        <v>0</v>
      </c>
      <c r="AJ125" s="21">
        <v>10000</v>
      </c>
      <c r="AK125" s="21">
        <v>0</v>
      </c>
      <c r="AL125" s="21">
        <v>0</v>
      </c>
      <c r="AM125" s="21">
        <v>0</v>
      </c>
      <c r="AN125" s="21">
        <v>0</v>
      </c>
      <c r="AO125" s="21">
        <v>0</v>
      </c>
      <c r="AP125" s="21">
        <v>0</v>
      </c>
      <c r="AQ125" s="21">
        <v>2100</v>
      </c>
      <c r="AR125" s="21">
        <v>25000</v>
      </c>
      <c r="AS125" s="21">
        <v>0</v>
      </c>
      <c r="AT125" s="21">
        <v>0</v>
      </c>
      <c r="AU125" s="21">
        <v>0</v>
      </c>
      <c r="AV125" s="21">
        <v>0</v>
      </c>
      <c r="AW125" s="21"/>
      <c r="AX125" s="21">
        <f>2000+10662</f>
        <v>12662</v>
      </c>
      <c r="AY125" s="21">
        <f t="shared" si="17"/>
        <v>10662</v>
      </c>
      <c r="AZ125" s="21">
        <f t="shared" si="18"/>
        <v>12662</v>
      </c>
      <c r="BA125" s="21">
        <f t="shared" si="19"/>
        <v>10662</v>
      </c>
      <c r="BB125" s="21">
        <v>0</v>
      </c>
      <c r="BC125" s="21">
        <v>2000</v>
      </c>
      <c r="BD125" s="21">
        <v>0</v>
      </c>
      <c r="BE125" s="21">
        <v>0</v>
      </c>
      <c r="BF125" s="21">
        <f t="shared" si="20"/>
        <v>676000</v>
      </c>
      <c r="BG125" s="21">
        <v>373900</v>
      </c>
      <c r="BH125" s="21" t="s">
        <v>39</v>
      </c>
      <c r="BI125" s="21" t="s">
        <v>2253</v>
      </c>
      <c r="BJ125" s="21" t="s">
        <v>2253</v>
      </c>
      <c r="BK125" s="21">
        <v>13440189</v>
      </c>
      <c r="BL125" s="21">
        <v>199000</v>
      </c>
      <c r="BM125" s="21">
        <f t="shared" si="21"/>
        <v>103100</v>
      </c>
      <c r="BN125" s="25">
        <v>45456</v>
      </c>
      <c r="BO125" s="21"/>
      <c r="BP125" s="21"/>
      <c r="BQ125" s="21"/>
      <c r="BR125" s="21"/>
      <c r="BS125" s="21"/>
      <c r="BT125" s="21"/>
      <c r="BU125" s="26"/>
      <c r="BV125" s="27"/>
      <c r="BW125" s="27"/>
      <c r="BX125" s="27">
        <v>0</v>
      </c>
      <c r="BY125" s="27">
        <v>0</v>
      </c>
      <c r="BZ125" s="27">
        <v>0</v>
      </c>
      <c r="CA125" s="27" t="str">
        <f t="shared" si="16"/>
        <v>NO</v>
      </c>
      <c r="CB125" s="27"/>
      <c r="CC125" s="27"/>
      <c r="CD125" s="27"/>
      <c r="CE125" s="27"/>
      <c r="CF125" s="27"/>
      <c r="CG125" s="28"/>
    </row>
    <row r="126" spans="1:85" s="20" customFormat="1" ht="15.75" hidden="1" customHeight="1" x14ac:dyDescent="0.3">
      <c r="A126" s="21">
        <v>69</v>
      </c>
      <c r="B126" s="22" t="s">
        <v>2529</v>
      </c>
      <c r="C126" s="22">
        <v>505547</v>
      </c>
      <c r="D126" s="23" t="s">
        <v>2530</v>
      </c>
      <c r="E126" s="24">
        <v>45458</v>
      </c>
      <c r="F126" s="24">
        <v>45463</v>
      </c>
      <c r="G126" s="22" t="s">
        <v>333</v>
      </c>
      <c r="H126" s="22" t="s">
        <v>333</v>
      </c>
      <c r="I126" s="22" t="s">
        <v>2249</v>
      </c>
      <c r="J126" s="22" t="s">
        <v>2531</v>
      </c>
      <c r="K126" s="22"/>
      <c r="L126" s="22"/>
      <c r="M126" s="24" t="s">
        <v>2503</v>
      </c>
      <c r="N126" s="24" t="s">
        <v>2988</v>
      </c>
      <c r="O126" s="22" t="s">
        <v>2363</v>
      </c>
      <c r="P126" s="22">
        <v>525000</v>
      </c>
      <c r="Q126" s="22" t="s">
        <v>2271</v>
      </c>
      <c r="R126" s="22" t="s">
        <v>333</v>
      </c>
      <c r="S126" s="21" t="s">
        <v>967</v>
      </c>
      <c r="T126" s="8" t="s">
        <v>966</v>
      </c>
      <c r="U126" s="8" t="s">
        <v>2280</v>
      </c>
      <c r="V126" s="21">
        <v>522385</v>
      </c>
      <c r="W126" s="21">
        <v>49391</v>
      </c>
      <c r="X126" s="21">
        <v>22926</v>
      </c>
      <c r="Y126" s="21">
        <v>8130</v>
      </c>
      <c r="Z126" s="21">
        <v>0</v>
      </c>
      <c r="AA126" s="21" t="s">
        <v>2253</v>
      </c>
      <c r="AB126" s="21">
        <v>0</v>
      </c>
      <c r="AC126" s="21">
        <v>0</v>
      </c>
      <c r="AD126" s="21">
        <v>0</v>
      </c>
      <c r="AE126" s="21">
        <v>0</v>
      </c>
      <c r="AF126" s="21">
        <f>28980+11000</f>
        <v>39980</v>
      </c>
      <c r="AG126" s="21">
        <v>0</v>
      </c>
      <c r="AH126" s="21">
        <v>310000</v>
      </c>
      <c r="AI126" s="21">
        <v>268542</v>
      </c>
      <c r="AJ126" s="21">
        <v>18000</v>
      </c>
      <c r="AK126" s="21">
        <v>0</v>
      </c>
      <c r="AL126" s="21">
        <v>0</v>
      </c>
      <c r="AM126" s="21">
        <v>0</v>
      </c>
      <c r="AN126" s="21">
        <v>0</v>
      </c>
      <c r="AO126" s="21">
        <v>0</v>
      </c>
      <c r="AP126" s="21">
        <v>0</v>
      </c>
      <c r="AQ126" s="21">
        <v>0</v>
      </c>
      <c r="AR126" s="21">
        <v>17000</v>
      </c>
      <c r="AS126" s="21">
        <v>0</v>
      </c>
      <c r="AT126" s="21">
        <v>0</v>
      </c>
      <c r="AU126" s="21">
        <v>0</v>
      </c>
      <c r="AV126" s="21">
        <v>0</v>
      </c>
      <c r="AW126" s="21">
        <v>14853</v>
      </c>
      <c r="AX126" s="21">
        <f>15774+1627</f>
        <v>17401</v>
      </c>
      <c r="AY126" s="21">
        <f t="shared" si="17"/>
        <v>30254</v>
      </c>
      <c r="AZ126" s="21">
        <f t="shared" si="18"/>
        <v>32254</v>
      </c>
      <c r="BA126" s="21">
        <f t="shared" si="19"/>
        <v>30254</v>
      </c>
      <c r="BB126" s="21">
        <v>15000</v>
      </c>
      <c r="BC126" s="21">
        <v>2000</v>
      </c>
      <c r="BD126" s="21">
        <v>0</v>
      </c>
      <c r="BE126" s="21">
        <v>0</v>
      </c>
      <c r="BF126" s="21">
        <f t="shared" si="20"/>
        <v>829100</v>
      </c>
      <c r="BG126" s="21">
        <v>507000</v>
      </c>
      <c r="BH126" s="21" t="s">
        <v>39</v>
      </c>
      <c r="BI126" s="21" t="s">
        <v>2253</v>
      </c>
      <c r="BJ126" s="21" t="s">
        <v>2253</v>
      </c>
      <c r="BK126" s="21">
        <v>13464905</v>
      </c>
      <c r="BL126" s="21">
        <v>2100</v>
      </c>
      <c r="BM126" s="21">
        <f t="shared" si="21"/>
        <v>10000</v>
      </c>
      <c r="BN126" s="25">
        <v>45493</v>
      </c>
      <c r="BO126" s="21"/>
      <c r="BP126" s="21" t="s">
        <v>2253</v>
      </c>
      <c r="BQ126" s="21" t="s">
        <v>2253</v>
      </c>
      <c r="BR126" s="21" t="s">
        <v>2253</v>
      </c>
      <c r="BS126" s="21" t="s">
        <v>2443</v>
      </c>
      <c r="BT126" s="21"/>
      <c r="BU126" s="26"/>
      <c r="BV126" s="27"/>
      <c r="BW126" s="27"/>
      <c r="BX126" s="27">
        <v>0</v>
      </c>
      <c r="BY126" s="27">
        <v>0</v>
      </c>
      <c r="BZ126" s="27">
        <v>0</v>
      </c>
      <c r="CA126" s="27" t="str">
        <f t="shared" si="16"/>
        <v>NO</v>
      </c>
      <c r="CB126" s="27"/>
      <c r="CC126" s="27"/>
      <c r="CD126" s="27"/>
      <c r="CE126" s="27"/>
      <c r="CF126" s="27"/>
      <c r="CG126" s="28"/>
    </row>
    <row r="127" spans="1:85" s="20" customFormat="1" ht="15.75" hidden="1" customHeight="1" x14ac:dyDescent="0.3">
      <c r="A127" s="21">
        <v>106</v>
      </c>
      <c r="B127" s="22" t="s">
        <v>2649</v>
      </c>
      <c r="C127" s="22" t="s">
        <v>1106</v>
      </c>
      <c r="D127" s="23" t="s">
        <v>2650</v>
      </c>
      <c r="E127" s="24">
        <v>45464</v>
      </c>
      <c r="F127" s="24">
        <v>45470</v>
      </c>
      <c r="G127" s="22" t="s">
        <v>333</v>
      </c>
      <c r="H127" s="22" t="s">
        <v>333</v>
      </c>
      <c r="I127" s="22" t="s">
        <v>2249</v>
      </c>
      <c r="J127" s="22" t="s">
        <v>1103</v>
      </c>
      <c r="K127" s="22"/>
      <c r="L127" s="22"/>
      <c r="M127" s="24" t="s">
        <v>310</v>
      </c>
      <c r="N127" s="24" t="s">
        <v>310</v>
      </c>
      <c r="O127" s="22" t="s">
        <v>2250</v>
      </c>
      <c r="P127" s="22">
        <v>520000</v>
      </c>
      <c r="Q127" s="22" t="s">
        <v>2298</v>
      </c>
      <c r="R127" s="22" t="s">
        <v>333</v>
      </c>
      <c r="S127" s="21" t="s">
        <v>967</v>
      </c>
      <c r="T127" s="8" t="s">
        <v>966</v>
      </c>
      <c r="U127" s="8" t="s">
        <v>2280</v>
      </c>
      <c r="V127" s="21">
        <v>568000</v>
      </c>
      <c r="W127" s="21">
        <v>53911</v>
      </c>
      <c r="X127" s="21">
        <v>25500</v>
      </c>
      <c r="Y127" s="21">
        <v>8850</v>
      </c>
      <c r="Z127" s="21">
        <v>500</v>
      </c>
      <c r="AA127" s="21" t="s">
        <v>2260</v>
      </c>
      <c r="AB127" s="21">
        <v>0</v>
      </c>
      <c r="AC127" s="21">
        <v>2750</v>
      </c>
      <c r="AD127" s="21">
        <v>0</v>
      </c>
      <c r="AE127" s="21">
        <v>0</v>
      </c>
      <c r="AF127" s="21">
        <v>3600</v>
      </c>
      <c r="AG127" s="21">
        <v>0</v>
      </c>
      <c r="AH127" s="21">
        <v>0</v>
      </c>
      <c r="AI127" s="21">
        <v>0</v>
      </c>
      <c r="AJ127" s="21">
        <v>10000</v>
      </c>
      <c r="AK127" s="21">
        <v>0</v>
      </c>
      <c r="AL127" s="21">
        <v>0</v>
      </c>
      <c r="AM127" s="21">
        <v>0</v>
      </c>
      <c r="AN127" s="21">
        <v>0</v>
      </c>
      <c r="AO127" s="21">
        <v>0</v>
      </c>
      <c r="AP127" s="21">
        <v>2000</v>
      </c>
      <c r="AQ127" s="21">
        <v>0</v>
      </c>
      <c r="AR127" s="21">
        <v>15000</v>
      </c>
      <c r="AS127" s="21">
        <v>0</v>
      </c>
      <c r="AT127" s="21">
        <v>0</v>
      </c>
      <c r="AU127" s="21">
        <v>0</v>
      </c>
      <c r="AV127" s="21">
        <v>0</v>
      </c>
      <c r="AW127" s="21"/>
      <c r="AX127" s="21">
        <v>14111</v>
      </c>
      <c r="AY127" s="21">
        <f t="shared" si="17"/>
        <v>12111</v>
      </c>
      <c r="AZ127" s="21">
        <f t="shared" si="18"/>
        <v>14111</v>
      </c>
      <c r="BA127" s="21">
        <f t="shared" si="19"/>
        <v>12111</v>
      </c>
      <c r="BB127" s="21">
        <v>0</v>
      </c>
      <c r="BC127" s="21">
        <v>2000</v>
      </c>
      <c r="BD127" s="21">
        <v>0</v>
      </c>
      <c r="BE127" s="21">
        <v>0</v>
      </c>
      <c r="BF127" s="21">
        <f t="shared" si="20"/>
        <v>622000</v>
      </c>
      <c r="BG127" s="21">
        <v>520000</v>
      </c>
      <c r="BH127" s="21" t="s">
        <v>39</v>
      </c>
      <c r="BI127" s="21" t="s">
        <v>2253</v>
      </c>
      <c r="BJ127" s="21" t="s">
        <v>2253</v>
      </c>
      <c r="BK127" s="21" t="s">
        <v>2651</v>
      </c>
      <c r="BL127" s="21">
        <f>2100+60000</f>
        <v>62100</v>
      </c>
      <c r="BM127" s="21">
        <f t="shared" si="21"/>
        <v>39900</v>
      </c>
      <c r="BN127" s="25">
        <v>45475</v>
      </c>
      <c r="BO127" s="21"/>
      <c r="BP127" s="21"/>
      <c r="BQ127" s="21"/>
      <c r="BR127" s="21"/>
      <c r="BS127" s="21"/>
      <c r="BT127" s="21"/>
      <c r="BU127" s="26"/>
      <c r="BV127" s="27"/>
      <c r="BW127" s="27"/>
      <c r="BX127" s="27">
        <v>0</v>
      </c>
      <c r="BY127" s="27">
        <v>0</v>
      </c>
      <c r="BZ127" s="27">
        <v>0</v>
      </c>
      <c r="CA127" s="27" t="str">
        <f t="shared" si="16"/>
        <v>NO</v>
      </c>
      <c r="CB127" s="27"/>
      <c r="CC127" s="27"/>
      <c r="CD127" s="27"/>
      <c r="CE127" s="27"/>
      <c r="CF127" s="27"/>
      <c r="CG127" s="28"/>
    </row>
    <row r="128" spans="1:85" s="20" customFormat="1" ht="15.75" hidden="1" customHeight="1" x14ac:dyDescent="0.3">
      <c r="A128" s="21">
        <v>134</v>
      </c>
      <c r="B128" s="22" t="s">
        <v>2743</v>
      </c>
      <c r="C128" s="22">
        <v>825144</v>
      </c>
      <c r="D128" s="23">
        <v>9826462090</v>
      </c>
      <c r="E128" s="24">
        <v>45469</v>
      </c>
      <c r="F128" s="24">
        <v>45470</v>
      </c>
      <c r="G128" s="22" t="s">
        <v>333</v>
      </c>
      <c r="H128" s="22" t="s">
        <v>333</v>
      </c>
      <c r="I128" s="22" t="s">
        <v>2249</v>
      </c>
      <c r="J128" s="22" t="s">
        <v>1176</v>
      </c>
      <c r="K128" s="22"/>
      <c r="L128" s="22"/>
      <c r="M128" s="24" t="s">
        <v>2263</v>
      </c>
      <c r="N128" s="24" t="s">
        <v>2263</v>
      </c>
      <c r="O128" s="22" t="s">
        <v>2744</v>
      </c>
      <c r="P128" s="22">
        <v>800000</v>
      </c>
      <c r="Q128" s="22" t="s">
        <v>406</v>
      </c>
      <c r="R128" s="22" t="s">
        <v>2745</v>
      </c>
      <c r="S128" s="21" t="s">
        <v>967</v>
      </c>
      <c r="T128" s="8" t="s">
        <v>966</v>
      </c>
      <c r="U128" s="8" t="s">
        <v>2507</v>
      </c>
      <c r="V128" s="21">
        <v>1078885</v>
      </c>
      <c r="W128" s="21">
        <v>115988</v>
      </c>
      <c r="X128" s="21">
        <v>36500</v>
      </c>
      <c r="Y128" s="21">
        <v>18325</v>
      </c>
      <c r="Z128" s="21">
        <v>500</v>
      </c>
      <c r="AA128" s="21" t="s">
        <v>2253</v>
      </c>
      <c r="AB128" s="21">
        <v>0</v>
      </c>
      <c r="AC128" s="21">
        <v>5216</v>
      </c>
      <c r="AD128" s="21">
        <v>10789</v>
      </c>
      <c r="AE128" s="21">
        <v>0</v>
      </c>
      <c r="AF128" s="21">
        <v>22800</v>
      </c>
      <c r="AG128" s="21">
        <v>0</v>
      </c>
      <c r="AH128" s="21">
        <v>0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21">
        <v>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/>
      <c r="AX128" s="21">
        <v>0</v>
      </c>
      <c r="AY128" s="21">
        <f t="shared" si="17"/>
        <v>-2000</v>
      </c>
      <c r="AZ128" s="21">
        <f t="shared" si="18"/>
        <v>0</v>
      </c>
      <c r="BA128" s="21">
        <f t="shared" si="19"/>
        <v>0</v>
      </c>
      <c r="BB128" s="21">
        <v>0</v>
      </c>
      <c r="BC128" s="21">
        <v>2000</v>
      </c>
      <c r="BD128" s="21">
        <v>0</v>
      </c>
      <c r="BE128" s="21">
        <v>0</v>
      </c>
      <c r="BF128" s="21">
        <f t="shared" si="20"/>
        <v>1289003</v>
      </c>
      <c r="BG128" s="21">
        <v>1270000</v>
      </c>
      <c r="BH128" s="21" t="s">
        <v>2583</v>
      </c>
      <c r="BI128" s="21" t="s">
        <v>2260</v>
      </c>
      <c r="BJ128" s="21" t="s">
        <v>2260</v>
      </c>
      <c r="BK128" s="21">
        <v>0</v>
      </c>
      <c r="BL128" s="21">
        <f>11000+8000</f>
        <v>19000</v>
      </c>
      <c r="BM128" s="21">
        <f t="shared" si="21"/>
        <v>3</v>
      </c>
      <c r="BN128" s="25"/>
      <c r="BO128" s="21"/>
      <c r="BP128" s="21"/>
      <c r="BQ128" s="21"/>
      <c r="BR128" s="21"/>
      <c r="BS128" s="21"/>
      <c r="BT128" s="21"/>
      <c r="BU128" s="26"/>
      <c r="BV128" s="27"/>
      <c r="BW128" s="27"/>
      <c r="BX128" s="27">
        <v>0</v>
      </c>
      <c r="BY128" s="27">
        <v>0</v>
      </c>
      <c r="BZ128" s="27">
        <v>0</v>
      </c>
      <c r="CA128" s="27" t="str">
        <f t="shared" si="16"/>
        <v>NO</v>
      </c>
      <c r="CB128" s="27"/>
      <c r="CC128" s="27"/>
      <c r="CD128" s="27"/>
      <c r="CE128" s="27"/>
      <c r="CF128" s="27"/>
      <c r="CG128" s="28"/>
    </row>
    <row r="129" spans="1:85" s="20" customFormat="1" ht="15.75" hidden="1" customHeight="1" x14ac:dyDescent="0.3">
      <c r="A129" s="21">
        <v>5</v>
      </c>
      <c r="B129" s="22" t="s">
        <v>2273</v>
      </c>
      <c r="C129" s="22">
        <v>414857</v>
      </c>
      <c r="D129" s="23" t="s">
        <v>2274</v>
      </c>
      <c r="E129" s="24">
        <v>45445</v>
      </c>
      <c r="F129" s="24">
        <v>45446</v>
      </c>
      <c r="G129" s="22" t="s">
        <v>333</v>
      </c>
      <c r="H129" s="22" t="s">
        <v>333</v>
      </c>
      <c r="I129" s="22" t="s">
        <v>2249</v>
      </c>
      <c r="J129" s="22" t="s">
        <v>940</v>
      </c>
      <c r="K129" s="22"/>
      <c r="L129" s="22"/>
      <c r="M129" s="24" t="s">
        <v>2275</v>
      </c>
      <c r="N129" s="22" t="s">
        <v>2990</v>
      </c>
      <c r="O129" s="22" t="s">
        <v>2276</v>
      </c>
      <c r="P129" s="22">
        <v>834000</v>
      </c>
      <c r="Q129" s="22" t="s">
        <v>2277</v>
      </c>
      <c r="R129" s="22" t="s">
        <v>2278</v>
      </c>
      <c r="S129" s="21" t="s">
        <v>2279</v>
      </c>
      <c r="T129" s="8" t="s">
        <v>943</v>
      </c>
      <c r="U129" s="8" t="s">
        <v>2280</v>
      </c>
      <c r="V129" s="21">
        <v>834885</v>
      </c>
      <c r="W129" s="21">
        <v>74491</v>
      </c>
      <c r="X129" s="21">
        <v>30500</v>
      </c>
      <c r="Y129" s="21">
        <v>14172</v>
      </c>
      <c r="Z129" s="21">
        <v>500</v>
      </c>
      <c r="AA129" s="21" t="s">
        <v>2253</v>
      </c>
      <c r="AB129" s="21">
        <v>0</v>
      </c>
      <c r="AC129" s="21">
        <v>0</v>
      </c>
      <c r="AD129" s="21">
        <v>0</v>
      </c>
      <c r="AE129" s="21">
        <v>0</v>
      </c>
      <c r="AF129" s="21">
        <v>53000</v>
      </c>
      <c r="AG129" s="21">
        <v>0</v>
      </c>
      <c r="AH129" s="21">
        <v>0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21">
        <v>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/>
      <c r="AX129" s="21">
        <v>10000</v>
      </c>
      <c r="AY129" s="21">
        <f t="shared" si="17"/>
        <v>8000</v>
      </c>
      <c r="AZ129" s="21">
        <f t="shared" si="18"/>
        <v>10000</v>
      </c>
      <c r="BA129" s="21">
        <f t="shared" si="19"/>
        <v>8000</v>
      </c>
      <c r="BB129" s="21">
        <v>0</v>
      </c>
      <c r="BC129" s="21">
        <v>2000</v>
      </c>
      <c r="BD129" s="21">
        <v>0</v>
      </c>
      <c r="BE129" s="21">
        <v>0</v>
      </c>
      <c r="BF129" s="21">
        <f t="shared" si="20"/>
        <v>997548</v>
      </c>
      <c r="BG129" s="21">
        <v>834000</v>
      </c>
      <c r="BH129" s="21" t="s">
        <v>39</v>
      </c>
      <c r="BI129" s="21" t="s">
        <v>2253</v>
      </c>
      <c r="BJ129" s="21" t="s">
        <v>2253</v>
      </c>
      <c r="BK129" s="21">
        <v>28198618</v>
      </c>
      <c r="BL129" s="21">
        <f>5000+145000+13548</f>
        <v>163548</v>
      </c>
      <c r="BM129" s="21">
        <f t="shared" si="21"/>
        <v>0</v>
      </c>
      <c r="BN129" s="25"/>
      <c r="BO129" s="21"/>
      <c r="BP129" s="21"/>
      <c r="BQ129" s="21"/>
      <c r="BR129" s="21"/>
      <c r="BS129" s="21"/>
      <c r="BT129" s="21"/>
      <c r="BU129" s="26"/>
      <c r="BV129" s="27"/>
      <c r="BW129" s="27"/>
      <c r="BX129" s="27">
        <v>0</v>
      </c>
      <c r="BY129" s="27">
        <v>0</v>
      </c>
      <c r="BZ129" s="27">
        <v>0</v>
      </c>
      <c r="CA129" s="27" t="str">
        <f t="shared" si="16"/>
        <v>NO</v>
      </c>
      <c r="CB129" s="27"/>
      <c r="CC129" s="27"/>
      <c r="CD129" s="27"/>
      <c r="CE129" s="27"/>
      <c r="CF129" s="27"/>
      <c r="CG129" s="28"/>
    </row>
    <row r="130" spans="1:85" s="20" customFormat="1" ht="15.75" hidden="1" customHeight="1" x14ac:dyDescent="0.3">
      <c r="A130" s="21">
        <v>64</v>
      </c>
      <c r="B130" s="22" t="s">
        <v>2512</v>
      </c>
      <c r="C130" s="22" t="s">
        <v>1028</v>
      </c>
      <c r="D130" s="23" t="s">
        <v>2513</v>
      </c>
      <c r="E130" s="24">
        <v>45457</v>
      </c>
      <c r="F130" s="24">
        <v>45458</v>
      </c>
      <c r="G130" s="22" t="s">
        <v>333</v>
      </c>
      <c r="H130" s="22" t="s">
        <v>333</v>
      </c>
      <c r="I130" s="22" t="s">
        <v>2249</v>
      </c>
      <c r="J130" s="22" t="s">
        <v>1026</v>
      </c>
      <c r="K130" s="22"/>
      <c r="L130" s="22"/>
      <c r="M130" s="24" t="s">
        <v>2362</v>
      </c>
      <c r="N130" s="24" t="s">
        <v>2362</v>
      </c>
      <c r="O130" s="22" t="s">
        <v>2514</v>
      </c>
      <c r="P130" s="22">
        <v>500000</v>
      </c>
      <c r="Q130" s="22" t="s">
        <v>2277</v>
      </c>
      <c r="R130" s="22" t="s">
        <v>2278</v>
      </c>
      <c r="S130" s="21" t="s">
        <v>2279</v>
      </c>
      <c r="T130" s="8" t="s">
        <v>943</v>
      </c>
      <c r="U130" s="8" t="s">
        <v>2280</v>
      </c>
      <c r="V130" s="21">
        <v>690385</v>
      </c>
      <c r="W130" s="21">
        <v>63731</v>
      </c>
      <c r="X130" s="21">
        <v>22000</v>
      </c>
      <c r="Y130" s="21">
        <v>10750</v>
      </c>
      <c r="Z130" s="21">
        <v>0</v>
      </c>
      <c r="AA130" s="21" t="s">
        <v>2253</v>
      </c>
      <c r="AB130" s="21">
        <v>0</v>
      </c>
      <c r="AC130" s="21">
        <v>0</v>
      </c>
      <c r="AD130" s="21">
        <v>0</v>
      </c>
      <c r="AE130" s="21">
        <v>0</v>
      </c>
      <c r="AF130" s="21">
        <v>34000</v>
      </c>
      <c r="AG130" s="21">
        <v>0</v>
      </c>
      <c r="AH130" s="21">
        <v>0</v>
      </c>
      <c r="AI130" s="21">
        <v>0</v>
      </c>
      <c r="AJ130" s="21">
        <v>10000</v>
      </c>
      <c r="AK130" s="21">
        <v>0</v>
      </c>
      <c r="AL130" s="21">
        <v>0</v>
      </c>
      <c r="AM130" s="21">
        <v>0</v>
      </c>
      <c r="AN130" s="21">
        <v>0</v>
      </c>
      <c r="AO130" s="21">
        <v>0</v>
      </c>
      <c r="AP130" s="21">
        <v>0</v>
      </c>
      <c r="AQ130" s="21">
        <v>3500</v>
      </c>
      <c r="AR130" s="21">
        <v>5000</v>
      </c>
      <c r="AS130" s="21">
        <v>0</v>
      </c>
      <c r="AT130" s="21">
        <v>0</v>
      </c>
      <c r="AU130" s="21">
        <v>2000</v>
      </c>
      <c r="AV130" s="21">
        <v>0</v>
      </c>
      <c r="AW130" s="21"/>
      <c r="AX130" s="21">
        <v>30366</v>
      </c>
      <c r="AY130" s="21">
        <f t="shared" ref="AY130:AY161" si="22">+AU130+AV130+AW130+AX130-BC130</f>
        <v>30366</v>
      </c>
      <c r="AZ130" s="21">
        <f t="shared" ref="AZ130:AZ161" si="23">+SUM(AU130:AX130)</f>
        <v>32366</v>
      </c>
      <c r="BA130" s="21">
        <f t="shared" ref="BA130:BA161" si="24">+IF(AZ130&gt;=BC130,AZ130-BC130,0)</f>
        <v>30366</v>
      </c>
      <c r="BB130" s="21">
        <v>0</v>
      </c>
      <c r="BC130" s="21">
        <v>2000</v>
      </c>
      <c r="BD130" s="21">
        <v>0</v>
      </c>
      <c r="BE130" s="21">
        <v>0</v>
      </c>
      <c r="BF130" s="21">
        <f t="shared" ref="BF130:BF161" si="25">V130+W130+X130+Y130+Z130+AB130+AE130+AF130+AG130+AI130-AJ130-AO130-AP130-AQ130-AR130-AS130-AT130-AX130-BB130-BD130-BE130-AW130-AU130+AD130-AV130-AN130+AC130</f>
        <v>770000</v>
      </c>
      <c r="BG130" s="21">
        <v>500000</v>
      </c>
      <c r="BH130" s="21" t="s">
        <v>39</v>
      </c>
      <c r="BI130" s="21" t="s">
        <v>2253</v>
      </c>
      <c r="BJ130" s="21" t="s">
        <v>2253</v>
      </c>
      <c r="BK130" s="21">
        <v>28910179</v>
      </c>
      <c r="BL130" s="21">
        <f>10000+190000+50000+15000</f>
        <v>265000</v>
      </c>
      <c r="BM130" s="21">
        <f t="shared" ref="BM130:BM161" si="26">BF130-BG130-BL130-AH130</f>
        <v>5000</v>
      </c>
      <c r="BN130" s="25">
        <v>45468</v>
      </c>
      <c r="BO130" s="21"/>
      <c r="BP130" s="21"/>
      <c r="BQ130" s="21"/>
      <c r="BR130" s="21"/>
      <c r="BS130" s="21"/>
      <c r="BT130" s="21"/>
      <c r="BU130" s="26"/>
      <c r="BV130" s="27"/>
      <c r="BW130" s="27"/>
      <c r="BX130" s="27">
        <v>0</v>
      </c>
      <c r="BY130" s="27">
        <v>0</v>
      </c>
      <c r="BZ130" s="27">
        <v>0</v>
      </c>
      <c r="CA130" s="27" t="str">
        <f t="shared" si="16"/>
        <v>NO</v>
      </c>
      <c r="CB130" s="27"/>
      <c r="CC130" s="27"/>
      <c r="CD130" s="27"/>
      <c r="CE130" s="27"/>
      <c r="CF130" s="27"/>
      <c r="CG130" s="28"/>
    </row>
    <row r="131" spans="1:85" s="20" customFormat="1" ht="15.75" hidden="1" customHeight="1" x14ac:dyDescent="0.3">
      <c r="A131" s="21">
        <v>149</v>
      </c>
      <c r="B131" s="22" t="s">
        <v>2788</v>
      </c>
      <c r="C131" s="22">
        <v>899323</v>
      </c>
      <c r="D131" s="23" t="s">
        <v>2789</v>
      </c>
      <c r="E131" s="24">
        <v>45470</v>
      </c>
      <c r="F131" s="24">
        <v>45471</v>
      </c>
      <c r="G131" s="22" t="s">
        <v>333</v>
      </c>
      <c r="H131" s="22" t="s">
        <v>333</v>
      </c>
      <c r="I131" s="22" t="s">
        <v>2249</v>
      </c>
      <c r="J131" s="22" t="s">
        <v>2790</v>
      </c>
      <c r="K131" s="22"/>
      <c r="L131" s="22"/>
      <c r="M131" s="24" t="s">
        <v>248</v>
      </c>
      <c r="N131" s="24" t="s">
        <v>248</v>
      </c>
      <c r="O131" s="22" t="s">
        <v>2451</v>
      </c>
      <c r="P131" s="22">
        <v>749000</v>
      </c>
      <c r="Q131" s="22" t="s">
        <v>2277</v>
      </c>
      <c r="R131" s="22" t="s">
        <v>2791</v>
      </c>
      <c r="S131" s="21" t="s">
        <v>2792</v>
      </c>
      <c r="T131" s="8" t="s">
        <v>1209</v>
      </c>
      <c r="U131" s="8" t="s">
        <v>2280</v>
      </c>
      <c r="V131" s="21">
        <v>749877</v>
      </c>
      <c r="W131" s="21">
        <v>67590</v>
      </c>
      <c r="X131" s="21">
        <v>29000</v>
      </c>
      <c r="Y131" s="21">
        <v>0</v>
      </c>
      <c r="Z131" s="21">
        <v>0</v>
      </c>
      <c r="AA131" s="21" t="s">
        <v>2253</v>
      </c>
      <c r="AB131" s="21">
        <v>0</v>
      </c>
      <c r="AC131" s="21">
        <v>0</v>
      </c>
      <c r="AD131" s="21">
        <v>0</v>
      </c>
      <c r="AE131" s="21">
        <v>0</v>
      </c>
      <c r="AF131" s="21">
        <v>0</v>
      </c>
      <c r="AG131" s="21">
        <v>0</v>
      </c>
      <c r="AH131" s="21">
        <v>0</v>
      </c>
      <c r="AI131" s="21">
        <v>0</v>
      </c>
      <c r="AJ131" s="21">
        <v>10000</v>
      </c>
      <c r="AK131" s="21">
        <v>0</v>
      </c>
      <c r="AL131" s="21">
        <v>0</v>
      </c>
      <c r="AM131" s="21">
        <v>0</v>
      </c>
      <c r="AN131" s="21">
        <v>0</v>
      </c>
      <c r="AO131" s="21">
        <v>0</v>
      </c>
      <c r="AP131" s="21">
        <v>0</v>
      </c>
      <c r="AQ131" s="21">
        <v>0</v>
      </c>
      <c r="AR131" s="21">
        <v>5000</v>
      </c>
      <c r="AS131" s="21">
        <v>0</v>
      </c>
      <c r="AT131" s="21">
        <v>0</v>
      </c>
      <c r="AU131" s="21">
        <v>0</v>
      </c>
      <c r="AV131" s="21">
        <v>0</v>
      </c>
      <c r="AW131" s="21"/>
      <c r="AX131" s="21">
        <v>14468</v>
      </c>
      <c r="AY131" s="21">
        <f t="shared" si="22"/>
        <v>12468</v>
      </c>
      <c r="AZ131" s="21">
        <f t="shared" si="23"/>
        <v>14468</v>
      </c>
      <c r="BA131" s="21">
        <f t="shared" si="24"/>
        <v>12468</v>
      </c>
      <c r="BB131" s="21">
        <v>0</v>
      </c>
      <c r="BC131" s="21">
        <v>2000</v>
      </c>
      <c r="BD131" s="21">
        <v>0</v>
      </c>
      <c r="BE131" s="21">
        <v>0</v>
      </c>
      <c r="BF131" s="21">
        <f t="shared" si="25"/>
        <v>816999</v>
      </c>
      <c r="BG131" s="21">
        <v>749000</v>
      </c>
      <c r="BH131" s="21" t="s">
        <v>39</v>
      </c>
      <c r="BI131" s="21" t="s">
        <v>2253</v>
      </c>
      <c r="BJ131" s="21" t="s">
        <v>2253</v>
      </c>
      <c r="BK131" s="21">
        <v>29044983</v>
      </c>
      <c r="BL131" s="21">
        <f>3000+65000</f>
        <v>68000</v>
      </c>
      <c r="BM131" s="21">
        <f t="shared" si="26"/>
        <v>-1</v>
      </c>
      <c r="BN131" s="25"/>
      <c r="BO131" s="21"/>
      <c r="BP131" s="21"/>
      <c r="BQ131" s="21"/>
      <c r="BR131" s="21"/>
      <c r="BS131" s="21"/>
      <c r="BT131" s="21"/>
      <c r="BU131" s="26"/>
      <c r="BV131" s="27"/>
      <c r="BW131" s="27"/>
      <c r="BX131" s="27">
        <v>0</v>
      </c>
      <c r="BY131" s="27">
        <v>0</v>
      </c>
      <c r="BZ131" s="27">
        <v>0</v>
      </c>
      <c r="CA131" s="27" t="str">
        <f t="shared" ref="CA131:CA170" si="27">+IF(M131="Ertiga CNG","NO",IF(AND(AY131&lt;=0,AF131&gt;=30000,Y131&gt;0,X131&gt;0,AC131&gt;0),"YES","NO"))</f>
        <v>NO</v>
      </c>
      <c r="CB131" s="27"/>
      <c r="CC131" s="27"/>
      <c r="CD131" s="27"/>
      <c r="CE131" s="27"/>
      <c r="CF131" s="27"/>
      <c r="CG131" s="28"/>
    </row>
    <row r="132" spans="1:85" s="20" customFormat="1" ht="15.75" hidden="1" customHeight="1" x14ac:dyDescent="0.3">
      <c r="A132" s="21">
        <v>36</v>
      </c>
      <c r="B132" s="22" t="s">
        <v>2413</v>
      </c>
      <c r="C132" s="22" t="s">
        <v>996</v>
      </c>
      <c r="D132" s="23" t="s">
        <v>2414</v>
      </c>
      <c r="E132" s="24">
        <v>45452</v>
      </c>
      <c r="F132" s="24">
        <v>45455</v>
      </c>
      <c r="G132" s="22" t="s">
        <v>333</v>
      </c>
      <c r="H132" s="22" t="s">
        <v>333</v>
      </c>
      <c r="I132" s="22" t="s">
        <v>2249</v>
      </c>
      <c r="J132" s="22" t="s">
        <v>2415</v>
      </c>
      <c r="K132" s="22"/>
      <c r="L132" s="22"/>
      <c r="M132" s="24" t="s">
        <v>310</v>
      </c>
      <c r="N132" s="24" t="s">
        <v>310</v>
      </c>
      <c r="O132" s="22" t="s">
        <v>2326</v>
      </c>
      <c r="P132" s="22">
        <v>365000</v>
      </c>
      <c r="Q132" s="22" t="s">
        <v>2271</v>
      </c>
      <c r="R132" s="22" t="s">
        <v>333</v>
      </c>
      <c r="S132" s="21" t="s">
        <v>2416</v>
      </c>
      <c r="T132" s="8" t="s">
        <v>997</v>
      </c>
      <c r="U132" s="8" t="s">
        <v>2417</v>
      </c>
      <c r="V132" s="21">
        <v>561000</v>
      </c>
      <c r="W132" s="21">
        <v>53351</v>
      </c>
      <c r="X132" s="21">
        <v>25500</v>
      </c>
      <c r="Y132" s="21">
        <v>0</v>
      </c>
      <c r="Z132" s="21">
        <v>500</v>
      </c>
      <c r="AA132" s="21" t="s">
        <v>2260</v>
      </c>
      <c r="AB132" s="21">
        <v>0</v>
      </c>
      <c r="AC132" s="21">
        <v>0</v>
      </c>
      <c r="AD132" s="21">
        <v>0</v>
      </c>
      <c r="AE132" s="21">
        <v>0</v>
      </c>
      <c r="AF132" s="21">
        <v>28600</v>
      </c>
      <c r="AG132" s="21">
        <v>0</v>
      </c>
      <c r="AH132" s="21">
        <v>0</v>
      </c>
      <c r="AI132" s="21">
        <v>0</v>
      </c>
      <c r="AJ132" s="21">
        <v>10000</v>
      </c>
      <c r="AK132" s="21">
        <v>0</v>
      </c>
      <c r="AL132" s="21">
        <v>0</v>
      </c>
      <c r="AM132" s="21">
        <v>0</v>
      </c>
      <c r="AN132" s="21">
        <v>0</v>
      </c>
      <c r="AO132" s="21">
        <v>0</v>
      </c>
      <c r="AP132" s="21">
        <v>0</v>
      </c>
      <c r="AQ132" s="21">
        <v>0</v>
      </c>
      <c r="AR132" s="21">
        <v>15000</v>
      </c>
      <c r="AS132" s="21">
        <v>0</v>
      </c>
      <c r="AT132" s="21">
        <v>0</v>
      </c>
      <c r="AU132" s="21">
        <v>0</v>
      </c>
      <c r="AV132" s="21">
        <v>0</v>
      </c>
      <c r="AW132" s="21"/>
      <c r="AX132" s="21">
        <v>14951</v>
      </c>
      <c r="AY132" s="21">
        <f t="shared" si="22"/>
        <v>12951</v>
      </c>
      <c r="AZ132" s="21">
        <f t="shared" si="23"/>
        <v>14951</v>
      </c>
      <c r="BA132" s="21">
        <f t="shared" si="24"/>
        <v>12951</v>
      </c>
      <c r="BB132" s="21">
        <v>0</v>
      </c>
      <c r="BC132" s="21">
        <v>2000</v>
      </c>
      <c r="BD132" s="21">
        <v>0</v>
      </c>
      <c r="BE132" s="21">
        <v>0</v>
      </c>
      <c r="BF132" s="21">
        <f t="shared" si="25"/>
        <v>629000</v>
      </c>
      <c r="BG132" s="21">
        <v>350000</v>
      </c>
      <c r="BH132" s="21" t="s">
        <v>39</v>
      </c>
      <c r="BI132" s="21" t="s">
        <v>2253</v>
      </c>
      <c r="BJ132" s="21" t="s">
        <v>2253</v>
      </c>
      <c r="BK132" s="21">
        <v>13398683</v>
      </c>
      <c r="BL132" s="21">
        <f>2000+197000</f>
        <v>199000</v>
      </c>
      <c r="BM132" s="21">
        <f t="shared" si="26"/>
        <v>80000</v>
      </c>
      <c r="BN132" s="25">
        <v>45454</v>
      </c>
      <c r="BO132" s="21"/>
      <c r="BP132" s="21"/>
      <c r="BQ132" s="21"/>
      <c r="BR132" s="21"/>
      <c r="BS132" s="21"/>
      <c r="BT132" s="21"/>
      <c r="BU132" s="26"/>
      <c r="BV132" s="27"/>
      <c r="BW132" s="27"/>
      <c r="BX132" s="27">
        <v>0</v>
      </c>
      <c r="BY132" s="27">
        <v>0</v>
      </c>
      <c r="BZ132" s="27">
        <v>0</v>
      </c>
      <c r="CA132" s="27" t="str">
        <f t="shared" si="27"/>
        <v>NO</v>
      </c>
      <c r="CB132" s="27"/>
      <c r="CC132" s="27"/>
      <c r="CD132" s="27"/>
      <c r="CE132" s="27"/>
      <c r="CF132" s="27"/>
      <c r="CG132" s="28"/>
    </row>
    <row r="133" spans="1:85" s="20" customFormat="1" ht="15.75" hidden="1" customHeight="1" x14ac:dyDescent="0.3">
      <c r="A133" s="21">
        <v>49</v>
      </c>
      <c r="B133" s="22" t="s">
        <v>2465</v>
      </c>
      <c r="C133" s="22" t="s">
        <v>1007</v>
      </c>
      <c r="D133" s="23" t="s">
        <v>2466</v>
      </c>
      <c r="E133" s="24">
        <v>45454</v>
      </c>
      <c r="F133" s="24">
        <v>45462</v>
      </c>
      <c r="G133" s="22" t="s">
        <v>333</v>
      </c>
      <c r="H133" s="22" t="s">
        <v>333</v>
      </c>
      <c r="I133" s="22" t="s">
        <v>2249</v>
      </c>
      <c r="J133" s="22" t="s">
        <v>1005</v>
      </c>
      <c r="K133" s="22"/>
      <c r="L133" s="22"/>
      <c r="M133" s="24" t="s">
        <v>2362</v>
      </c>
      <c r="N133" s="24" t="s">
        <v>2362</v>
      </c>
      <c r="O133" s="22" t="s">
        <v>2321</v>
      </c>
      <c r="P133" s="22">
        <v>420000</v>
      </c>
      <c r="Q133" s="22" t="s">
        <v>2298</v>
      </c>
      <c r="R133" s="22" t="s">
        <v>333</v>
      </c>
      <c r="S133" s="21" t="s">
        <v>2416</v>
      </c>
      <c r="T133" s="8" t="s">
        <v>997</v>
      </c>
      <c r="U133" s="8" t="s">
        <v>2417</v>
      </c>
      <c r="V133" s="21">
        <v>600385</v>
      </c>
      <c r="W133" s="21">
        <v>56531</v>
      </c>
      <c r="X133" s="21">
        <v>22000</v>
      </c>
      <c r="Y133" s="21">
        <v>0</v>
      </c>
      <c r="Z133" s="21">
        <v>500</v>
      </c>
      <c r="AA133" s="21" t="s">
        <v>2253</v>
      </c>
      <c r="AB133" s="21">
        <v>0</v>
      </c>
      <c r="AC133" s="21">
        <v>0</v>
      </c>
      <c r="AD133" s="21">
        <v>0</v>
      </c>
      <c r="AE133" s="21">
        <v>0</v>
      </c>
      <c r="AF133" s="21">
        <v>35000</v>
      </c>
      <c r="AG133" s="21">
        <v>0</v>
      </c>
      <c r="AH133" s="21">
        <v>0</v>
      </c>
      <c r="AI133" s="21">
        <v>0</v>
      </c>
      <c r="AJ133" s="21">
        <v>10000</v>
      </c>
      <c r="AK133" s="21">
        <v>0</v>
      </c>
      <c r="AL133" s="21">
        <v>0</v>
      </c>
      <c r="AM133" s="21">
        <v>0</v>
      </c>
      <c r="AN133" s="21">
        <v>0</v>
      </c>
      <c r="AO133" s="21">
        <v>0</v>
      </c>
      <c r="AP133" s="21">
        <v>3500</v>
      </c>
      <c r="AQ133" s="21">
        <v>0</v>
      </c>
      <c r="AR133" s="21">
        <v>25000</v>
      </c>
      <c r="AS133" s="21">
        <v>0</v>
      </c>
      <c r="AT133" s="21">
        <v>0</v>
      </c>
      <c r="AU133" s="21">
        <v>0</v>
      </c>
      <c r="AV133" s="21">
        <v>0</v>
      </c>
      <c r="AW133" s="21"/>
      <c r="AX133" s="21">
        <v>5000</v>
      </c>
      <c r="AY133" s="21">
        <f t="shared" si="22"/>
        <v>3000</v>
      </c>
      <c r="AZ133" s="21">
        <f t="shared" si="23"/>
        <v>5000</v>
      </c>
      <c r="BA133" s="21">
        <f t="shared" si="24"/>
        <v>3000</v>
      </c>
      <c r="BB133" s="21">
        <v>0</v>
      </c>
      <c r="BC133" s="21">
        <v>2000</v>
      </c>
      <c r="BD133" s="21">
        <v>0</v>
      </c>
      <c r="BE133" s="21">
        <v>0</v>
      </c>
      <c r="BF133" s="21">
        <f t="shared" si="25"/>
        <v>670916</v>
      </c>
      <c r="BG133" s="21">
        <v>420000</v>
      </c>
      <c r="BH133" s="21" t="s">
        <v>39</v>
      </c>
      <c r="BI133" s="21" t="s">
        <v>2253</v>
      </c>
      <c r="BJ133" s="21" t="s">
        <v>2253</v>
      </c>
      <c r="BK133" s="21" t="s">
        <v>2467</v>
      </c>
      <c r="BL133" s="21">
        <f>198000</f>
        <v>198000</v>
      </c>
      <c r="BM133" s="21">
        <f t="shared" si="26"/>
        <v>52916</v>
      </c>
      <c r="BN133" s="25">
        <v>45456</v>
      </c>
      <c r="BO133" s="21"/>
      <c r="BP133" s="21"/>
      <c r="BQ133" s="21"/>
      <c r="BR133" s="21"/>
      <c r="BS133" s="21"/>
      <c r="BT133" s="21"/>
      <c r="BU133" s="26"/>
      <c r="BV133" s="27"/>
      <c r="BW133" s="27"/>
      <c r="BX133" s="27">
        <v>0</v>
      </c>
      <c r="BY133" s="27">
        <v>0</v>
      </c>
      <c r="BZ133" s="27">
        <v>0</v>
      </c>
      <c r="CA133" s="27" t="str">
        <f t="shared" si="27"/>
        <v>NO</v>
      </c>
      <c r="CB133" s="27"/>
      <c r="CC133" s="27"/>
      <c r="CD133" s="27"/>
      <c r="CE133" s="27"/>
      <c r="CF133" s="27"/>
      <c r="CG133" s="28"/>
    </row>
    <row r="134" spans="1:85" s="20" customFormat="1" ht="15.75" hidden="1" customHeight="1" x14ac:dyDescent="0.3">
      <c r="A134" s="21">
        <v>102</v>
      </c>
      <c r="B134" s="22" t="s">
        <v>2639</v>
      </c>
      <c r="C134" s="22">
        <v>883381</v>
      </c>
      <c r="D134" s="23" t="s">
        <v>2640</v>
      </c>
      <c r="E134" s="24">
        <v>45464</v>
      </c>
      <c r="F134" s="24">
        <v>45470</v>
      </c>
      <c r="G134" s="22" t="s">
        <v>333</v>
      </c>
      <c r="H134" s="22" t="s">
        <v>333</v>
      </c>
      <c r="I134" s="22" t="s">
        <v>2249</v>
      </c>
      <c r="J134" s="22" t="s">
        <v>1125</v>
      </c>
      <c r="K134" s="22"/>
      <c r="L134" s="22"/>
      <c r="M134" s="24" t="s">
        <v>248</v>
      </c>
      <c r="N134" s="24" t="s">
        <v>248</v>
      </c>
      <c r="O134" s="22" t="s">
        <v>2400</v>
      </c>
      <c r="P134" s="22">
        <v>400000</v>
      </c>
      <c r="Q134" s="22" t="s">
        <v>2298</v>
      </c>
      <c r="R134" s="22" t="s">
        <v>333</v>
      </c>
      <c r="S134" s="21" t="s">
        <v>2416</v>
      </c>
      <c r="T134" s="8" t="s">
        <v>997</v>
      </c>
      <c r="U134" s="8" t="s">
        <v>2417</v>
      </c>
      <c r="V134" s="21">
        <v>888492</v>
      </c>
      <c r="W134" s="21">
        <v>106152</v>
      </c>
      <c r="X134" s="21">
        <v>24000</v>
      </c>
      <c r="Y134" s="21">
        <v>0</v>
      </c>
      <c r="Z134" s="21">
        <v>500</v>
      </c>
      <c r="AA134" s="21" t="s">
        <v>2260</v>
      </c>
      <c r="AB134" s="21">
        <v>0</v>
      </c>
      <c r="AC134" s="21">
        <v>0</v>
      </c>
      <c r="AD134" s="21">
        <v>0</v>
      </c>
      <c r="AE134" s="21">
        <v>0</v>
      </c>
      <c r="AF134" s="21">
        <v>0</v>
      </c>
      <c r="AG134" s="21">
        <v>0</v>
      </c>
      <c r="AH134" s="21">
        <v>0</v>
      </c>
      <c r="AI134" s="21">
        <v>0</v>
      </c>
      <c r="AJ134" s="21">
        <v>10000</v>
      </c>
      <c r="AK134" s="21">
        <v>0</v>
      </c>
      <c r="AL134" s="21">
        <v>0</v>
      </c>
      <c r="AM134" s="21">
        <v>0</v>
      </c>
      <c r="AN134" s="21">
        <v>0</v>
      </c>
      <c r="AO134" s="21">
        <v>0</v>
      </c>
      <c r="AP134" s="21">
        <v>0</v>
      </c>
      <c r="AQ134" s="21">
        <v>0</v>
      </c>
      <c r="AR134" s="21">
        <v>5000</v>
      </c>
      <c r="AS134" s="21">
        <v>0</v>
      </c>
      <c r="AT134" s="21">
        <v>0</v>
      </c>
      <c r="AU134" s="21">
        <v>0</v>
      </c>
      <c r="AV134" s="21">
        <v>0</v>
      </c>
      <c r="AW134" s="21"/>
      <c r="AX134" s="21">
        <v>20254</v>
      </c>
      <c r="AY134" s="21">
        <f t="shared" si="22"/>
        <v>18254</v>
      </c>
      <c r="AZ134" s="21">
        <f t="shared" si="23"/>
        <v>20254</v>
      </c>
      <c r="BA134" s="21">
        <f t="shared" si="24"/>
        <v>18254</v>
      </c>
      <c r="BB134" s="21">
        <v>0</v>
      </c>
      <c r="BC134" s="21">
        <v>2000</v>
      </c>
      <c r="BD134" s="21">
        <v>0</v>
      </c>
      <c r="BE134" s="21">
        <v>0</v>
      </c>
      <c r="BF134" s="21">
        <f t="shared" si="25"/>
        <v>983890</v>
      </c>
      <c r="BG134" s="21">
        <v>400000</v>
      </c>
      <c r="BH134" s="21" t="s">
        <v>39</v>
      </c>
      <c r="BI134" s="21" t="s">
        <v>2253</v>
      </c>
      <c r="BJ134" s="21" t="s">
        <v>2253</v>
      </c>
      <c r="BK134" s="29" t="s">
        <v>2641</v>
      </c>
      <c r="BL134" s="21">
        <f>100000+478000</f>
        <v>578000</v>
      </c>
      <c r="BM134" s="21">
        <f t="shared" si="26"/>
        <v>5890</v>
      </c>
      <c r="BN134" s="25"/>
      <c r="BO134" s="21"/>
      <c r="BP134" s="21"/>
      <c r="BQ134" s="21"/>
      <c r="BR134" s="21"/>
      <c r="BS134" s="21"/>
      <c r="BT134" s="21"/>
      <c r="BU134" s="26"/>
      <c r="BV134" s="27"/>
      <c r="BW134" s="27"/>
      <c r="BX134" s="27">
        <v>0</v>
      </c>
      <c r="BY134" s="27">
        <v>0</v>
      </c>
      <c r="BZ134" s="27">
        <v>0</v>
      </c>
      <c r="CA134" s="27" t="str">
        <f t="shared" si="27"/>
        <v>NO</v>
      </c>
      <c r="CB134" s="27"/>
      <c r="CC134" s="27"/>
      <c r="CD134" s="27"/>
      <c r="CE134" s="27"/>
      <c r="CF134" s="27"/>
      <c r="CG134" s="28"/>
    </row>
    <row r="135" spans="1:85" s="20" customFormat="1" ht="15.75" hidden="1" customHeight="1" x14ac:dyDescent="0.3">
      <c r="A135" s="21">
        <v>162</v>
      </c>
      <c r="B135" s="22" t="s">
        <v>2829</v>
      </c>
      <c r="C135" s="22" t="s">
        <v>1273</v>
      </c>
      <c r="D135" s="23" t="s">
        <v>2830</v>
      </c>
      <c r="E135" s="24">
        <v>45472</v>
      </c>
      <c r="F135" s="24">
        <v>45473</v>
      </c>
      <c r="G135" s="22" t="s">
        <v>333</v>
      </c>
      <c r="H135" s="22" t="s">
        <v>333</v>
      </c>
      <c r="I135" s="22" t="s">
        <v>2249</v>
      </c>
      <c r="J135" s="22" t="s">
        <v>1271</v>
      </c>
      <c r="K135" s="22"/>
      <c r="L135" s="22"/>
      <c r="M135" s="24" t="s">
        <v>310</v>
      </c>
      <c r="N135" s="24" t="s">
        <v>310</v>
      </c>
      <c r="O135" s="22" t="s">
        <v>2326</v>
      </c>
      <c r="P135" s="22">
        <v>593000</v>
      </c>
      <c r="Q135" s="22" t="s">
        <v>2271</v>
      </c>
      <c r="R135" s="22" t="s">
        <v>333</v>
      </c>
      <c r="S135" s="21" t="s">
        <v>2831</v>
      </c>
      <c r="T135" s="8" t="s">
        <v>1274</v>
      </c>
      <c r="U135" s="8" t="s">
        <v>2280</v>
      </c>
      <c r="V135" s="21">
        <v>561885</v>
      </c>
      <c r="W135" s="21">
        <v>53351</v>
      </c>
      <c r="X135" s="21">
        <v>26000</v>
      </c>
      <c r="Y135" s="21">
        <v>0</v>
      </c>
      <c r="Z135" s="21">
        <v>0</v>
      </c>
      <c r="AA135" s="21" t="s">
        <v>2253</v>
      </c>
      <c r="AB135" s="21">
        <v>0</v>
      </c>
      <c r="AC135" s="21">
        <v>0</v>
      </c>
      <c r="AD135" s="21">
        <v>0</v>
      </c>
      <c r="AE135" s="21">
        <v>0</v>
      </c>
      <c r="AF135" s="21">
        <v>0</v>
      </c>
      <c r="AG135" s="21">
        <v>0</v>
      </c>
      <c r="AH135" s="21">
        <v>0</v>
      </c>
      <c r="AI135" s="21">
        <v>0</v>
      </c>
      <c r="AJ135" s="21">
        <v>10000</v>
      </c>
      <c r="AK135" s="21">
        <v>0</v>
      </c>
      <c r="AL135" s="21">
        <v>0</v>
      </c>
      <c r="AM135" s="21">
        <v>0</v>
      </c>
      <c r="AN135" s="21">
        <v>0</v>
      </c>
      <c r="AO135" s="21">
        <v>0</v>
      </c>
      <c r="AP135" s="21">
        <v>0</v>
      </c>
      <c r="AQ135" s="21">
        <v>0</v>
      </c>
      <c r="AR135" s="21">
        <v>15000</v>
      </c>
      <c r="AS135" s="21">
        <v>0</v>
      </c>
      <c r="AT135" s="21">
        <v>0</v>
      </c>
      <c r="AU135" s="21">
        <v>0</v>
      </c>
      <c r="AV135" s="21">
        <v>0</v>
      </c>
      <c r="AW135" s="21"/>
      <c r="AX135" s="21">
        <v>15236</v>
      </c>
      <c r="AY135" s="21">
        <f t="shared" si="22"/>
        <v>13236</v>
      </c>
      <c r="AZ135" s="21">
        <f t="shared" si="23"/>
        <v>15236</v>
      </c>
      <c r="BA135" s="21">
        <f t="shared" si="24"/>
        <v>13236</v>
      </c>
      <c r="BB135" s="21">
        <v>0</v>
      </c>
      <c r="BC135" s="21">
        <v>2000</v>
      </c>
      <c r="BD135" s="21">
        <v>0</v>
      </c>
      <c r="BE135" s="21">
        <v>0</v>
      </c>
      <c r="BF135" s="21">
        <f t="shared" si="25"/>
        <v>601000</v>
      </c>
      <c r="BG135" s="21">
        <v>569176</v>
      </c>
      <c r="BH135" s="21" t="s">
        <v>39</v>
      </c>
      <c r="BI135" s="21" t="s">
        <v>2253</v>
      </c>
      <c r="BJ135" s="21" t="s">
        <v>2253</v>
      </c>
      <c r="BK135" s="21">
        <v>13589217</v>
      </c>
      <c r="BL135" s="21">
        <f>31000</f>
        <v>31000</v>
      </c>
      <c r="BM135" s="21">
        <f t="shared" si="26"/>
        <v>824</v>
      </c>
      <c r="BN135" s="25"/>
      <c r="BO135" s="21"/>
      <c r="BP135" s="21"/>
      <c r="BQ135" s="21"/>
      <c r="BR135" s="21"/>
      <c r="BS135" s="21"/>
      <c r="BT135" s="21"/>
      <c r="BU135" s="26"/>
      <c r="BV135" s="27"/>
      <c r="BW135" s="27"/>
      <c r="BX135" s="27">
        <v>0</v>
      </c>
      <c r="BY135" s="27">
        <v>0</v>
      </c>
      <c r="BZ135" s="27">
        <v>0</v>
      </c>
      <c r="CA135" s="27" t="str">
        <f t="shared" si="27"/>
        <v>NO</v>
      </c>
      <c r="CB135" s="27"/>
      <c r="CC135" s="27"/>
      <c r="CD135" s="27"/>
      <c r="CE135" s="27"/>
      <c r="CF135" s="27"/>
      <c r="CG135" s="28"/>
    </row>
    <row r="136" spans="1:85" s="20" customFormat="1" ht="15.75" hidden="1" customHeight="1" x14ac:dyDescent="0.3">
      <c r="A136" s="21">
        <v>62</v>
      </c>
      <c r="B136" s="22" t="s">
        <v>2504</v>
      </c>
      <c r="C136" s="22">
        <v>894893</v>
      </c>
      <c r="D136" s="23" t="s">
        <v>2505</v>
      </c>
      <c r="E136" s="24">
        <v>45457</v>
      </c>
      <c r="F136" s="24">
        <v>45461</v>
      </c>
      <c r="G136" s="22" t="s">
        <v>333</v>
      </c>
      <c r="H136" s="22" t="s">
        <v>333</v>
      </c>
      <c r="I136" s="22" t="s">
        <v>2249</v>
      </c>
      <c r="J136" s="22" t="s">
        <v>1037</v>
      </c>
      <c r="K136" s="22"/>
      <c r="L136" s="22"/>
      <c r="M136" s="24" t="s">
        <v>248</v>
      </c>
      <c r="N136" s="24" t="s">
        <v>248</v>
      </c>
      <c r="O136" s="22" t="s">
        <v>2506</v>
      </c>
      <c r="P136" s="22">
        <v>558000</v>
      </c>
      <c r="Q136" s="22" t="s">
        <v>2327</v>
      </c>
      <c r="R136" s="22" t="s">
        <v>333</v>
      </c>
      <c r="S136" s="21" t="s">
        <v>2507</v>
      </c>
      <c r="T136" s="8" t="s">
        <v>1041</v>
      </c>
      <c r="U136" s="8" t="s">
        <v>2280</v>
      </c>
      <c r="V136" s="21">
        <v>657127</v>
      </c>
      <c r="W136" s="21">
        <v>60170</v>
      </c>
      <c r="X136" s="21">
        <v>26500</v>
      </c>
      <c r="Y136" s="21">
        <v>11163</v>
      </c>
      <c r="Z136" s="21">
        <v>0</v>
      </c>
      <c r="AA136" s="21" t="s">
        <v>2253</v>
      </c>
      <c r="AB136" s="21">
        <v>0</v>
      </c>
      <c r="AC136" s="21">
        <v>3186</v>
      </c>
      <c r="AD136" s="21">
        <v>0</v>
      </c>
      <c r="AE136" s="21">
        <v>0</v>
      </c>
      <c r="AF136" s="21">
        <v>10000</v>
      </c>
      <c r="AG136" s="21">
        <v>0</v>
      </c>
      <c r="AH136" s="21">
        <v>0</v>
      </c>
      <c r="AI136" s="21">
        <v>0</v>
      </c>
      <c r="AJ136" s="21">
        <v>10000</v>
      </c>
      <c r="AK136" s="21">
        <v>0</v>
      </c>
      <c r="AL136" s="21">
        <v>0</v>
      </c>
      <c r="AM136" s="21">
        <v>0</v>
      </c>
      <c r="AN136" s="21">
        <v>0</v>
      </c>
      <c r="AO136" s="21">
        <v>0</v>
      </c>
      <c r="AP136" s="21">
        <v>0</v>
      </c>
      <c r="AQ136" s="21">
        <v>0</v>
      </c>
      <c r="AR136" s="21">
        <v>5000</v>
      </c>
      <c r="AS136" s="21">
        <v>0</v>
      </c>
      <c r="AT136" s="21">
        <v>0</v>
      </c>
      <c r="AU136" s="21">
        <v>0</v>
      </c>
      <c r="AV136" s="21">
        <v>0</v>
      </c>
      <c r="AW136" s="21"/>
      <c r="AX136" s="21">
        <v>7946</v>
      </c>
      <c r="AY136" s="21">
        <f t="shared" si="22"/>
        <v>5946</v>
      </c>
      <c r="AZ136" s="21">
        <f t="shared" si="23"/>
        <v>7946</v>
      </c>
      <c r="BA136" s="21">
        <f t="shared" si="24"/>
        <v>5946</v>
      </c>
      <c r="BB136" s="21">
        <v>0</v>
      </c>
      <c r="BC136" s="21">
        <v>2000</v>
      </c>
      <c r="BD136" s="21">
        <v>0</v>
      </c>
      <c r="BE136" s="21">
        <v>0</v>
      </c>
      <c r="BF136" s="21">
        <f t="shared" si="25"/>
        <v>745200</v>
      </c>
      <c r="BG136" s="21">
        <v>538200</v>
      </c>
      <c r="BH136" s="21" t="s">
        <v>39</v>
      </c>
      <c r="BI136" s="21" t="s">
        <v>2253</v>
      </c>
      <c r="BJ136" s="21" t="s">
        <v>2253</v>
      </c>
      <c r="BK136" s="21" t="s">
        <v>2508</v>
      </c>
      <c r="BL136" s="21">
        <f>5000+170000+32000</f>
        <v>207000</v>
      </c>
      <c r="BM136" s="21">
        <f t="shared" si="26"/>
        <v>0</v>
      </c>
      <c r="BN136" s="25"/>
      <c r="BO136" s="21"/>
      <c r="BP136" s="21"/>
      <c r="BQ136" s="21"/>
      <c r="BR136" s="21"/>
      <c r="BS136" s="21"/>
      <c r="BT136" s="21"/>
      <c r="BU136" s="26"/>
      <c r="BV136" s="27"/>
      <c r="BW136" s="27"/>
      <c r="BX136" s="27">
        <v>0</v>
      </c>
      <c r="BY136" s="27">
        <v>0</v>
      </c>
      <c r="BZ136" s="27">
        <v>0</v>
      </c>
      <c r="CA136" s="27" t="str">
        <f t="shared" si="27"/>
        <v>NO</v>
      </c>
      <c r="CB136" s="27"/>
      <c r="CC136" s="27"/>
      <c r="CD136" s="27"/>
      <c r="CE136" s="27"/>
      <c r="CF136" s="27"/>
      <c r="CG136" s="28"/>
    </row>
    <row r="137" spans="1:85" s="20" customFormat="1" ht="15.75" hidden="1" customHeight="1" x14ac:dyDescent="0.3">
      <c r="A137" s="21">
        <v>68</v>
      </c>
      <c r="B137" s="22" t="s">
        <v>2526</v>
      </c>
      <c r="C137" s="22">
        <v>790285</v>
      </c>
      <c r="D137" s="23" t="s">
        <v>2527</v>
      </c>
      <c r="E137" s="24">
        <v>45458</v>
      </c>
      <c r="F137" s="24">
        <v>45459</v>
      </c>
      <c r="G137" s="22" t="s">
        <v>333</v>
      </c>
      <c r="H137" s="22" t="s">
        <v>333</v>
      </c>
      <c r="I137" s="22" t="s">
        <v>2249</v>
      </c>
      <c r="J137" s="22" t="s">
        <v>1061</v>
      </c>
      <c r="K137" s="22"/>
      <c r="L137" s="22"/>
      <c r="M137" s="24" t="s">
        <v>2263</v>
      </c>
      <c r="N137" s="24" t="s">
        <v>2263</v>
      </c>
      <c r="O137" s="22" t="s">
        <v>2528</v>
      </c>
      <c r="P137" s="22">
        <v>1194000</v>
      </c>
      <c r="Q137" s="22" t="s">
        <v>2284</v>
      </c>
      <c r="R137" s="22" t="s">
        <v>1062</v>
      </c>
      <c r="S137" s="21" t="s">
        <v>2507</v>
      </c>
      <c r="T137" s="8" t="s">
        <v>1041</v>
      </c>
      <c r="U137" s="8" t="s">
        <v>2280</v>
      </c>
      <c r="V137" s="21">
        <v>1163885</v>
      </c>
      <c r="W137" s="21">
        <v>124488</v>
      </c>
      <c r="X137" s="21">
        <v>35500</v>
      </c>
      <c r="Y137" s="21">
        <v>0</v>
      </c>
      <c r="Z137" s="21">
        <v>500</v>
      </c>
      <c r="AA137" s="21" t="s">
        <v>2253</v>
      </c>
      <c r="AB137" s="21">
        <v>0</v>
      </c>
      <c r="AC137" s="21">
        <v>0</v>
      </c>
      <c r="AD137" s="21">
        <v>11639</v>
      </c>
      <c r="AE137" s="21">
        <v>0</v>
      </c>
      <c r="AF137" s="21">
        <v>37000</v>
      </c>
      <c r="AG137" s="21">
        <v>0</v>
      </c>
      <c r="AH137" s="21">
        <v>0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21">
        <v>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/>
      <c r="AX137" s="21">
        <v>0</v>
      </c>
      <c r="AY137" s="21">
        <f t="shared" si="22"/>
        <v>-2000</v>
      </c>
      <c r="AZ137" s="21">
        <f t="shared" si="23"/>
        <v>0</v>
      </c>
      <c r="BA137" s="21">
        <f t="shared" si="24"/>
        <v>0</v>
      </c>
      <c r="BB137" s="21">
        <v>0</v>
      </c>
      <c r="BC137" s="21">
        <v>2000</v>
      </c>
      <c r="BD137" s="21">
        <v>0</v>
      </c>
      <c r="BE137" s="21">
        <v>0</v>
      </c>
      <c r="BF137" s="21">
        <f t="shared" si="25"/>
        <v>1373012</v>
      </c>
      <c r="BG137" s="21">
        <v>1328512</v>
      </c>
      <c r="BH137" s="21" t="s">
        <v>2287</v>
      </c>
      <c r="BI137" s="21" t="s">
        <v>2253</v>
      </c>
      <c r="BJ137" s="21" t="s">
        <v>2253</v>
      </c>
      <c r="BK137" s="21">
        <v>0</v>
      </c>
      <c r="BL137" s="21">
        <f>11000+29000+4500</f>
        <v>44500</v>
      </c>
      <c r="BM137" s="21">
        <f t="shared" si="26"/>
        <v>0</v>
      </c>
      <c r="BN137" s="25"/>
      <c r="BO137" s="21"/>
      <c r="BP137" s="21"/>
      <c r="BQ137" s="21"/>
      <c r="BR137" s="21"/>
      <c r="BS137" s="21"/>
      <c r="BT137" s="21"/>
      <c r="BU137" s="26"/>
      <c r="BV137" s="27"/>
      <c r="BW137" s="27"/>
      <c r="BX137" s="27">
        <v>0</v>
      </c>
      <c r="BY137" s="27">
        <v>0</v>
      </c>
      <c r="BZ137" s="27">
        <v>0</v>
      </c>
      <c r="CA137" s="27" t="str">
        <f t="shared" si="27"/>
        <v>NO</v>
      </c>
      <c r="CB137" s="27"/>
      <c r="CC137" s="27"/>
      <c r="CD137" s="27"/>
      <c r="CE137" s="27"/>
      <c r="CF137" s="27"/>
      <c r="CG137" s="28"/>
    </row>
    <row r="138" spans="1:85" s="20" customFormat="1" ht="15.75" hidden="1" customHeight="1" x14ac:dyDescent="0.3">
      <c r="A138" s="21">
        <v>91</v>
      </c>
      <c r="B138" s="22" t="s">
        <v>2604</v>
      </c>
      <c r="C138" s="22">
        <v>430000</v>
      </c>
      <c r="D138" s="23" t="s">
        <v>2605</v>
      </c>
      <c r="E138" s="24">
        <v>45462</v>
      </c>
      <c r="F138" s="24">
        <v>45463</v>
      </c>
      <c r="G138" s="22" t="s">
        <v>333</v>
      </c>
      <c r="H138" s="22" t="s">
        <v>333</v>
      </c>
      <c r="I138" s="22" t="s">
        <v>2249</v>
      </c>
      <c r="J138" s="22" t="s">
        <v>1072</v>
      </c>
      <c r="K138" s="22"/>
      <c r="L138" s="22"/>
      <c r="M138" s="24" t="s">
        <v>2275</v>
      </c>
      <c r="N138" s="24" t="s">
        <v>2991</v>
      </c>
      <c r="O138" s="22" t="s">
        <v>2264</v>
      </c>
      <c r="P138" s="22">
        <v>950000</v>
      </c>
      <c r="Q138" s="22" t="s">
        <v>406</v>
      </c>
      <c r="R138" s="22" t="s">
        <v>2606</v>
      </c>
      <c r="S138" s="21" t="s">
        <v>2507</v>
      </c>
      <c r="T138" s="8" t="s">
        <v>1041</v>
      </c>
      <c r="U138" s="8" t="s">
        <v>2280</v>
      </c>
      <c r="V138" s="21">
        <v>1065385</v>
      </c>
      <c r="W138" s="21">
        <v>114238</v>
      </c>
      <c r="X138" s="21">
        <v>35000</v>
      </c>
      <c r="Y138" s="21">
        <v>18089</v>
      </c>
      <c r="Z138" s="21">
        <v>500</v>
      </c>
      <c r="AA138" s="21" t="s">
        <v>2253</v>
      </c>
      <c r="AB138" s="21">
        <v>0</v>
      </c>
      <c r="AC138" s="21">
        <v>5375</v>
      </c>
      <c r="AD138" s="21">
        <v>10654</v>
      </c>
      <c r="AE138" s="21">
        <v>0</v>
      </c>
      <c r="AF138" s="21">
        <v>38500</v>
      </c>
      <c r="AG138" s="21">
        <v>0</v>
      </c>
      <c r="AH138" s="21">
        <v>215000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21">
        <v>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/>
      <c r="AX138" s="21">
        <v>6741</v>
      </c>
      <c r="AY138" s="21">
        <f t="shared" si="22"/>
        <v>4741</v>
      </c>
      <c r="AZ138" s="21">
        <f t="shared" si="23"/>
        <v>6741</v>
      </c>
      <c r="BA138" s="21">
        <f t="shared" si="24"/>
        <v>4741</v>
      </c>
      <c r="BB138" s="21">
        <v>0</v>
      </c>
      <c r="BC138" s="21">
        <v>2000</v>
      </c>
      <c r="BD138" s="21">
        <v>0</v>
      </c>
      <c r="BE138" s="21">
        <v>0</v>
      </c>
      <c r="BF138" s="21">
        <f t="shared" si="25"/>
        <v>1281000</v>
      </c>
      <c r="BG138" s="21">
        <v>950000</v>
      </c>
      <c r="BH138" s="21" t="s">
        <v>2583</v>
      </c>
      <c r="BI138" s="21" t="s">
        <v>2260</v>
      </c>
      <c r="BJ138" s="21" t="s">
        <v>2260</v>
      </c>
      <c r="BK138" s="21">
        <v>0</v>
      </c>
      <c r="BL138" s="21">
        <f>90000+21000+5000</f>
        <v>116000</v>
      </c>
      <c r="BM138" s="21">
        <f t="shared" si="26"/>
        <v>0</v>
      </c>
      <c r="BN138" s="25"/>
      <c r="BO138" s="21"/>
      <c r="BP138" s="21" t="s">
        <v>2253</v>
      </c>
      <c r="BQ138" s="21" t="s">
        <v>2253</v>
      </c>
      <c r="BR138" s="21" t="s">
        <v>2253</v>
      </c>
      <c r="BS138" s="21" t="s">
        <v>2443</v>
      </c>
      <c r="BT138" s="21"/>
      <c r="BU138" s="26"/>
      <c r="BV138" s="27"/>
      <c r="BW138" s="27"/>
      <c r="BX138" s="27">
        <v>0</v>
      </c>
      <c r="BY138" s="27">
        <v>0</v>
      </c>
      <c r="BZ138" s="27">
        <v>0</v>
      </c>
      <c r="CA138" s="27" t="str">
        <f t="shared" si="27"/>
        <v>NO</v>
      </c>
      <c r="CB138" s="27"/>
      <c r="CC138" s="27"/>
      <c r="CD138" s="27"/>
      <c r="CE138" s="27"/>
      <c r="CF138" s="27"/>
      <c r="CG138" s="28"/>
    </row>
    <row r="139" spans="1:85" s="20" customFormat="1" ht="15.75" hidden="1" customHeight="1" x14ac:dyDescent="0.3">
      <c r="A139" s="21">
        <v>104</v>
      </c>
      <c r="B139" s="22" t="s">
        <v>2644</v>
      </c>
      <c r="C139" s="22" t="s">
        <v>1116</v>
      </c>
      <c r="D139" s="23" t="s">
        <v>2645</v>
      </c>
      <c r="E139" s="24">
        <v>45464</v>
      </c>
      <c r="F139" s="24">
        <v>45466</v>
      </c>
      <c r="G139" s="22" t="s">
        <v>333</v>
      </c>
      <c r="H139" s="22" t="s">
        <v>333</v>
      </c>
      <c r="I139" s="22" t="s">
        <v>2249</v>
      </c>
      <c r="J139" s="22" t="s">
        <v>1114</v>
      </c>
      <c r="K139" s="22"/>
      <c r="L139" s="22"/>
      <c r="M139" s="24" t="s">
        <v>310</v>
      </c>
      <c r="N139" s="24" t="s">
        <v>310</v>
      </c>
      <c r="O139" s="22" t="s">
        <v>2250</v>
      </c>
      <c r="P139" s="22">
        <v>568000</v>
      </c>
      <c r="Q139" s="22" t="s">
        <v>2277</v>
      </c>
      <c r="R139" s="22" t="s">
        <v>2618</v>
      </c>
      <c r="S139" s="21" t="s">
        <v>2507</v>
      </c>
      <c r="T139" s="8" t="s">
        <v>1041</v>
      </c>
      <c r="U139" s="8" t="s">
        <v>2280</v>
      </c>
      <c r="V139" s="21">
        <v>568885</v>
      </c>
      <c r="W139" s="21">
        <v>53911</v>
      </c>
      <c r="X139" s="21">
        <v>26000</v>
      </c>
      <c r="Y139" s="21">
        <v>8850</v>
      </c>
      <c r="Z139" s="21">
        <v>500</v>
      </c>
      <c r="AA139" s="21" t="s">
        <v>2253</v>
      </c>
      <c r="AB139" s="21">
        <v>0</v>
      </c>
      <c r="AC139" s="21">
        <v>2750</v>
      </c>
      <c r="AD139" s="21">
        <v>0</v>
      </c>
      <c r="AE139" s="21">
        <v>0</v>
      </c>
      <c r="AF139" s="21">
        <v>27000</v>
      </c>
      <c r="AG139" s="21">
        <v>0</v>
      </c>
      <c r="AH139" s="21">
        <v>390000</v>
      </c>
      <c r="AI139" s="21">
        <v>363504</v>
      </c>
      <c r="AJ139" s="21">
        <v>10000</v>
      </c>
      <c r="AK139" s="21">
        <v>0</v>
      </c>
      <c r="AL139" s="21">
        <v>0</v>
      </c>
      <c r="AM139" s="21">
        <v>0</v>
      </c>
      <c r="AN139" s="21">
        <v>0</v>
      </c>
      <c r="AO139" s="21">
        <v>0</v>
      </c>
      <c r="AP139" s="21">
        <v>0</v>
      </c>
      <c r="AQ139" s="21">
        <v>2000</v>
      </c>
      <c r="AR139" s="21">
        <v>15000</v>
      </c>
      <c r="AS139" s="21">
        <v>0</v>
      </c>
      <c r="AT139" s="21">
        <v>0</v>
      </c>
      <c r="AU139" s="21">
        <v>0</v>
      </c>
      <c r="AV139" s="21">
        <v>0</v>
      </c>
      <c r="AW139" s="21"/>
      <c r="AX139" s="21">
        <v>4400</v>
      </c>
      <c r="AY139" s="21">
        <f t="shared" si="22"/>
        <v>2400</v>
      </c>
      <c r="AZ139" s="21">
        <f t="shared" si="23"/>
        <v>4400</v>
      </c>
      <c r="BA139" s="21">
        <f t="shared" si="24"/>
        <v>2400</v>
      </c>
      <c r="BB139" s="21">
        <v>10000</v>
      </c>
      <c r="BC139" s="21">
        <v>2000</v>
      </c>
      <c r="BD139" s="21">
        <v>0</v>
      </c>
      <c r="BE139" s="21">
        <v>0</v>
      </c>
      <c r="BF139" s="21">
        <f t="shared" si="25"/>
        <v>1010000</v>
      </c>
      <c r="BG139" s="21">
        <v>568000</v>
      </c>
      <c r="BH139" s="21" t="s">
        <v>39</v>
      </c>
      <c r="BI139" s="21" t="s">
        <v>2253</v>
      </c>
      <c r="BJ139" s="21" t="s">
        <v>2253</v>
      </c>
      <c r="BK139" s="21">
        <v>29092402</v>
      </c>
      <c r="BL139" s="21">
        <f>2100+49900</f>
        <v>52000</v>
      </c>
      <c r="BM139" s="21">
        <f t="shared" si="26"/>
        <v>0</v>
      </c>
      <c r="BN139" s="25"/>
      <c r="BO139" s="21"/>
      <c r="BP139" s="21" t="s">
        <v>2253</v>
      </c>
      <c r="BQ139" s="21" t="s">
        <v>2253</v>
      </c>
      <c r="BR139" s="21" t="s">
        <v>2253</v>
      </c>
      <c r="BS139" s="21" t="s">
        <v>2443</v>
      </c>
      <c r="BT139" s="21"/>
      <c r="BU139" s="26"/>
      <c r="BV139" s="27"/>
      <c r="BW139" s="27"/>
      <c r="BX139" s="27">
        <v>0</v>
      </c>
      <c r="BY139" s="27">
        <v>0</v>
      </c>
      <c r="BZ139" s="27">
        <v>0</v>
      </c>
      <c r="CA139" s="27" t="str">
        <f t="shared" si="27"/>
        <v>NO</v>
      </c>
      <c r="CB139" s="27"/>
      <c r="CC139" s="27"/>
      <c r="CD139" s="27"/>
      <c r="CE139" s="27"/>
      <c r="CF139" s="27"/>
      <c r="CG139" s="28"/>
    </row>
    <row r="140" spans="1:85" s="20" customFormat="1" ht="15.75" hidden="1" customHeight="1" x14ac:dyDescent="0.3">
      <c r="A140" s="21">
        <v>122</v>
      </c>
      <c r="B140" s="22" t="s">
        <v>2705</v>
      </c>
      <c r="C140" s="22">
        <v>299991</v>
      </c>
      <c r="D140" s="23" t="s">
        <v>2706</v>
      </c>
      <c r="E140" s="24">
        <v>45467</v>
      </c>
      <c r="F140" s="24">
        <v>45407</v>
      </c>
      <c r="G140" s="22" t="s">
        <v>333</v>
      </c>
      <c r="H140" s="22" t="s">
        <v>333</v>
      </c>
      <c r="I140" s="22" t="s">
        <v>2249</v>
      </c>
      <c r="J140" s="22" t="s">
        <v>1166</v>
      </c>
      <c r="K140" s="22"/>
      <c r="L140" s="22"/>
      <c r="M140" s="24" t="s">
        <v>2458</v>
      </c>
      <c r="N140" s="24" t="s">
        <v>2458</v>
      </c>
      <c r="O140" s="22" t="s">
        <v>2264</v>
      </c>
      <c r="P140" s="22">
        <v>608000</v>
      </c>
      <c r="Q140" s="22" t="s">
        <v>595</v>
      </c>
      <c r="R140" s="22" t="s">
        <v>333</v>
      </c>
      <c r="S140" s="21" t="s">
        <v>2507</v>
      </c>
      <c r="T140" s="8" t="s">
        <v>1041</v>
      </c>
      <c r="U140" s="8" t="s">
        <v>2280</v>
      </c>
      <c r="V140" s="21">
        <v>596885</v>
      </c>
      <c r="W140" s="21">
        <v>55351</v>
      </c>
      <c r="X140" s="21">
        <v>20100</v>
      </c>
      <c r="Y140" s="21">
        <v>9287</v>
      </c>
      <c r="Z140" s="21">
        <v>500</v>
      </c>
      <c r="AA140" s="21" t="s">
        <v>2253</v>
      </c>
      <c r="AB140" s="21">
        <v>0</v>
      </c>
      <c r="AC140" s="21">
        <v>2940</v>
      </c>
      <c r="AD140" s="21">
        <v>0</v>
      </c>
      <c r="AE140" s="21">
        <v>0</v>
      </c>
      <c r="AF140" s="21">
        <v>2000</v>
      </c>
      <c r="AG140" s="21">
        <v>0</v>
      </c>
      <c r="AH140" s="21">
        <v>0</v>
      </c>
      <c r="AI140" s="21">
        <v>0</v>
      </c>
      <c r="AJ140" s="21">
        <v>10000</v>
      </c>
      <c r="AK140" s="21">
        <v>0</v>
      </c>
      <c r="AL140" s="21">
        <v>0</v>
      </c>
      <c r="AM140" s="21">
        <v>0</v>
      </c>
      <c r="AN140" s="21">
        <v>0</v>
      </c>
      <c r="AO140" s="21">
        <v>0</v>
      </c>
      <c r="AP140" s="21">
        <v>0</v>
      </c>
      <c r="AQ140" s="21">
        <v>2100</v>
      </c>
      <c r="AR140" s="21">
        <v>25000</v>
      </c>
      <c r="AS140" s="21">
        <v>0</v>
      </c>
      <c r="AT140" s="21">
        <v>0</v>
      </c>
      <c r="AU140" s="21">
        <v>0</v>
      </c>
      <c r="AV140" s="21">
        <v>0</v>
      </c>
      <c r="AW140" s="21"/>
      <c r="AX140" s="21">
        <v>19863</v>
      </c>
      <c r="AY140" s="21">
        <f t="shared" si="22"/>
        <v>17863</v>
      </c>
      <c r="AZ140" s="21">
        <f t="shared" si="23"/>
        <v>19863</v>
      </c>
      <c r="BA140" s="21">
        <f t="shared" si="24"/>
        <v>17863</v>
      </c>
      <c r="BB140" s="21">
        <v>0</v>
      </c>
      <c r="BC140" s="21">
        <v>2000</v>
      </c>
      <c r="BD140" s="21">
        <v>0</v>
      </c>
      <c r="BE140" s="21">
        <v>0</v>
      </c>
      <c r="BF140" s="21">
        <f t="shared" si="25"/>
        <v>630100</v>
      </c>
      <c r="BG140" s="21">
        <v>608000</v>
      </c>
      <c r="BH140" s="21" t="s">
        <v>2287</v>
      </c>
      <c r="BI140" s="21" t="s">
        <v>2260</v>
      </c>
      <c r="BJ140" s="21" t="s">
        <v>2260</v>
      </c>
      <c r="BK140" s="21">
        <v>0</v>
      </c>
      <c r="BL140" s="21">
        <f>2100+20000</f>
        <v>22100</v>
      </c>
      <c r="BM140" s="21">
        <f t="shared" si="26"/>
        <v>0</v>
      </c>
      <c r="BN140" s="25"/>
      <c r="BO140" s="21"/>
      <c r="BP140" s="21"/>
      <c r="BQ140" s="21"/>
      <c r="BR140" s="21"/>
      <c r="BS140" s="21"/>
      <c r="BT140" s="21"/>
      <c r="BU140" s="26"/>
      <c r="BV140" s="27"/>
      <c r="BW140" s="27"/>
      <c r="BX140" s="27">
        <v>0</v>
      </c>
      <c r="BY140" s="27">
        <v>0</v>
      </c>
      <c r="BZ140" s="27">
        <v>0</v>
      </c>
      <c r="CA140" s="27" t="str">
        <f t="shared" si="27"/>
        <v>NO</v>
      </c>
      <c r="CB140" s="27"/>
      <c r="CC140" s="27"/>
      <c r="CD140" s="27"/>
      <c r="CE140" s="27"/>
      <c r="CF140" s="27"/>
      <c r="CG140" s="28"/>
    </row>
    <row r="141" spans="1:85" s="20" customFormat="1" ht="15.75" hidden="1" customHeight="1" x14ac:dyDescent="0.3">
      <c r="A141" s="21">
        <v>139</v>
      </c>
      <c r="B141" s="22" t="s">
        <v>2758</v>
      </c>
      <c r="C141" s="22">
        <v>416842</v>
      </c>
      <c r="D141" s="23" t="s">
        <v>2759</v>
      </c>
      <c r="E141" s="24">
        <v>45469</v>
      </c>
      <c r="F141" s="24">
        <v>45470</v>
      </c>
      <c r="G141" s="22" t="s">
        <v>333</v>
      </c>
      <c r="H141" s="22" t="s">
        <v>333</v>
      </c>
      <c r="I141" s="22" t="s">
        <v>2249</v>
      </c>
      <c r="J141" s="22" t="s">
        <v>1198</v>
      </c>
      <c r="K141" s="22"/>
      <c r="L141" s="22"/>
      <c r="M141" s="24" t="s">
        <v>2275</v>
      </c>
      <c r="N141" s="22" t="s">
        <v>2990</v>
      </c>
      <c r="O141" s="22" t="s">
        <v>2760</v>
      </c>
      <c r="P141" s="22">
        <v>620000</v>
      </c>
      <c r="Q141" s="22" t="s">
        <v>595</v>
      </c>
      <c r="R141" s="22" t="s">
        <v>2761</v>
      </c>
      <c r="S141" s="21" t="s">
        <v>2507</v>
      </c>
      <c r="T141" s="8" t="s">
        <v>1041</v>
      </c>
      <c r="U141" s="8" t="s">
        <v>2280</v>
      </c>
      <c r="V141" s="21">
        <v>834885</v>
      </c>
      <c r="W141" s="21">
        <v>74491</v>
      </c>
      <c r="X141" s="21">
        <v>31500</v>
      </c>
      <c r="Y141" s="21">
        <v>14172</v>
      </c>
      <c r="Z141" s="21">
        <v>0</v>
      </c>
      <c r="AA141" s="21" t="s">
        <v>2253</v>
      </c>
      <c r="AB141" s="21">
        <v>0</v>
      </c>
      <c r="AC141" s="21">
        <v>4036</v>
      </c>
      <c r="AD141" s="21">
        <v>0</v>
      </c>
      <c r="AE141" s="21">
        <v>0</v>
      </c>
      <c r="AF141" s="21">
        <v>38600</v>
      </c>
      <c r="AG141" s="21">
        <v>0</v>
      </c>
      <c r="AH141" s="21">
        <v>0</v>
      </c>
      <c r="AI141" s="21">
        <v>0</v>
      </c>
      <c r="AJ141" s="21">
        <v>10000</v>
      </c>
      <c r="AK141" s="21">
        <v>0</v>
      </c>
      <c r="AL141" s="21">
        <v>0</v>
      </c>
      <c r="AM141" s="21">
        <v>0</v>
      </c>
      <c r="AN141" s="21">
        <v>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/>
      <c r="AX141" s="29">
        <f>11500+5000</f>
        <v>16500</v>
      </c>
      <c r="AY141" s="21">
        <f t="shared" si="22"/>
        <v>14500</v>
      </c>
      <c r="AZ141" s="21">
        <f t="shared" si="23"/>
        <v>16500</v>
      </c>
      <c r="BA141" s="21">
        <f t="shared" si="24"/>
        <v>14500</v>
      </c>
      <c r="BB141" s="21">
        <v>0</v>
      </c>
      <c r="BC141" s="21">
        <v>2000</v>
      </c>
      <c r="BD141" s="21">
        <v>0</v>
      </c>
      <c r="BE141" s="21">
        <v>0</v>
      </c>
      <c r="BF141" s="21">
        <f t="shared" si="25"/>
        <v>971184</v>
      </c>
      <c r="BG141" s="21">
        <v>620000</v>
      </c>
      <c r="BH141" s="21" t="s">
        <v>39</v>
      </c>
      <c r="BI141" s="21" t="s">
        <v>2253</v>
      </c>
      <c r="BJ141" s="21" t="s">
        <v>2253</v>
      </c>
      <c r="BK141" s="21" t="s">
        <v>2762</v>
      </c>
      <c r="BL141" s="21">
        <f>80000+220000+35000+15000+1200</f>
        <v>351200</v>
      </c>
      <c r="BM141" s="21">
        <f t="shared" si="26"/>
        <v>-16</v>
      </c>
      <c r="BN141" s="25"/>
      <c r="BO141" s="21"/>
      <c r="BP141" s="21"/>
      <c r="BQ141" s="21"/>
      <c r="BR141" s="21"/>
      <c r="BS141" s="21"/>
      <c r="BT141" s="21"/>
      <c r="BU141" s="26"/>
      <c r="BV141" s="27"/>
      <c r="BW141" s="27"/>
      <c r="BX141" s="27">
        <v>0</v>
      </c>
      <c r="BY141" s="27">
        <v>0</v>
      </c>
      <c r="BZ141" s="27">
        <v>0</v>
      </c>
      <c r="CA141" s="27" t="str">
        <f t="shared" si="27"/>
        <v>NO</v>
      </c>
      <c r="CB141" s="27"/>
      <c r="CC141" s="27"/>
      <c r="CD141" s="27"/>
      <c r="CE141" s="27"/>
      <c r="CF141" s="27"/>
      <c r="CG141" s="28"/>
    </row>
    <row r="142" spans="1:85" s="20" customFormat="1" ht="15.75" hidden="1" customHeight="1" x14ac:dyDescent="0.3">
      <c r="A142" s="21">
        <v>150</v>
      </c>
      <c r="B142" s="22" t="s">
        <v>2793</v>
      </c>
      <c r="C142" s="22">
        <v>422963</v>
      </c>
      <c r="D142" s="23" t="s">
        <v>2794</v>
      </c>
      <c r="E142" s="24">
        <v>45470</v>
      </c>
      <c r="F142" s="24">
        <v>45470</v>
      </c>
      <c r="G142" s="22" t="s">
        <v>333</v>
      </c>
      <c r="H142" s="22" t="s">
        <v>333</v>
      </c>
      <c r="I142" s="22" t="s">
        <v>2249</v>
      </c>
      <c r="J142" s="22" t="s">
        <v>2795</v>
      </c>
      <c r="K142" s="22"/>
      <c r="L142" s="22"/>
      <c r="M142" s="24" t="s">
        <v>2275</v>
      </c>
      <c r="N142" s="22" t="s">
        <v>2990</v>
      </c>
      <c r="O142" s="22" t="s">
        <v>2321</v>
      </c>
      <c r="P142" s="22">
        <v>0</v>
      </c>
      <c r="Q142" s="22" t="s">
        <v>77</v>
      </c>
      <c r="R142" s="22" t="s">
        <v>333</v>
      </c>
      <c r="S142" s="21" t="s">
        <v>2507</v>
      </c>
      <c r="T142" s="8" t="s">
        <v>1041</v>
      </c>
      <c r="U142" s="8" t="s">
        <v>2280</v>
      </c>
      <c r="V142" s="21">
        <v>970385</v>
      </c>
      <c r="W142" s="21">
        <v>85331</v>
      </c>
      <c r="X142" s="21">
        <v>33500</v>
      </c>
      <c r="Y142" s="21">
        <v>16485</v>
      </c>
      <c r="Z142" s="21">
        <v>0</v>
      </c>
      <c r="AA142" s="21" t="s">
        <v>2253</v>
      </c>
      <c r="AB142" s="21">
        <v>0</v>
      </c>
      <c r="AC142" s="21">
        <v>4696</v>
      </c>
      <c r="AD142" s="21">
        <v>0</v>
      </c>
      <c r="AE142" s="21">
        <v>0</v>
      </c>
      <c r="AF142" s="21">
        <v>45600</v>
      </c>
      <c r="AG142" s="21">
        <v>0</v>
      </c>
      <c r="AH142" s="21">
        <v>340000</v>
      </c>
      <c r="AI142" s="21">
        <v>0</v>
      </c>
      <c r="AJ142" s="21">
        <v>10000</v>
      </c>
      <c r="AK142" s="21">
        <v>0</v>
      </c>
      <c r="AL142" s="21">
        <v>0</v>
      </c>
      <c r="AM142" s="21">
        <v>0</v>
      </c>
      <c r="AN142" s="21">
        <v>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/>
      <c r="AX142" s="29">
        <f>5000</f>
        <v>5000</v>
      </c>
      <c r="AY142" s="21">
        <f t="shared" si="22"/>
        <v>3000</v>
      </c>
      <c r="AZ142" s="21">
        <f t="shared" si="23"/>
        <v>5000</v>
      </c>
      <c r="BA142" s="21">
        <f t="shared" si="24"/>
        <v>3000</v>
      </c>
      <c r="BB142" s="21">
        <v>10000</v>
      </c>
      <c r="BC142" s="21">
        <v>2000</v>
      </c>
      <c r="BD142" s="21">
        <v>0</v>
      </c>
      <c r="BE142" s="21">
        <v>0</v>
      </c>
      <c r="BF142" s="21">
        <f t="shared" si="25"/>
        <v>1130997</v>
      </c>
      <c r="BG142" s="21">
        <v>0</v>
      </c>
      <c r="BH142" s="21" t="s">
        <v>2287</v>
      </c>
      <c r="BI142" s="21" t="s">
        <v>2260</v>
      </c>
      <c r="BJ142" s="21" t="s">
        <v>2260</v>
      </c>
      <c r="BK142" s="21">
        <v>0</v>
      </c>
      <c r="BL142" s="21">
        <v>0</v>
      </c>
      <c r="BM142" s="21">
        <f t="shared" si="26"/>
        <v>790997</v>
      </c>
      <c r="BN142" s="25">
        <v>45471</v>
      </c>
      <c r="BO142" s="21"/>
      <c r="BP142" s="21" t="s">
        <v>2253</v>
      </c>
      <c r="BQ142" s="21" t="s">
        <v>2253</v>
      </c>
      <c r="BR142" s="21" t="s">
        <v>2253</v>
      </c>
      <c r="BS142" s="21" t="s">
        <v>2443</v>
      </c>
      <c r="BT142" s="21"/>
      <c r="BU142" s="26"/>
      <c r="BV142" s="27"/>
      <c r="BW142" s="27"/>
      <c r="BX142" s="27">
        <v>0</v>
      </c>
      <c r="BY142" s="27">
        <v>0</v>
      </c>
      <c r="BZ142" s="27">
        <v>0</v>
      </c>
      <c r="CA142" s="27" t="str">
        <f t="shared" si="27"/>
        <v>NO</v>
      </c>
      <c r="CB142" s="27"/>
      <c r="CC142" s="27"/>
      <c r="CD142" s="27"/>
      <c r="CE142" s="27"/>
      <c r="CF142" s="27"/>
      <c r="CG142" s="28"/>
    </row>
    <row r="143" spans="1:85" s="20" customFormat="1" ht="15.75" hidden="1" customHeight="1" x14ac:dyDescent="0.3">
      <c r="A143" s="21">
        <v>50</v>
      </c>
      <c r="B143" s="22" t="s">
        <v>2468</v>
      </c>
      <c r="C143" s="22">
        <v>421736</v>
      </c>
      <c r="D143" s="23" t="s">
        <v>2469</v>
      </c>
      <c r="E143" s="24">
        <v>45454</v>
      </c>
      <c r="F143" s="24">
        <v>45457</v>
      </c>
      <c r="G143" s="22" t="s">
        <v>1844</v>
      </c>
      <c r="H143" s="22" t="s">
        <v>1844</v>
      </c>
      <c r="I143" s="22" t="s">
        <v>2249</v>
      </c>
      <c r="J143" s="22" t="s">
        <v>1901</v>
      </c>
      <c r="K143" s="22"/>
      <c r="L143" s="22"/>
      <c r="M143" s="24" t="s">
        <v>2275</v>
      </c>
      <c r="N143" s="22" t="s">
        <v>2990</v>
      </c>
      <c r="O143" s="22" t="s">
        <v>2321</v>
      </c>
      <c r="P143" s="22">
        <v>900000</v>
      </c>
      <c r="Q143" s="22" t="s">
        <v>2327</v>
      </c>
      <c r="R143" s="22" t="s">
        <v>260</v>
      </c>
      <c r="S143" s="21" t="s">
        <v>2470</v>
      </c>
      <c r="T143" s="8" t="s">
        <v>1904</v>
      </c>
      <c r="U143" s="8" t="s">
        <v>2432</v>
      </c>
      <c r="V143" s="21">
        <v>969500</v>
      </c>
      <c r="W143" s="21">
        <v>85331</v>
      </c>
      <c r="X143" s="21">
        <v>33000</v>
      </c>
      <c r="Y143" s="21">
        <v>0</v>
      </c>
      <c r="Z143" s="21">
        <v>0</v>
      </c>
      <c r="AA143" s="21" t="s">
        <v>2260</v>
      </c>
      <c r="AB143" s="21">
        <v>0</v>
      </c>
      <c r="AC143" s="21">
        <v>0</v>
      </c>
      <c r="AD143" s="21">
        <v>0</v>
      </c>
      <c r="AE143" s="21">
        <v>0</v>
      </c>
      <c r="AF143" s="21">
        <v>46000</v>
      </c>
      <c r="AG143" s="21">
        <v>0</v>
      </c>
      <c r="AH143" s="21">
        <v>160000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21">
        <v>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10000</v>
      </c>
      <c r="AU143" s="21">
        <v>0</v>
      </c>
      <c r="AV143" s="21">
        <v>0</v>
      </c>
      <c r="AW143" s="21"/>
      <c r="AX143" s="21">
        <v>22731</v>
      </c>
      <c r="AY143" s="21">
        <f t="shared" si="22"/>
        <v>20731</v>
      </c>
      <c r="AZ143" s="21">
        <f t="shared" si="23"/>
        <v>22731</v>
      </c>
      <c r="BA143" s="21">
        <f t="shared" si="24"/>
        <v>20731</v>
      </c>
      <c r="BB143" s="21">
        <v>0</v>
      </c>
      <c r="BC143" s="21">
        <v>2000</v>
      </c>
      <c r="BD143" s="21">
        <v>0</v>
      </c>
      <c r="BE143" s="21">
        <v>0</v>
      </c>
      <c r="BF143" s="21">
        <f t="shared" si="25"/>
        <v>1101100</v>
      </c>
      <c r="BG143" s="21">
        <v>889200</v>
      </c>
      <c r="BH143" s="21" t="s">
        <v>39</v>
      </c>
      <c r="BI143" s="21" t="s">
        <v>2253</v>
      </c>
      <c r="BJ143" s="21" t="s">
        <v>2253</v>
      </c>
      <c r="BK143" s="29" t="s">
        <v>2471</v>
      </c>
      <c r="BL143" s="21">
        <f>5100+36000+10800</f>
        <v>51900</v>
      </c>
      <c r="BM143" s="21">
        <f t="shared" si="26"/>
        <v>0</v>
      </c>
      <c r="BN143" s="25">
        <v>45458</v>
      </c>
      <c r="BO143" s="21"/>
      <c r="BP143" s="21" t="s">
        <v>2253</v>
      </c>
      <c r="BQ143" s="21" t="s">
        <v>2253</v>
      </c>
      <c r="BR143" s="21" t="s">
        <v>2253</v>
      </c>
      <c r="BS143" s="21" t="s">
        <v>2472</v>
      </c>
      <c r="BT143" s="21"/>
      <c r="BU143" s="26"/>
      <c r="BV143" s="27"/>
      <c r="BW143" s="27"/>
      <c r="BX143" s="27">
        <v>0</v>
      </c>
      <c r="BY143" s="27">
        <v>0</v>
      </c>
      <c r="BZ143" s="27">
        <v>0</v>
      </c>
      <c r="CA143" s="27" t="str">
        <f t="shared" si="27"/>
        <v>NO</v>
      </c>
      <c r="CB143" s="27"/>
      <c r="CC143" s="27"/>
      <c r="CD143" s="27"/>
      <c r="CE143" s="27"/>
      <c r="CF143" s="27"/>
      <c r="CG143" s="28"/>
    </row>
    <row r="144" spans="1:85" s="20" customFormat="1" ht="15.75" hidden="1" customHeight="1" x14ac:dyDescent="0.3">
      <c r="A144" s="21">
        <v>78</v>
      </c>
      <c r="B144" s="22" t="s">
        <v>2558</v>
      </c>
      <c r="C144" s="22">
        <v>819439</v>
      </c>
      <c r="D144" s="23" t="s">
        <v>2559</v>
      </c>
      <c r="E144" s="24">
        <v>45460</v>
      </c>
      <c r="F144" s="24">
        <v>45461</v>
      </c>
      <c r="G144" s="22" t="s">
        <v>1844</v>
      </c>
      <c r="H144" s="22" t="s">
        <v>1844</v>
      </c>
      <c r="I144" s="22" t="s">
        <v>2249</v>
      </c>
      <c r="J144" s="22" t="s">
        <v>1921</v>
      </c>
      <c r="K144" s="22"/>
      <c r="L144" s="22"/>
      <c r="M144" s="24" t="s">
        <v>2263</v>
      </c>
      <c r="N144" s="24" t="s">
        <v>2263</v>
      </c>
      <c r="O144" s="22" t="s">
        <v>2560</v>
      </c>
      <c r="P144" s="22">
        <v>983000</v>
      </c>
      <c r="Q144" s="22" t="s">
        <v>2284</v>
      </c>
      <c r="R144" s="22" t="s">
        <v>1844</v>
      </c>
      <c r="S144" s="21" t="s">
        <v>2470</v>
      </c>
      <c r="T144" s="8" t="s">
        <v>1904</v>
      </c>
      <c r="U144" s="8" t="s">
        <v>2432</v>
      </c>
      <c r="V144" s="21">
        <v>983000</v>
      </c>
      <c r="W144" s="21">
        <v>86811</v>
      </c>
      <c r="X144" s="21">
        <v>32200</v>
      </c>
      <c r="Y144" s="21">
        <v>0</v>
      </c>
      <c r="Z144" s="21">
        <v>0</v>
      </c>
      <c r="AA144" s="21" t="s">
        <v>2260</v>
      </c>
      <c r="AB144" s="21">
        <v>0</v>
      </c>
      <c r="AC144" s="21">
        <v>0</v>
      </c>
      <c r="AD144" s="21">
        <v>0</v>
      </c>
      <c r="AE144" s="21">
        <v>0</v>
      </c>
      <c r="AF144" s="21">
        <v>5000</v>
      </c>
      <c r="AG144" s="21">
        <v>0</v>
      </c>
      <c r="AH144" s="21">
        <v>0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21">
        <v>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/>
      <c r="AX144" s="21">
        <v>0</v>
      </c>
      <c r="AY144" s="21">
        <f t="shared" si="22"/>
        <v>-2000</v>
      </c>
      <c r="AZ144" s="21">
        <f t="shared" si="23"/>
        <v>0</v>
      </c>
      <c r="BA144" s="21">
        <f t="shared" si="24"/>
        <v>0</v>
      </c>
      <c r="BB144" s="21">
        <v>0</v>
      </c>
      <c r="BC144" s="21">
        <v>2000</v>
      </c>
      <c r="BD144" s="21">
        <v>0</v>
      </c>
      <c r="BE144" s="21">
        <v>0</v>
      </c>
      <c r="BF144" s="21">
        <f t="shared" si="25"/>
        <v>1107011</v>
      </c>
      <c r="BG144" s="21">
        <v>1080000</v>
      </c>
      <c r="BH144" s="21" t="s">
        <v>2287</v>
      </c>
      <c r="BI144" s="21" t="s">
        <v>2253</v>
      </c>
      <c r="BJ144" s="21" t="s">
        <v>2253</v>
      </c>
      <c r="BK144" s="21">
        <v>0</v>
      </c>
      <c r="BL144" s="21">
        <f>11000+16500</f>
        <v>27500</v>
      </c>
      <c r="BM144" s="21">
        <f t="shared" si="26"/>
        <v>-489</v>
      </c>
      <c r="BN144" s="25"/>
      <c r="BO144" s="21"/>
      <c r="BP144" s="21"/>
      <c r="BQ144" s="21"/>
      <c r="BR144" s="21"/>
      <c r="BS144" s="21"/>
      <c r="BT144" s="21"/>
      <c r="BU144" s="26"/>
      <c r="BV144" s="27"/>
      <c r="BW144" s="27"/>
      <c r="BX144" s="27">
        <v>0</v>
      </c>
      <c r="BY144" s="27">
        <v>0</v>
      </c>
      <c r="BZ144" s="27">
        <v>0</v>
      </c>
      <c r="CA144" s="27" t="str">
        <f t="shared" si="27"/>
        <v>NO</v>
      </c>
      <c r="CB144" s="27"/>
      <c r="CC144" s="27"/>
      <c r="CD144" s="27"/>
      <c r="CE144" s="27"/>
      <c r="CF144" s="27"/>
      <c r="CG144" s="28"/>
    </row>
    <row r="145" spans="1:85" s="20" customFormat="1" ht="15.75" hidden="1" customHeight="1" x14ac:dyDescent="0.3">
      <c r="A145" s="21">
        <v>86</v>
      </c>
      <c r="B145" s="22" t="s">
        <v>2587</v>
      </c>
      <c r="C145" s="22">
        <v>431502</v>
      </c>
      <c r="D145" s="23" t="s">
        <v>2588</v>
      </c>
      <c r="E145" s="24">
        <v>45462</v>
      </c>
      <c r="F145" s="24">
        <v>45464</v>
      </c>
      <c r="G145" s="22" t="s">
        <v>1844</v>
      </c>
      <c r="H145" s="22" t="s">
        <v>1844</v>
      </c>
      <c r="I145" s="22" t="s">
        <v>2249</v>
      </c>
      <c r="J145" s="22" t="s">
        <v>1929</v>
      </c>
      <c r="K145" s="22"/>
      <c r="L145" s="22"/>
      <c r="M145" s="24" t="s">
        <v>2275</v>
      </c>
      <c r="N145" s="24" t="s">
        <v>2991</v>
      </c>
      <c r="O145" s="22" t="s">
        <v>2589</v>
      </c>
      <c r="P145" s="22">
        <v>1226385</v>
      </c>
      <c r="Q145" s="22" t="s">
        <v>2327</v>
      </c>
      <c r="R145" s="22" t="s">
        <v>260</v>
      </c>
      <c r="S145" s="21" t="s">
        <v>2470</v>
      </c>
      <c r="T145" s="8" t="s">
        <v>1904</v>
      </c>
      <c r="U145" s="8" t="s">
        <v>2432</v>
      </c>
      <c r="V145" s="21">
        <v>1226385</v>
      </c>
      <c r="W145" s="21">
        <v>130338</v>
      </c>
      <c r="X145" s="21">
        <v>38000</v>
      </c>
      <c r="Y145" s="21">
        <v>20827</v>
      </c>
      <c r="Z145" s="21">
        <v>0</v>
      </c>
      <c r="AA145" s="21" t="s">
        <v>2253</v>
      </c>
      <c r="AB145" s="29">
        <v>5100</v>
      </c>
      <c r="AC145" s="21">
        <v>0</v>
      </c>
      <c r="AD145" s="21">
        <v>12264</v>
      </c>
      <c r="AE145" s="21">
        <v>0</v>
      </c>
      <c r="AF145" s="21">
        <v>0</v>
      </c>
      <c r="AG145" s="21">
        <v>0</v>
      </c>
      <c r="AH145" s="21"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21">
        <v>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/>
      <c r="AX145" s="21">
        <v>15800</v>
      </c>
      <c r="AY145" s="21">
        <f t="shared" si="22"/>
        <v>13800</v>
      </c>
      <c r="AZ145" s="21">
        <f t="shared" si="23"/>
        <v>15800</v>
      </c>
      <c r="BA145" s="21">
        <f t="shared" si="24"/>
        <v>13800</v>
      </c>
      <c r="BB145" s="21">
        <v>0</v>
      </c>
      <c r="BC145" s="21">
        <v>2000</v>
      </c>
      <c r="BD145" s="21">
        <v>0</v>
      </c>
      <c r="BE145" s="21">
        <v>0</v>
      </c>
      <c r="BF145" s="21">
        <f t="shared" si="25"/>
        <v>1417114</v>
      </c>
      <c r="BG145" s="21">
        <v>889200</v>
      </c>
      <c r="BH145" s="21" t="s">
        <v>39</v>
      </c>
      <c r="BI145" s="21" t="s">
        <v>2253</v>
      </c>
      <c r="BJ145" s="21" t="s">
        <v>2253</v>
      </c>
      <c r="BK145" s="21" t="s">
        <v>2590</v>
      </c>
      <c r="BL145" s="21">
        <f>11000+5100+199000</f>
        <v>215100</v>
      </c>
      <c r="BM145" s="21">
        <f t="shared" si="26"/>
        <v>312814</v>
      </c>
      <c r="BN145" s="25">
        <v>45467</v>
      </c>
      <c r="BO145" s="21"/>
      <c r="BP145" s="21"/>
      <c r="BQ145" s="21"/>
      <c r="BR145" s="21"/>
      <c r="BS145" s="21"/>
      <c r="BT145" s="21"/>
      <c r="BU145" s="26"/>
      <c r="BV145" s="27"/>
      <c r="BW145" s="27"/>
      <c r="BX145" s="27">
        <v>0</v>
      </c>
      <c r="BY145" s="27">
        <v>0</v>
      </c>
      <c r="BZ145" s="27">
        <v>0</v>
      </c>
      <c r="CA145" s="27" t="str">
        <f t="shared" si="27"/>
        <v>NO</v>
      </c>
      <c r="CB145" s="27"/>
      <c r="CC145" s="27"/>
      <c r="CD145" s="27"/>
      <c r="CE145" s="27"/>
      <c r="CF145" s="27"/>
      <c r="CG145" s="28"/>
    </row>
    <row r="146" spans="1:85" s="20" customFormat="1" ht="15.75" hidden="1" customHeight="1" x14ac:dyDescent="0.3">
      <c r="A146" s="21">
        <v>151</v>
      </c>
      <c r="B146" s="22" t="s">
        <v>2796</v>
      </c>
      <c r="C146" s="22">
        <v>289742</v>
      </c>
      <c r="D146" s="23" t="s">
        <v>2797</v>
      </c>
      <c r="E146" s="24">
        <v>45470</v>
      </c>
      <c r="F146" s="24">
        <v>45472</v>
      </c>
      <c r="G146" s="22" t="s">
        <v>1844</v>
      </c>
      <c r="H146" s="22" t="s">
        <v>1844</v>
      </c>
      <c r="I146" s="22" t="s">
        <v>2249</v>
      </c>
      <c r="J146" s="22" t="s">
        <v>1969</v>
      </c>
      <c r="K146" s="22"/>
      <c r="L146" s="22"/>
      <c r="M146" s="24" t="s">
        <v>2458</v>
      </c>
      <c r="N146" s="24" t="s">
        <v>2458</v>
      </c>
      <c r="O146" s="22" t="s">
        <v>2392</v>
      </c>
      <c r="P146" s="22">
        <v>500000</v>
      </c>
      <c r="Q146" s="22" t="s">
        <v>2271</v>
      </c>
      <c r="R146" s="22" t="s">
        <v>1844</v>
      </c>
      <c r="S146" s="140" t="s">
        <v>2470</v>
      </c>
      <c r="T146" s="8" t="s">
        <v>1904</v>
      </c>
      <c r="U146" s="8" t="s">
        <v>2432</v>
      </c>
      <c r="V146" s="21">
        <v>506885</v>
      </c>
      <c r="W146" s="21">
        <v>48151</v>
      </c>
      <c r="X146" s="21">
        <v>20000</v>
      </c>
      <c r="Y146" s="21">
        <v>7882</v>
      </c>
      <c r="Z146" s="21">
        <v>0</v>
      </c>
      <c r="AA146" s="21" t="s">
        <v>2253</v>
      </c>
      <c r="AB146" s="21">
        <v>0</v>
      </c>
      <c r="AC146" s="21">
        <v>2562</v>
      </c>
      <c r="AD146" s="21">
        <v>0</v>
      </c>
      <c r="AE146" s="21">
        <v>0</v>
      </c>
      <c r="AF146" s="21">
        <v>38000</v>
      </c>
      <c r="AG146" s="21">
        <v>0</v>
      </c>
      <c r="AH146" s="21">
        <v>410000</v>
      </c>
      <c r="AI146" s="21">
        <v>309000</v>
      </c>
      <c r="AJ146" s="21">
        <v>20000</v>
      </c>
      <c r="AK146" s="21">
        <v>0</v>
      </c>
      <c r="AL146" s="21">
        <v>0</v>
      </c>
      <c r="AM146" s="21">
        <v>0</v>
      </c>
      <c r="AN146" s="21">
        <v>0</v>
      </c>
      <c r="AO146" s="21">
        <v>0</v>
      </c>
      <c r="AP146" s="21">
        <v>2500</v>
      </c>
      <c r="AQ146" s="21">
        <v>0</v>
      </c>
      <c r="AR146" s="21">
        <f>20000</f>
        <v>20000</v>
      </c>
      <c r="AS146" s="21">
        <v>0</v>
      </c>
      <c r="AT146" s="21">
        <v>0</v>
      </c>
      <c r="AU146" s="21">
        <v>0</v>
      </c>
      <c r="AV146" s="21">
        <v>0</v>
      </c>
      <c r="AW146" s="21"/>
      <c r="AX146" s="29">
        <f>5000+5000</f>
        <v>10000</v>
      </c>
      <c r="AY146" s="21">
        <f t="shared" si="22"/>
        <v>8000</v>
      </c>
      <c r="AZ146" s="21">
        <f t="shared" si="23"/>
        <v>10000</v>
      </c>
      <c r="BA146" s="21">
        <f t="shared" si="24"/>
        <v>8000</v>
      </c>
      <c r="BB146" s="21">
        <v>15000</v>
      </c>
      <c r="BC146" s="21">
        <v>2000</v>
      </c>
      <c r="BD146" s="21">
        <v>0</v>
      </c>
      <c r="BE146" s="21">
        <v>0</v>
      </c>
      <c r="BF146" s="21">
        <f t="shared" si="25"/>
        <v>864980</v>
      </c>
      <c r="BG146" s="21">
        <v>486000</v>
      </c>
      <c r="BH146" s="21" t="s">
        <v>39</v>
      </c>
      <c r="BI146" s="21" t="s">
        <v>2253</v>
      </c>
      <c r="BJ146" s="21" t="s">
        <v>2253</v>
      </c>
      <c r="BK146" s="21">
        <v>13610045</v>
      </c>
      <c r="BL146" s="21">
        <v>0</v>
      </c>
      <c r="BM146" s="21">
        <f t="shared" si="26"/>
        <v>-31020</v>
      </c>
      <c r="BN146" s="25"/>
      <c r="BO146" s="21"/>
      <c r="BP146" s="21" t="s">
        <v>2253</v>
      </c>
      <c r="BQ146" s="21" t="s">
        <v>2253</v>
      </c>
      <c r="BR146" s="21" t="s">
        <v>2253</v>
      </c>
      <c r="BS146" s="21" t="s">
        <v>2472</v>
      </c>
      <c r="BT146" s="21"/>
      <c r="BU146" s="26"/>
      <c r="BV146" s="27"/>
      <c r="BW146" s="27"/>
      <c r="BX146" s="27">
        <v>0</v>
      </c>
      <c r="BY146" s="27">
        <v>0</v>
      </c>
      <c r="BZ146" s="27">
        <v>0</v>
      </c>
      <c r="CA146" s="27" t="str">
        <f t="shared" si="27"/>
        <v>NO</v>
      </c>
      <c r="CB146" s="27"/>
      <c r="CC146" s="27"/>
      <c r="CD146" s="27"/>
      <c r="CE146" s="27"/>
      <c r="CF146" s="27"/>
      <c r="CG146" s="28"/>
    </row>
    <row r="147" spans="1:85" s="20" customFormat="1" ht="17.25" hidden="1" customHeight="1" x14ac:dyDescent="0.3">
      <c r="A147" s="21">
        <v>154</v>
      </c>
      <c r="B147" s="22" t="s">
        <v>2804</v>
      </c>
      <c r="C147" s="22" t="s">
        <v>1982</v>
      </c>
      <c r="D147" s="23" t="s">
        <v>2805</v>
      </c>
      <c r="E147" s="24">
        <v>45471</v>
      </c>
      <c r="F147" s="24">
        <v>45472</v>
      </c>
      <c r="G147" s="22" t="s">
        <v>1844</v>
      </c>
      <c r="H147" s="22" t="s">
        <v>1844</v>
      </c>
      <c r="I147" s="22" t="s">
        <v>2249</v>
      </c>
      <c r="J147" s="22" t="s">
        <v>1865</v>
      </c>
      <c r="K147" s="22"/>
      <c r="L147" s="22"/>
      <c r="M147" s="24" t="s">
        <v>310</v>
      </c>
      <c r="N147" s="24" t="s">
        <v>310</v>
      </c>
      <c r="O147" s="22" t="s">
        <v>2397</v>
      </c>
      <c r="P147" s="22">
        <v>307000</v>
      </c>
      <c r="Q147" s="22" t="s">
        <v>2327</v>
      </c>
      <c r="R147" s="22" t="s">
        <v>260</v>
      </c>
      <c r="S147" s="21" t="s">
        <v>2470</v>
      </c>
      <c r="T147" s="8" t="s">
        <v>1904</v>
      </c>
      <c r="U147" s="8" t="s">
        <v>2432</v>
      </c>
      <c r="V147" s="21">
        <v>568000</v>
      </c>
      <c r="W147" s="21">
        <v>53911</v>
      </c>
      <c r="X147" s="21">
        <v>25000</v>
      </c>
      <c r="Y147" s="21">
        <v>0</v>
      </c>
      <c r="Z147" s="21">
        <v>0</v>
      </c>
      <c r="AA147" s="21" t="s">
        <v>2260</v>
      </c>
      <c r="AB147" s="21">
        <v>0</v>
      </c>
      <c r="AC147" s="21">
        <v>0</v>
      </c>
      <c r="AD147" s="21">
        <v>0</v>
      </c>
      <c r="AE147" s="21">
        <v>0</v>
      </c>
      <c r="AF147" s="21">
        <v>2000</v>
      </c>
      <c r="AG147" s="21">
        <v>0</v>
      </c>
      <c r="AH147" s="21">
        <v>0</v>
      </c>
      <c r="AI147" s="21">
        <v>0</v>
      </c>
      <c r="AJ147" s="21">
        <v>10000</v>
      </c>
      <c r="AK147" s="21">
        <v>0</v>
      </c>
      <c r="AL147" s="21">
        <v>0</v>
      </c>
      <c r="AM147" s="21">
        <v>0</v>
      </c>
      <c r="AN147" s="21">
        <v>0</v>
      </c>
      <c r="AO147" s="21">
        <v>0</v>
      </c>
      <c r="AP147" s="21">
        <v>0</v>
      </c>
      <c r="AQ147" s="21">
        <v>0</v>
      </c>
      <c r="AR147" s="21">
        <v>15000</v>
      </c>
      <c r="AS147" s="21">
        <v>0</v>
      </c>
      <c r="AT147" s="21">
        <v>0</v>
      </c>
      <c r="AU147" s="21">
        <v>0</v>
      </c>
      <c r="AV147" s="21">
        <v>0</v>
      </c>
      <c r="AW147" s="21"/>
      <c r="AX147" s="21">
        <v>13911</v>
      </c>
      <c r="AY147" s="21">
        <f t="shared" si="22"/>
        <v>11911</v>
      </c>
      <c r="AZ147" s="21">
        <f t="shared" si="23"/>
        <v>13911</v>
      </c>
      <c r="BA147" s="21">
        <f t="shared" si="24"/>
        <v>11911</v>
      </c>
      <c r="BB147" s="21">
        <v>0</v>
      </c>
      <c r="BC147" s="21">
        <v>2000</v>
      </c>
      <c r="BD147" s="21">
        <v>0</v>
      </c>
      <c r="BE147" s="21">
        <v>0</v>
      </c>
      <c r="BF147" s="21">
        <f t="shared" si="25"/>
        <v>610000</v>
      </c>
      <c r="BG147" s="21">
        <v>300265</v>
      </c>
      <c r="BH147" s="21" t="s">
        <v>39</v>
      </c>
      <c r="BI147" s="21" t="s">
        <v>2253</v>
      </c>
      <c r="BJ147" s="21" t="s">
        <v>2253</v>
      </c>
      <c r="BK147" s="21" t="s">
        <v>2806</v>
      </c>
      <c r="BL147" s="21">
        <f>5100+4900</f>
        <v>10000</v>
      </c>
      <c r="BM147" s="21">
        <f t="shared" si="26"/>
        <v>299735</v>
      </c>
      <c r="BN147" s="25"/>
      <c r="BO147" s="21"/>
      <c r="BP147" s="21"/>
      <c r="BQ147" s="21"/>
      <c r="BR147" s="21"/>
      <c r="BS147" s="21"/>
      <c r="BT147" s="21"/>
      <c r="BU147" s="26"/>
      <c r="BV147" s="27"/>
      <c r="BW147" s="27"/>
      <c r="BX147" s="27">
        <v>0</v>
      </c>
      <c r="BY147" s="27">
        <v>0</v>
      </c>
      <c r="BZ147" s="27">
        <v>0</v>
      </c>
      <c r="CA147" s="27" t="str">
        <f t="shared" si="27"/>
        <v>NO</v>
      </c>
      <c r="CB147" s="27"/>
      <c r="CC147" s="27"/>
      <c r="CD147" s="27"/>
      <c r="CE147" s="27"/>
      <c r="CF147" s="27"/>
      <c r="CG147" s="28"/>
    </row>
    <row r="148" spans="1:85" s="20" customFormat="1" ht="15.75" hidden="1" customHeight="1" x14ac:dyDescent="0.3">
      <c r="A148" s="21">
        <v>40</v>
      </c>
      <c r="B148" s="22" t="s">
        <v>2429</v>
      </c>
      <c r="C148" s="22" t="s">
        <v>1892</v>
      </c>
      <c r="D148" s="23" t="s">
        <v>2430</v>
      </c>
      <c r="E148" s="24">
        <v>45453</v>
      </c>
      <c r="F148" s="24">
        <v>45457</v>
      </c>
      <c r="G148" s="22" t="s">
        <v>1844</v>
      </c>
      <c r="H148" s="22" t="s">
        <v>1844</v>
      </c>
      <c r="I148" s="22" t="s">
        <v>2249</v>
      </c>
      <c r="J148" s="22" t="s">
        <v>1890</v>
      </c>
      <c r="K148" s="22"/>
      <c r="L148" s="22"/>
      <c r="M148" s="24" t="s">
        <v>310</v>
      </c>
      <c r="N148" s="24" t="s">
        <v>310</v>
      </c>
      <c r="O148" s="22" t="s">
        <v>2326</v>
      </c>
      <c r="P148" s="22">
        <v>560000</v>
      </c>
      <c r="Q148" s="22" t="s">
        <v>2327</v>
      </c>
      <c r="R148" s="22" t="s">
        <v>260</v>
      </c>
      <c r="S148" s="21" t="s">
        <v>2431</v>
      </c>
      <c r="T148" s="8" t="s">
        <v>1893</v>
      </c>
      <c r="U148" s="8" t="s">
        <v>2432</v>
      </c>
      <c r="V148" s="21">
        <v>561000</v>
      </c>
      <c r="W148" s="21">
        <v>53351</v>
      </c>
      <c r="X148" s="21">
        <v>25000</v>
      </c>
      <c r="Y148" s="21">
        <v>0</v>
      </c>
      <c r="Z148" s="21">
        <v>0</v>
      </c>
      <c r="AA148" s="21" t="s">
        <v>2260</v>
      </c>
      <c r="AB148" s="21">
        <v>0</v>
      </c>
      <c r="AC148" s="21">
        <v>0</v>
      </c>
      <c r="AD148" s="21">
        <v>0</v>
      </c>
      <c r="AE148" s="21">
        <v>0</v>
      </c>
      <c r="AF148" s="21">
        <v>30000</v>
      </c>
      <c r="AG148" s="21">
        <v>0</v>
      </c>
      <c r="AH148" s="21">
        <v>0</v>
      </c>
      <c r="AI148" s="21">
        <v>0</v>
      </c>
      <c r="AJ148" s="21">
        <v>10000</v>
      </c>
      <c r="AK148" s="21">
        <v>0</v>
      </c>
      <c r="AL148" s="21">
        <v>0</v>
      </c>
      <c r="AM148" s="21">
        <v>0</v>
      </c>
      <c r="AN148" s="21">
        <v>0</v>
      </c>
      <c r="AO148" s="21">
        <v>0</v>
      </c>
      <c r="AP148" s="21">
        <v>0</v>
      </c>
      <c r="AQ148" s="21">
        <v>0</v>
      </c>
      <c r="AR148" s="21">
        <v>15000</v>
      </c>
      <c r="AS148" s="21">
        <v>0</v>
      </c>
      <c r="AT148" s="21">
        <v>0</v>
      </c>
      <c r="AU148" s="21">
        <v>0</v>
      </c>
      <c r="AV148" s="21">
        <v>0</v>
      </c>
      <c r="AW148" s="21"/>
      <c r="AX148" s="21">
        <v>10701</v>
      </c>
      <c r="AY148" s="21">
        <f t="shared" si="22"/>
        <v>8701</v>
      </c>
      <c r="AZ148" s="21">
        <f t="shared" si="23"/>
        <v>10701</v>
      </c>
      <c r="BA148" s="21">
        <f t="shared" si="24"/>
        <v>8701</v>
      </c>
      <c r="BB148" s="21">
        <v>0</v>
      </c>
      <c r="BC148" s="21">
        <v>2000</v>
      </c>
      <c r="BD148" s="21">
        <v>0</v>
      </c>
      <c r="BE148" s="21">
        <v>0</v>
      </c>
      <c r="BF148" s="21">
        <f t="shared" si="25"/>
        <v>633650</v>
      </c>
      <c r="BG148" s="21">
        <v>540650</v>
      </c>
      <c r="BH148" s="21" t="s">
        <v>39</v>
      </c>
      <c r="BI148" s="21" t="s">
        <v>2253</v>
      </c>
      <c r="BJ148" s="21" t="s">
        <v>2253</v>
      </c>
      <c r="BK148" s="29" t="s">
        <v>2433</v>
      </c>
      <c r="BL148" s="21">
        <f>1100+91900</f>
        <v>93000</v>
      </c>
      <c r="BM148" s="21">
        <f t="shared" si="26"/>
        <v>0</v>
      </c>
      <c r="BN148" s="25"/>
      <c r="BO148" s="21"/>
      <c r="BP148" s="21"/>
      <c r="BQ148" s="21"/>
      <c r="BR148" s="21"/>
      <c r="BS148" s="21"/>
      <c r="BT148" s="21"/>
      <c r="BU148" s="26"/>
      <c r="BV148" s="27"/>
      <c r="BW148" s="27"/>
      <c r="BX148" s="27">
        <v>0</v>
      </c>
      <c r="BY148" s="27">
        <v>0</v>
      </c>
      <c r="BZ148" s="27">
        <v>0</v>
      </c>
      <c r="CA148" s="27" t="str">
        <f t="shared" si="27"/>
        <v>NO</v>
      </c>
      <c r="CB148" s="27"/>
      <c r="CC148" s="27"/>
      <c r="CD148" s="27"/>
      <c r="CE148" s="27"/>
      <c r="CF148" s="27"/>
      <c r="CG148" s="28"/>
    </row>
    <row r="149" spans="1:85" s="20" customFormat="1" ht="15.75" hidden="1" customHeight="1" x14ac:dyDescent="0.3">
      <c r="A149" s="21">
        <v>93</v>
      </c>
      <c r="B149" s="22" t="s">
        <v>2610</v>
      </c>
      <c r="C149" s="22" t="s">
        <v>1943</v>
      </c>
      <c r="D149" s="23" t="s">
        <v>2611</v>
      </c>
      <c r="E149" s="24">
        <v>45463</v>
      </c>
      <c r="F149" s="24">
        <v>45464</v>
      </c>
      <c r="G149" s="22" t="s">
        <v>1844</v>
      </c>
      <c r="H149" s="22" t="s">
        <v>1844</v>
      </c>
      <c r="I149" s="22" t="s">
        <v>2249</v>
      </c>
      <c r="J149" s="22" t="s">
        <v>1941</v>
      </c>
      <c r="K149" s="22"/>
      <c r="L149" s="22"/>
      <c r="M149" s="24" t="s">
        <v>2362</v>
      </c>
      <c r="N149" s="24" t="s">
        <v>2362</v>
      </c>
      <c r="O149" s="22" t="s">
        <v>2363</v>
      </c>
      <c r="P149" s="22">
        <v>570000</v>
      </c>
      <c r="Q149" s="22" t="s">
        <v>2327</v>
      </c>
      <c r="R149" s="22" t="s">
        <v>260</v>
      </c>
      <c r="S149" s="21" t="s">
        <v>2431</v>
      </c>
      <c r="T149" s="8" t="s">
        <v>1893</v>
      </c>
      <c r="U149" s="8" t="s">
        <v>2432</v>
      </c>
      <c r="V149" s="21">
        <v>600385</v>
      </c>
      <c r="W149" s="21">
        <v>56351</v>
      </c>
      <c r="X149" s="21">
        <v>21000</v>
      </c>
      <c r="Y149" s="21">
        <v>9346</v>
      </c>
      <c r="Z149" s="21">
        <v>0</v>
      </c>
      <c r="AA149" s="21" t="s">
        <v>2253</v>
      </c>
      <c r="AB149" s="21">
        <v>0</v>
      </c>
      <c r="AC149" s="21">
        <v>0</v>
      </c>
      <c r="AD149" s="21">
        <v>0</v>
      </c>
      <c r="AE149" s="21">
        <v>0</v>
      </c>
      <c r="AF149" s="21">
        <v>35000</v>
      </c>
      <c r="AG149" s="21">
        <v>0</v>
      </c>
      <c r="AH149" s="21">
        <v>0</v>
      </c>
      <c r="AI149" s="21">
        <v>0</v>
      </c>
      <c r="AJ149" s="21">
        <v>10000</v>
      </c>
      <c r="AK149" s="21">
        <v>0</v>
      </c>
      <c r="AL149" s="21">
        <v>0</v>
      </c>
      <c r="AM149" s="21">
        <v>0</v>
      </c>
      <c r="AN149" s="21">
        <v>0</v>
      </c>
      <c r="AO149" s="21">
        <v>0</v>
      </c>
      <c r="AP149" s="21">
        <v>0</v>
      </c>
      <c r="AQ149" s="21">
        <v>2100</v>
      </c>
      <c r="AR149" s="21">
        <v>25000</v>
      </c>
      <c r="AS149" s="21">
        <v>0</v>
      </c>
      <c r="AT149" s="21">
        <v>0</v>
      </c>
      <c r="AU149" s="21">
        <v>0</v>
      </c>
      <c r="AV149" s="21">
        <v>0</v>
      </c>
      <c r="AW149" s="21"/>
      <c r="AX149" s="21">
        <v>14982</v>
      </c>
      <c r="AY149" s="21">
        <f t="shared" si="22"/>
        <v>12982</v>
      </c>
      <c r="AZ149" s="21">
        <f t="shared" si="23"/>
        <v>14982</v>
      </c>
      <c r="BA149" s="21">
        <f t="shared" si="24"/>
        <v>12982</v>
      </c>
      <c r="BB149" s="21">
        <v>0</v>
      </c>
      <c r="BC149" s="21">
        <v>2000</v>
      </c>
      <c r="BD149" s="21">
        <v>0</v>
      </c>
      <c r="BE149" s="21">
        <v>0</v>
      </c>
      <c r="BF149" s="21">
        <f t="shared" si="25"/>
        <v>670000</v>
      </c>
      <c r="BG149" s="21">
        <v>550850</v>
      </c>
      <c r="BH149" s="21" t="s">
        <v>39</v>
      </c>
      <c r="BI149" s="21" t="s">
        <v>2253</v>
      </c>
      <c r="BJ149" s="21" t="s">
        <v>2253</v>
      </c>
      <c r="BK149" s="21" t="s">
        <v>2612</v>
      </c>
      <c r="BL149" s="21">
        <f>11000+25000+34000</f>
        <v>70000</v>
      </c>
      <c r="BM149" s="21">
        <f t="shared" si="26"/>
        <v>49150</v>
      </c>
      <c r="BN149" s="25">
        <v>45463</v>
      </c>
      <c r="BO149" s="21"/>
      <c r="BP149" s="21"/>
      <c r="BQ149" s="21"/>
      <c r="BR149" s="21"/>
      <c r="BS149" s="21"/>
      <c r="BT149" s="21"/>
      <c r="BU149" s="26"/>
      <c r="BV149" s="27"/>
      <c r="BW149" s="27"/>
      <c r="BX149" s="27">
        <v>0</v>
      </c>
      <c r="BY149" s="27">
        <v>0</v>
      </c>
      <c r="BZ149" s="27">
        <v>0</v>
      </c>
      <c r="CA149" s="27" t="str">
        <f t="shared" si="27"/>
        <v>NO</v>
      </c>
      <c r="CB149" s="27"/>
      <c r="CC149" s="27"/>
      <c r="CD149" s="27"/>
      <c r="CE149" s="27"/>
      <c r="CF149" s="27"/>
      <c r="CG149" s="28"/>
    </row>
    <row r="150" spans="1:85" s="20" customFormat="1" ht="15.75" hidden="1" customHeight="1" x14ac:dyDescent="0.3">
      <c r="A150" s="21">
        <v>118</v>
      </c>
      <c r="B150" s="22" t="s">
        <v>2692</v>
      </c>
      <c r="C150" s="22">
        <v>822101</v>
      </c>
      <c r="D150" s="23" t="s">
        <v>2693</v>
      </c>
      <c r="E150" s="24">
        <v>45467</v>
      </c>
      <c r="F150" s="24">
        <v>45469</v>
      </c>
      <c r="G150" s="22" t="s">
        <v>1844</v>
      </c>
      <c r="H150" s="22" t="s">
        <v>1844</v>
      </c>
      <c r="I150" s="22" t="s">
        <v>2249</v>
      </c>
      <c r="J150" s="22" t="s">
        <v>1961</v>
      </c>
      <c r="K150" s="22"/>
      <c r="L150" s="22"/>
      <c r="M150" s="24" t="s">
        <v>2263</v>
      </c>
      <c r="N150" s="24" t="s">
        <v>2263</v>
      </c>
      <c r="O150" s="22" t="s">
        <v>2451</v>
      </c>
      <c r="P150" s="22">
        <v>700000</v>
      </c>
      <c r="Q150" s="22" t="s">
        <v>2298</v>
      </c>
      <c r="R150" s="22" t="s">
        <v>1844</v>
      </c>
      <c r="S150" s="21" t="s">
        <v>2431</v>
      </c>
      <c r="T150" s="8" t="s">
        <v>1893</v>
      </c>
      <c r="U150" s="8" t="s">
        <v>2432</v>
      </c>
      <c r="V150" s="21">
        <v>983000</v>
      </c>
      <c r="W150" s="21">
        <v>86811</v>
      </c>
      <c r="X150" s="21">
        <v>32200</v>
      </c>
      <c r="Y150" s="21">
        <v>0</v>
      </c>
      <c r="Z150" s="21">
        <v>0</v>
      </c>
      <c r="AA150" s="21" t="s">
        <v>2260</v>
      </c>
      <c r="AB150" s="21">
        <v>0</v>
      </c>
      <c r="AC150" s="21">
        <v>0</v>
      </c>
      <c r="AD150" s="21">
        <v>0</v>
      </c>
      <c r="AE150" s="21">
        <v>0</v>
      </c>
      <c r="AF150" s="21">
        <v>45000</v>
      </c>
      <c r="AG150" s="21">
        <v>0</v>
      </c>
      <c r="AH150" s="21">
        <v>350000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21">
        <v>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2000</v>
      </c>
      <c r="AV150" s="21">
        <v>0</v>
      </c>
      <c r="AW150" s="21"/>
      <c r="AX150" s="21">
        <v>0</v>
      </c>
      <c r="AY150" s="21">
        <f t="shared" si="22"/>
        <v>0</v>
      </c>
      <c r="AZ150" s="21">
        <f t="shared" si="23"/>
        <v>2000</v>
      </c>
      <c r="BA150" s="21">
        <f t="shared" si="24"/>
        <v>0</v>
      </c>
      <c r="BB150" s="21">
        <v>0</v>
      </c>
      <c r="BC150" s="21">
        <v>2000</v>
      </c>
      <c r="BD150" s="21">
        <v>0</v>
      </c>
      <c r="BE150" s="21">
        <v>0</v>
      </c>
      <c r="BF150" s="21">
        <f t="shared" si="25"/>
        <v>1145011</v>
      </c>
      <c r="BG150" s="21">
        <v>700000</v>
      </c>
      <c r="BH150" s="21" t="s">
        <v>39</v>
      </c>
      <c r="BI150" s="21" t="s">
        <v>2253</v>
      </c>
      <c r="BJ150" s="21" t="s">
        <v>2253</v>
      </c>
      <c r="BK150" s="21" t="s">
        <v>2694</v>
      </c>
      <c r="BL150" s="21">
        <f>11000+39000</f>
        <v>50000</v>
      </c>
      <c r="BM150" s="21">
        <f t="shared" si="26"/>
        <v>45011</v>
      </c>
      <c r="BN150" s="25">
        <v>45503</v>
      </c>
      <c r="BO150" s="21"/>
      <c r="BP150" s="21" t="s">
        <v>2253</v>
      </c>
      <c r="BQ150" s="21" t="s">
        <v>2253</v>
      </c>
      <c r="BR150" s="21" t="s">
        <v>2253</v>
      </c>
      <c r="BS150" s="21" t="s">
        <v>2472</v>
      </c>
      <c r="BT150" s="21"/>
      <c r="BU150" s="26"/>
      <c r="BV150" s="27"/>
      <c r="BW150" s="27"/>
      <c r="BX150" s="27">
        <v>0</v>
      </c>
      <c r="BY150" s="27">
        <v>0</v>
      </c>
      <c r="BZ150" s="27">
        <v>0</v>
      </c>
      <c r="CA150" s="27" t="str">
        <f t="shared" si="27"/>
        <v>NO</v>
      </c>
      <c r="CB150" s="27"/>
      <c r="CC150" s="27"/>
      <c r="CD150" s="27"/>
      <c r="CE150" s="27"/>
      <c r="CF150" s="27"/>
      <c r="CG150" s="28"/>
    </row>
    <row r="151" spans="1:85" s="20" customFormat="1" ht="15.75" hidden="1" customHeight="1" x14ac:dyDescent="0.3">
      <c r="A151" s="21">
        <v>161</v>
      </c>
      <c r="B151" s="22" t="s">
        <v>2827</v>
      </c>
      <c r="C151" s="22" t="s">
        <v>1991</v>
      </c>
      <c r="D151" s="23" t="s">
        <v>2828</v>
      </c>
      <c r="E151" s="24">
        <v>45472</v>
      </c>
      <c r="F151" s="24">
        <v>45473</v>
      </c>
      <c r="G151" s="22" t="s">
        <v>1844</v>
      </c>
      <c r="H151" s="22" t="s">
        <v>1844</v>
      </c>
      <c r="I151" s="22" t="s">
        <v>2249</v>
      </c>
      <c r="J151" s="22" t="s">
        <v>1989</v>
      </c>
      <c r="K151" s="22"/>
      <c r="L151" s="22"/>
      <c r="M151" s="24" t="s">
        <v>310</v>
      </c>
      <c r="N151" s="24" t="s">
        <v>310</v>
      </c>
      <c r="O151" s="22" t="s">
        <v>2326</v>
      </c>
      <c r="P151" s="22">
        <v>450000</v>
      </c>
      <c r="Q151" s="22" t="s">
        <v>406</v>
      </c>
      <c r="R151" s="22" t="s">
        <v>1844</v>
      </c>
      <c r="S151" s="21" t="s">
        <v>2431</v>
      </c>
      <c r="T151" s="8" t="s">
        <v>1893</v>
      </c>
      <c r="U151" s="8" t="s">
        <v>2432</v>
      </c>
      <c r="V151" s="21">
        <v>561000</v>
      </c>
      <c r="W151" s="21">
        <v>53351</v>
      </c>
      <c r="X151" s="21">
        <v>25000</v>
      </c>
      <c r="Y151" s="21">
        <v>0</v>
      </c>
      <c r="Z151" s="21">
        <v>0</v>
      </c>
      <c r="AA151" s="21" t="s">
        <v>2260</v>
      </c>
      <c r="AB151" s="21">
        <v>0</v>
      </c>
      <c r="AC151" s="21">
        <v>0</v>
      </c>
      <c r="AD151" s="21">
        <v>0</v>
      </c>
      <c r="AE151" s="21">
        <v>0</v>
      </c>
      <c r="AF151" s="21">
        <v>30000</v>
      </c>
      <c r="AG151" s="21">
        <v>0</v>
      </c>
      <c r="AH151" s="21">
        <v>0</v>
      </c>
      <c r="AI151" s="21">
        <v>0</v>
      </c>
      <c r="AJ151" s="21">
        <v>10000</v>
      </c>
      <c r="AK151" s="21">
        <v>0</v>
      </c>
      <c r="AL151" s="21">
        <v>0</v>
      </c>
      <c r="AM151" s="21">
        <v>0</v>
      </c>
      <c r="AN151" s="21">
        <v>0</v>
      </c>
      <c r="AO151" s="21">
        <v>0</v>
      </c>
      <c r="AP151" s="21">
        <v>0</v>
      </c>
      <c r="AQ151" s="21">
        <v>0</v>
      </c>
      <c r="AR151" s="21">
        <v>15000</v>
      </c>
      <c r="AS151" s="21">
        <v>0</v>
      </c>
      <c r="AT151" s="21">
        <v>0</v>
      </c>
      <c r="AU151" s="21">
        <v>0</v>
      </c>
      <c r="AV151" s="21">
        <v>0</v>
      </c>
      <c r="AW151" s="21"/>
      <c r="AX151" s="21">
        <v>19351</v>
      </c>
      <c r="AY151" s="21">
        <f t="shared" si="22"/>
        <v>17351</v>
      </c>
      <c r="AZ151" s="21">
        <f t="shared" si="23"/>
        <v>19351</v>
      </c>
      <c r="BA151" s="21">
        <f t="shared" si="24"/>
        <v>17351</v>
      </c>
      <c r="BB151" s="21">
        <v>0</v>
      </c>
      <c r="BC151" s="21">
        <v>2000</v>
      </c>
      <c r="BD151" s="21">
        <v>0</v>
      </c>
      <c r="BE151" s="21">
        <v>0</v>
      </c>
      <c r="BF151" s="21">
        <f t="shared" si="25"/>
        <v>625000</v>
      </c>
      <c r="BG151" s="21">
        <v>450000</v>
      </c>
      <c r="BH151" s="21" t="s">
        <v>39</v>
      </c>
      <c r="BI151" s="21" t="s">
        <v>2253</v>
      </c>
      <c r="BJ151" s="21" t="s">
        <v>2253</v>
      </c>
      <c r="BK151" s="21">
        <v>3427517</v>
      </c>
      <c r="BL151" s="21">
        <f>5000+170000</f>
        <v>175000</v>
      </c>
      <c r="BM151" s="21">
        <f t="shared" si="26"/>
        <v>0</v>
      </c>
      <c r="BN151" s="25"/>
      <c r="BO151" s="21"/>
      <c r="BP151" s="21"/>
      <c r="BQ151" s="21"/>
      <c r="BR151" s="21"/>
      <c r="BS151" s="21"/>
      <c r="BT151" s="21"/>
      <c r="BU151" s="26"/>
      <c r="BV151" s="27"/>
      <c r="BW151" s="27"/>
      <c r="BX151" s="27">
        <v>0</v>
      </c>
      <c r="BY151" s="27">
        <v>0</v>
      </c>
      <c r="BZ151" s="27">
        <v>0</v>
      </c>
      <c r="CA151" s="27" t="str">
        <f t="shared" si="27"/>
        <v>NO</v>
      </c>
      <c r="CB151" s="27"/>
      <c r="CC151" s="27"/>
      <c r="CD151" s="27"/>
      <c r="CE151" s="27"/>
      <c r="CF151" s="27"/>
      <c r="CG151" s="28"/>
    </row>
    <row r="152" spans="1:85" s="20" customFormat="1" ht="15.75" hidden="1" customHeight="1" x14ac:dyDescent="0.3">
      <c r="A152" s="21">
        <v>141</v>
      </c>
      <c r="B152" s="22" t="s">
        <v>2765</v>
      </c>
      <c r="C152" s="22">
        <v>824401</v>
      </c>
      <c r="D152" s="23" t="s">
        <v>2766</v>
      </c>
      <c r="E152" s="24">
        <v>45470</v>
      </c>
      <c r="F152" s="24">
        <v>45471</v>
      </c>
      <c r="G152" s="22" t="s">
        <v>2521</v>
      </c>
      <c r="H152" s="22" t="s">
        <v>2521</v>
      </c>
      <c r="I152" s="22" t="s">
        <v>2249</v>
      </c>
      <c r="J152" s="22" t="s">
        <v>2071</v>
      </c>
      <c r="K152" s="22"/>
      <c r="L152" s="22"/>
      <c r="M152" s="24" t="s">
        <v>2263</v>
      </c>
      <c r="N152" s="24" t="s">
        <v>2263</v>
      </c>
      <c r="O152" s="22" t="s">
        <v>2264</v>
      </c>
      <c r="P152" s="22">
        <v>1000000</v>
      </c>
      <c r="Q152" s="22" t="s">
        <v>2298</v>
      </c>
      <c r="R152" s="22" t="s">
        <v>2521</v>
      </c>
      <c r="S152" s="21" t="s">
        <v>2767</v>
      </c>
      <c r="T152" s="8" t="s">
        <v>1749</v>
      </c>
      <c r="U152" s="8" t="s">
        <v>2523</v>
      </c>
      <c r="V152" s="21">
        <v>1078885</v>
      </c>
      <c r="W152" s="21">
        <v>0</v>
      </c>
      <c r="X152" s="21">
        <v>34000</v>
      </c>
      <c r="Y152" s="21">
        <v>0</v>
      </c>
      <c r="Z152" s="21">
        <v>500</v>
      </c>
      <c r="AA152" s="21" t="s">
        <v>2253</v>
      </c>
      <c r="AB152" s="21">
        <v>5000</v>
      </c>
      <c r="AC152" s="21">
        <v>0</v>
      </c>
      <c r="AD152" s="21">
        <v>10789</v>
      </c>
      <c r="AE152" s="21">
        <v>0</v>
      </c>
      <c r="AF152" s="21">
        <v>6040</v>
      </c>
      <c r="AG152" s="21">
        <v>0</v>
      </c>
      <c r="AH152" s="21"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21">
        <v>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/>
      <c r="AX152" s="21">
        <v>0</v>
      </c>
      <c r="AY152" s="21">
        <f t="shared" si="22"/>
        <v>0</v>
      </c>
      <c r="AZ152" s="21">
        <f t="shared" si="23"/>
        <v>0</v>
      </c>
      <c r="BA152" s="21">
        <f t="shared" si="24"/>
        <v>0</v>
      </c>
      <c r="BB152" s="21">
        <v>0</v>
      </c>
      <c r="BC152" s="21">
        <v>0</v>
      </c>
      <c r="BD152" s="21">
        <v>0</v>
      </c>
      <c r="BE152" s="21">
        <v>0</v>
      </c>
      <c r="BF152" s="21">
        <f t="shared" si="25"/>
        <v>1135214</v>
      </c>
      <c r="BG152" s="21">
        <v>1000000</v>
      </c>
      <c r="BH152" s="21" t="s">
        <v>39</v>
      </c>
      <c r="BI152" s="21" t="s">
        <v>2253</v>
      </c>
      <c r="BJ152" s="21" t="s">
        <v>2253</v>
      </c>
      <c r="BK152" s="21" t="s">
        <v>2768</v>
      </c>
      <c r="BL152" s="21">
        <f>21000+20000+94214</f>
        <v>135214</v>
      </c>
      <c r="BM152" s="21">
        <f t="shared" si="26"/>
        <v>0</v>
      </c>
      <c r="BN152" s="25"/>
      <c r="BO152" s="21"/>
      <c r="BP152" s="21"/>
      <c r="BQ152" s="21"/>
      <c r="BR152" s="21"/>
      <c r="BS152" s="21"/>
      <c r="BT152" s="21"/>
      <c r="BU152" s="26"/>
      <c r="BV152" s="27"/>
      <c r="BW152" s="27"/>
      <c r="BX152" s="27">
        <v>0</v>
      </c>
      <c r="BY152" s="27">
        <v>0</v>
      </c>
      <c r="BZ152" s="27">
        <v>0</v>
      </c>
      <c r="CA152" s="27" t="str">
        <f t="shared" si="27"/>
        <v>NO</v>
      </c>
      <c r="CB152" s="27"/>
      <c r="CC152" s="27"/>
      <c r="CD152" s="27"/>
      <c r="CE152" s="27"/>
      <c r="CF152" s="27"/>
      <c r="CG152" s="28"/>
    </row>
    <row r="153" spans="1:85" s="20" customFormat="1" ht="15.75" hidden="1" customHeight="1" x14ac:dyDescent="0.3">
      <c r="A153" s="21">
        <v>25</v>
      </c>
      <c r="B153" s="22" t="s">
        <v>2374</v>
      </c>
      <c r="C153" s="22" t="s">
        <v>439</v>
      </c>
      <c r="D153" s="23" t="s">
        <v>2375</v>
      </c>
      <c r="E153" s="24">
        <v>45450</v>
      </c>
      <c r="F153" s="24">
        <v>45454</v>
      </c>
      <c r="G153" s="22" t="s">
        <v>393</v>
      </c>
      <c r="H153" s="22" t="s">
        <v>2376</v>
      </c>
      <c r="I153" s="22" t="s">
        <v>2249</v>
      </c>
      <c r="J153" s="22" t="s">
        <v>436</v>
      </c>
      <c r="K153" s="22"/>
      <c r="L153" s="22"/>
      <c r="M153" s="24" t="s">
        <v>2362</v>
      </c>
      <c r="N153" s="24" t="s">
        <v>2362</v>
      </c>
      <c r="O153" s="22" t="s">
        <v>2377</v>
      </c>
      <c r="P153" s="22">
        <v>580000</v>
      </c>
      <c r="Q153" s="22" t="s">
        <v>2251</v>
      </c>
      <c r="R153" s="22" t="s">
        <v>393</v>
      </c>
      <c r="S153" s="21" t="s">
        <v>2378</v>
      </c>
      <c r="T153" s="8" t="s">
        <v>440</v>
      </c>
      <c r="U153" s="8" t="s">
        <v>2312</v>
      </c>
      <c r="V153" s="21">
        <v>600385</v>
      </c>
      <c r="W153" s="21">
        <v>56351</v>
      </c>
      <c r="X153" s="21">
        <v>20000</v>
      </c>
      <c r="Y153" s="21">
        <v>9346</v>
      </c>
      <c r="Z153" s="21">
        <v>0</v>
      </c>
      <c r="AA153" s="21" t="s">
        <v>2253</v>
      </c>
      <c r="AB153" s="21">
        <v>0</v>
      </c>
      <c r="AC153" s="21">
        <v>0</v>
      </c>
      <c r="AD153" s="21">
        <v>0</v>
      </c>
      <c r="AE153" s="21">
        <v>0</v>
      </c>
      <c r="AF153" s="21">
        <v>31450</v>
      </c>
      <c r="AG153" s="21">
        <v>0</v>
      </c>
      <c r="AH153" s="21">
        <v>0</v>
      </c>
      <c r="AI153" s="21">
        <v>0</v>
      </c>
      <c r="AJ153" s="21">
        <v>10000</v>
      </c>
      <c r="AK153" s="21">
        <v>0</v>
      </c>
      <c r="AL153" s="21">
        <v>0</v>
      </c>
      <c r="AM153" s="21">
        <v>0</v>
      </c>
      <c r="AN153" s="21">
        <v>0</v>
      </c>
      <c r="AO153" s="21">
        <v>0</v>
      </c>
      <c r="AP153" s="21">
        <v>0</v>
      </c>
      <c r="AQ153" s="21">
        <v>0</v>
      </c>
      <c r="AR153" s="21">
        <v>25000</v>
      </c>
      <c r="AS153" s="21">
        <v>0</v>
      </c>
      <c r="AT153" s="21">
        <v>0</v>
      </c>
      <c r="AU153" s="21">
        <v>0</v>
      </c>
      <c r="AV153" s="21">
        <v>0</v>
      </c>
      <c r="AW153" s="21"/>
      <c r="AX153" s="21">
        <v>21532</v>
      </c>
      <c r="AY153" s="21">
        <f t="shared" si="22"/>
        <v>19532</v>
      </c>
      <c r="AZ153" s="21">
        <f t="shared" si="23"/>
        <v>21532</v>
      </c>
      <c r="BA153" s="21">
        <f t="shared" si="24"/>
        <v>19532</v>
      </c>
      <c r="BB153" s="21">
        <v>0</v>
      </c>
      <c r="BC153" s="21">
        <v>2000</v>
      </c>
      <c r="BD153" s="21">
        <v>0</v>
      </c>
      <c r="BE153" s="21">
        <v>0</v>
      </c>
      <c r="BF153" s="21">
        <f t="shared" si="25"/>
        <v>661000</v>
      </c>
      <c r="BG153" s="21">
        <v>559063</v>
      </c>
      <c r="BH153" s="21" t="s">
        <v>39</v>
      </c>
      <c r="BI153" s="21" t="s">
        <v>2253</v>
      </c>
      <c r="BJ153" s="21" t="s">
        <v>2253</v>
      </c>
      <c r="BK153" s="21">
        <v>1224406</v>
      </c>
      <c r="BL153" s="21">
        <f>50000+52000</f>
        <v>102000</v>
      </c>
      <c r="BM153" s="21">
        <f t="shared" si="26"/>
        <v>-63</v>
      </c>
      <c r="BN153" s="25"/>
      <c r="BO153" s="21"/>
      <c r="BP153" s="21"/>
      <c r="BQ153" s="21"/>
      <c r="BR153" s="21"/>
      <c r="BS153" s="21"/>
      <c r="BT153" s="21"/>
      <c r="BU153" s="26"/>
      <c r="BV153" s="27"/>
      <c r="BW153" s="27"/>
      <c r="BX153" s="27">
        <v>0</v>
      </c>
      <c r="BY153" s="27">
        <v>0</v>
      </c>
      <c r="BZ153" s="27">
        <v>0</v>
      </c>
      <c r="CA153" s="27" t="str">
        <f t="shared" si="27"/>
        <v>NO</v>
      </c>
      <c r="CB153" s="27"/>
      <c r="CC153" s="27"/>
      <c r="CD153" s="27"/>
      <c r="CE153" s="27"/>
      <c r="CF153" s="27"/>
      <c r="CG153" s="28"/>
    </row>
    <row r="154" spans="1:85" s="20" customFormat="1" ht="15.75" hidden="1" customHeight="1" x14ac:dyDescent="0.3">
      <c r="A154" s="21">
        <v>59</v>
      </c>
      <c r="B154" s="22" t="s">
        <v>2494</v>
      </c>
      <c r="C154" s="22" t="s">
        <v>502</v>
      </c>
      <c r="D154" s="23" t="s">
        <v>2495</v>
      </c>
      <c r="E154" s="24">
        <v>45456</v>
      </c>
      <c r="F154" s="24">
        <v>45462</v>
      </c>
      <c r="G154" s="22" t="s">
        <v>393</v>
      </c>
      <c r="H154" s="22" t="s">
        <v>393</v>
      </c>
      <c r="I154" s="22" t="s">
        <v>2249</v>
      </c>
      <c r="J154" s="22" t="s">
        <v>2496</v>
      </c>
      <c r="K154" s="22"/>
      <c r="L154" s="22"/>
      <c r="M154" s="24" t="s">
        <v>310</v>
      </c>
      <c r="N154" s="24" t="s">
        <v>310</v>
      </c>
      <c r="O154" s="22" t="s">
        <v>2497</v>
      </c>
      <c r="P154" s="22">
        <v>520000</v>
      </c>
      <c r="Q154" s="22" t="s">
        <v>2251</v>
      </c>
      <c r="R154" s="22" t="s">
        <v>393</v>
      </c>
      <c r="S154" s="21" t="s">
        <v>2378</v>
      </c>
      <c r="T154" s="8" t="s">
        <v>440</v>
      </c>
      <c r="U154" s="8" t="s">
        <v>2312</v>
      </c>
      <c r="V154" s="21">
        <v>561885</v>
      </c>
      <c r="W154" s="21">
        <v>53351</v>
      </c>
      <c r="X154" s="21">
        <v>25000</v>
      </c>
      <c r="Y154" s="21">
        <v>8744</v>
      </c>
      <c r="Z154" s="21">
        <v>0</v>
      </c>
      <c r="AA154" s="21" t="s">
        <v>2253</v>
      </c>
      <c r="AB154" s="21">
        <v>0</v>
      </c>
      <c r="AC154" s="21">
        <v>0</v>
      </c>
      <c r="AD154" s="21">
        <v>0</v>
      </c>
      <c r="AE154" s="21">
        <v>0</v>
      </c>
      <c r="AF154" s="21">
        <v>31700</v>
      </c>
      <c r="AG154" s="21">
        <v>0</v>
      </c>
      <c r="AH154" s="21">
        <v>0</v>
      </c>
      <c r="AI154" s="21">
        <v>0</v>
      </c>
      <c r="AJ154" s="21">
        <v>10000</v>
      </c>
      <c r="AK154" s="21">
        <v>0</v>
      </c>
      <c r="AL154" s="21">
        <v>0</v>
      </c>
      <c r="AM154" s="21">
        <v>0</v>
      </c>
      <c r="AN154" s="21">
        <v>0</v>
      </c>
      <c r="AO154" s="21">
        <v>0</v>
      </c>
      <c r="AP154" s="21">
        <v>0</v>
      </c>
      <c r="AQ154" s="21">
        <v>0</v>
      </c>
      <c r="AR154" s="21">
        <v>15000</v>
      </c>
      <c r="AS154" s="21">
        <v>0</v>
      </c>
      <c r="AT154" s="21">
        <v>0</v>
      </c>
      <c r="AU154" s="21">
        <v>0</v>
      </c>
      <c r="AV154" s="21">
        <v>0</v>
      </c>
      <c r="AW154" s="21"/>
      <c r="AX154" s="21">
        <v>13680</v>
      </c>
      <c r="AY154" s="21">
        <f t="shared" si="22"/>
        <v>11680</v>
      </c>
      <c r="AZ154" s="21">
        <f t="shared" si="23"/>
        <v>13680</v>
      </c>
      <c r="BA154" s="21">
        <f t="shared" si="24"/>
        <v>11680</v>
      </c>
      <c r="BB154" s="21">
        <v>0</v>
      </c>
      <c r="BC154" s="21">
        <v>2000</v>
      </c>
      <c r="BD154" s="21">
        <v>0</v>
      </c>
      <c r="BE154" s="21">
        <v>0</v>
      </c>
      <c r="BF154" s="21">
        <f t="shared" si="25"/>
        <v>642000</v>
      </c>
      <c r="BG154" s="21">
        <v>501986</v>
      </c>
      <c r="BH154" s="21" t="s">
        <v>39</v>
      </c>
      <c r="BI154" s="21" t="s">
        <v>2253</v>
      </c>
      <c r="BJ154" s="21" t="s">
        <v>2253</v>
      </c>
      <c r="BK154" s="21">
        <v>1308217</v>
      </c>
      <c r="BL154" s="21">
        <f>5100+134900</f>
        <v>140000</v>
      </c>
      <c r="BM154" s="21">
        <f t="shared" si="26"/>
        <v>14</v>
      </c>
      <c r="BN154" s="25"/>
      <c r="BO154" s="21"/>
      <c r="BP154" s="21"/>
      <c r="BQ154" s="21"/>
      <c r="BR154" s="21"/>
      <c r="BS154" s="21"/>
      <c r="BT154" s="21"/>
      <c r="BU154" s="26"/>
      <c r="BV154" s="27"/>
      <c r="BW154" s="27"/>
      <c r="BX154" s="27">
        <v>0</v>
      </c>
      <c r="BY154" s="27">
        <v>0</v>
      </c>
      <c r="BZ154" s="27">
        <v>0</v>
      </c>
      <c r="CA154" s="27" t="str">
        <f t="shared" si="27"/>
        <v>NO</v>
      </c>
      <c r="CB154" s="27"/>
      <c r="CC154" s="27"/>
      <c r="CD154" s="27"/>
      <c r="CE154" s="27"/>
      <c r="CF154" s="27"/>
      <c r="CG154" s="28"/>
    </row>
    <row r="155" spans="1:85" s="20" customFormat="1" ht="15.75" hidden="1" customHeight="1" x14ac:dyDescent="0.3">
      <c r="A155" s="21">
        <v>107</v>
      </c>
      <c r="B155" s="22" t="s">
        <v>2652</v>
      </c>
      <c r="C155" s="22">
        <v>809282</v>
      </c>
      <c r="D155" s="23" t="s">
        <v>2653</v>
      </c>
      <c r="E155" s="24">
        <v>45464</v>
      </c>
      <c r="F155" s="24">
        <v>45467</v>
      </c>
      <c r="G155" s="22" t="s">
        <v>393</v>
      </c>
      <c r="H155" s="22" t="s">
        <v>393</v>
      </c>
      <c r="I155" s="22" t="s">
        <v>2249</v>
      </c>
      <c r="J155" s="22" t="s">
        <v>542</v>
      </c>
      <c r="K155" s="22"/>
      <c r="L155" s="22"/>
      <c r="M155" s="24" t="s">
        <v>2263</v>
      </c>
      <c r="N155" s="24" t="s">
        <v>2263</v>
      </c>
      <c r="O155" s="22" t="s">
        <v>2321</v>
      </c>
      <c r="P155" s="22">
        <v>933000</v>
      </c>
      <c r="Q155" s="22" t="s">
        <v>2251</v>
      </c>
      <c r="R155" s="22" t="s">
        <v>393</v>
      </c>
      <c r="S155" s="21" t="s">
        <v>2378</v>
      </c>
      <c r="T155" s="8" t="s">
        <v>440</v>
      </c>
      <c r="U155" s="8" t="s">
        <v>2312</v>
      </c>
      <c r="V155" s="21">
        <v>983885</v>
      </c>
      <c r="W155" s="21">
        <v>86811</v>
      </c>
      <c r="X155" s="21">
        <v>33000</v>
      </c>
      <c r="Y155" s="21">
        <v>16709</v>
      </c>
      <c r="Z155" s="21">
        <v>0</v>
      </c>
      <c r="AA155" s="21" t="s">
        <v>2253</v>
      </c>
      <c r="AB155" s="21">
        <v>0</v>
      </c>
      <c r="AC155" s="21">
        <v>0</v>
      </c>
      <c r="AD155" s="21">
        <v>0</v>
      </c>
      <c r="AE155" s="21">
        <v>0</v>
      </c>
      <c r="AF155" s="21">
        <v>40000</v>
      </c>
      <c r="AG155" s="21">
        <v>0</v>
      </c>
      <c r="AH155" s="21">
        <v>0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21">
        <v>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</v>
      </c>
      <c r="AU155" s="21">
        <v>0</v>
      </c>
      <c r="AV155" s="21">
        <v>0</v>
      </c>
      <c r="AW155" s="21"/>
      <c r="AX155" s="21">
        <v>4305</v>
      </c>
      <c r="AY155" s="21">
        <f t="shared" si="22"/>
        <v>2305</v>
      </c>
      <c r="AZ155" s="21">
        <f t="shared" si="23"/>
        <v>4305</v>
      </c>
      <c r="BA155" s="21">
        <f t="shared" si="24"/>
        <v>2305</v>
      </c>
      <c r="BB155" s="21">
        <v>0</v>
      </c>
      <c r="BC155" s="21">
        <v>2000</v>
      </c>
      <c r="BD155" s="21">
        <v>0</v>
      </c>
      <c r="BE155" s="21">
        <v>0</v>
      </c>
      <c r="BF155" s="21">
        <f t="shared" si="25"/>
        <v>1156100</v>
      </c>
      <c r="BG155" s="21">
        <v>898577</v>
      </c>
      <c r="BH155" s="21" t="s">
        <v>39</v>
      </c>
      <c r="BI155" s="21" t="s">
        <v>2253</v>
      </c>
      <c r="BJ155" s="21" t="s">
        <v>2253</v>
      </c>
      <c r="BK155" s="29">
        <v>1307516</v>
      </c>
      <c r="BL155" s="21">
        <f>5100+199000</f>
        <v>204100</v>
      </c>
      <c r="BM155" s="21">
        <f t="shared" si="26"/>
        <v>53423</v>
      </c>
      <c r="BN155" s="25">
        <v>45468</v>
      </c>
      <c r="BO155" s="21"/>
      <c r="BP155" s="21"/>
      <c r="BQ155" s="21"/>
      <c r="BR155" s="21"/>
      <c r="BS155" s="21"/>
      <c r="BT155" s="21"/>
      <c r="BU155" s="26"/>
      <c r="BV155" s="27"/>
      <c r="BW155" s="27"/>
      <c r="BX155" s="27">
        <v>0</v>
      </c>
      <c r="BY155" s="27">
        <v>0</v>
      </c>
      <c r="BZ155" s="27">
        <v>0</v>
      </c>
      <c r="CA155" s="27" t="str">
        <f t="shared" si="27"/>
        <v>NO</v>
      </c>
      <c r="CB155" s="27"/>
      <c r="CC155" s="27"/>
      <c r="CD155" s="27"/>
      <c r="CE155" s="27"/>
      <c r="CF155" s="27"/>
      <c r="CG155" s="28"/>
    </row>
    <row r="156" spans="1:85" s="20" customFormat="1" ht="15.75" hidden="1" customHeight="1" x14ac:dyDescent="0.3">
      <c r="A156" s="21">
        <v>130</v>
      </c>
      <c r="B156" s="22" t="s">
        <v>2729</v>
      </c>
      <c r="C156" s="22" t="s">
        <v>583</v>
      </c>
      <c r="D156" s="23" t="s">
        <v>2730</v>
      </c>
      <c r="E156" s="24">
        <v>45468</v>
      </c>
      <c r="F156" s="24">
        <v>45472</v>
      </c>
      <c r="G156" s="22" t="s">
        <v>393</v>
      </c>
      <c r="H156" s="22" t="s">
        <v>393</v>
      </c>
      <c r="I156" s="22" t="s">
        <v>2249</v>
      </c>
      <c r="J156" s="22" t="s">
        <v>581</v>
      </c>
      <c r="K156" s="22"/>
      <c r="L156" s="22"/>
      <c r="M156" s="24" t="s">
        <v>2362</v>
      </c>
      <c r="N156" s="24" t="s">
        <v>2362</v>
      </c>
      <c r="O156" s="22" t="s">
        <v>2321</v>
      </c>
      <c r="P156" s="22">
        <v>609000</v>
      </c>
      <c r="Q156" s="22" t="s">
        <v>2284</v>
      </c>
      <c r="R156" s="22" t="s">
        <v>437</v>
      </c>
      <c r="S156" s="21" t="s">
        <v>2378</v>
      </c>
      <c r="T156" s="8" t="s">
        <v>440</v>
      </c>
      <c r="U156" s="8" t="s">
        <v>2312</v>
      </c>
      <c r="V156" s="21">
        <v>600385</v>
      </c>
      <c r="W156" s="21">
        <v>56531</v>
      </c>
      <c r="X156" s="21">
        <v>20000</v>
      </c>
      <c r="Y156" s="21">
        <v>9346</v>
      </c>
      <c r="Z156" s="21">
        <v>0</v>
      </c>
      <c r="AA156" s="21" t="s">
        <v>2253</v>
      </c>
      <c r="AB156" s="21">
        <v>0</v>
      </c>
      <c r="AC156" s="21">
        <v>0</v>
      </c>
      <c r="AD156" s="21">
        <v>0</v>
      </c>
      <c r="AE156" s="21">
        <v>0</v>
      </c>
      <c r="AF156" s="21">
        <v>20000</v>
      </c>
      <c r="AG156" s="21">
        <v>0</v>
      </c>
      <c r="AH156" s="21">
        <v>0</v>
      </c>
      <c r="AI156" s="21">
        <v>0</v>
      </c>
      <c r="AJ156" s="21">
        <v>10000</v>
      </c>
      <c r="AK156" s="21">
        <v>0</v>
      </c>
      <c r="AL156" s="21">
        <v>0</v>
      </c>
      <c r="AM156" s="21">
        <v>0</v>
      </c>
      <c r="AN156" s="21">
        <v>0</v>
      </c>
      <c r="AO156" s="21">
        <v>0</v>
      </c>
      <c r="AP156" s="21">
        <v>0</v>
      </c>
      <c r="AQ156" s="21">
        <v>0</v>
      </c>
      <c r="AR156" s="21">
        <f>25000</f>
        <v>25000</v>
      </c>
      <c r="AS156" s="21">
        <v>10000</v>
      </c>
      <c r="AT156" s="21">
        <v>0</v>
      </c>
      <c r="AU156" s="21">
        <v>0</v>
      </c>
      <c r="AV156" s="21">
        <v>0</v>
      </c>
      <c r="AW156" s="21"/>
      <c r="AX156" s="29">
        <f>30000+5000</f>
        <v>35000</v>
      </c>
      <c r="AY156" s="21">
        <f t="shared" si="22"/>
        <v>33000</v>
      </c>
      <c r="AZ156" s="21">
        <f t="shared" si="23"/>
        <v>35000</v>
      </c>
      <c r="BA156" s="21">
        <f t="shared" si="24"/>
        <v>33000</v>
      </c>
      <c r="BB156" s="21">
        <v>0</v>
      </c>
      <c r="BC156" s="21">
        <v>2000</v>
      </c>
      <c r="BD156" s="21">
        <v>0</v>
      </c>
      <c r="BE156" s="21">
        <v>0</v>
      </c>
      <c r="BF156" s="21">
        <f t="shared" si="25"/>
        <v>626262</v>
      </c>
      <c r="BG156" s="21">
        <v>609000</v>
      </c>
      <c r="BH156" s="21" t="s">
        <v>2287</v>
      </c>
      <c r="BI156" s="21" t="s">
        <v>2253</v>
      </c>
      <c r="BJ156" s="21" t="s">
        <v>2253</v>
      </c>
      <c r="BK156" s="21">
        <v>0</v>
      </c>
      <c r="BL156" s="21">
        <v>1100</v>
      </c>
      <c r="BM156" s="21">
        <f t="shared" si="26"/>
        <v>16162</v>
      </c>
      <c r="BN156" s="25" t="s">
        <v>2731</v>
      </c>
      <c r="BO156" s="21"/>
      <c r="BP156" s="21"/>
      <c r="BQ156" s="21"/>
      <c r="BR156" s="21"/>
      <c r="BS156" s="21"/>
      <c r="BT156" s="21"/>
      <c r="BU156" s="26"/>
      <c r="BV156" s="27"/>
      <c r="BW156" s="27"/>
      <c r="BX156" s="27">
        <v>0</v>
      </c>
      <c r="BY156" s="27">
        <v>0</v>
      </c>
      <c r="BZ156" s="27">
        <v>0</v>
      </c>
      <c r="CA156" s="27" t="str">
        <f t="shared" si="27"/>
        <v>NO</v>
      </c>
      <c r="CB156" s="27"/>
      <c r="CC156" s="27"/>
      <c r="CD156" s="27"/>
      <c r="CE156" s="27"/>
      <c r="CF156" s="27"/>
      <c r="CG156" s="28"/>
    </row>
    <row r="157" spans="1:85" s="20" customFormat="1" ht="15.75" hidden="1" customHeight="1" x14ac:dyDescent="0.3">
      <c r="A157" s="21">
        <v>37</v>
      </c>
      <c r="B157" s="22" t="s">
        <v>2418</v>
      </c>
      <c r="C157" s="22" t="s">
        <v>2104</v>
      </c>
      <c r="D157" s="23" t="s">
        <v>2419</v>
      </c>
      <c r="E157" s="24">
        <v>45452</v>
      </c>
      <c r="F157" s="24">
        <v>45455</v>
      </c>
      <c r="G157" s="22" t="s">
        <v>2283</v>
      </c>
      <c r="H157" s="22" t="s">
        <v>2283</v>
      </c>
      <c r="I157" s="22" t="s">
        <v>2249</v>
      </c>
      <c r="J157" s="22" t="s">
        <v>2102</v>
      </c>
      <c r="K157" s="22"/>
      <c r="L157" s="22"/>
      <c r="M157" s="24" t="s">
        <v>310</v>
      </c>
      <c r="N157" s="24" t="s">
        <v>310</v>
      </c>
      <c r="O157" s="22" t="s">
        <v>2333</v>
      </c>
      <c r="P157" s="22">
        <v>570000</v>
      </c>
      <c r="Q157" s="22" t="s">
        <v>2271</v>
      </c>
      <c r="R157" s="22" t="s">
        <v>2283</v>
      </c>
      <c r="S157" s="140" t="s">
        <v>2420</v>
      </c>
      <c r="T157" s="8" t="s">
        <v>1879</v>
      </c>
      <c r="U157" s="8" t="s">
        <v>2286</v>
      </c>
      <c r="V157" s="21">
        <v>561000</v>
      </c>
      <c r="W157" s="21">
        <v>53351</v>
      </c>
      <c r="X157" s="21">
        <v>25000</v>
      </c>
      <c r="Y157" s="21">
        <v>0</v>
      </c>
      <c r="Z157" s="21">
        <v>0</v>
      </c>
      <c r="AA157" s="21" t="s">
        <v>2260</v>
      </c>
      <c r="AB157" s="21">
        <v>0</v>
      </c>
      <c r="AC157" s="21">
        <v>0</v>
      </c>
      <c r="AD157" s="21">
        <v>0</v>
      </c>
      <c r="AE157" s="21">
        <v>0</v>
      </c>
      <c r="AF157" s="21">
        <v>24500</v>
      </c>
      <c r="AG157" s="21">
        <v>0</v>
      </c>
      <c r="AH157" s="21">
        <v>0</v>
      </c>
      <c r="AI157" s="21">
        <v>0</v>
      </c>
      <c r="AJ157" s="21">
        <v>10000</v>
      </c>
      <c r="AK157" s="21">
        <v>0</v>
      </c>
      <c r="AL157" s="21">
        <v>0</v>
      </c>
      <c r="AM157" s="21">
        <v>0</v>
      </c>
      <c r="AN157" s="21">
        <v>0</v>
      </c>
      <c r="AO157" s="21">
        <v>0</v>
      </c>
      <c r="AP157" s="21">
        <v>0</v>
      </c>
      <c r="AQ157" s="21">
        <v>3100</v>
      </c>
      <c r="AR157" s="21">
        <v>15000</v>
      </c>
      <c r="AS157" s="21">
        <v>0</v>
      </c>
      <c r="AT157" s="21">
        <v>0</v>
      </c>
      <c r="AU157" s="21">
        <v>0</v>
      </c>
      <c r="AV157" s="21">
        <v>0</v>
      </c>
      <c r="AW157" s="21"/>
      <c r="AX157" s="21">
        <v>12000</v>
      </c>
      <c r="AY157" s="21">
        <f t="shared" si="22"/>
        <v>10000</v>
      </c>
      <c r="AZ157" s="21">
        <f t="shared" si="23"/>
        <v>12000</v>
      </c>
      <c r="BA157" s="21">
        <f t="shared" si="24"/>
        <v>10000</v>
      </c>
      <c r="BB157" s="21">
        <v>0</v>
      </c>
      <c r="BC157" s="21">
        <v>2000</v>
      </c>
      <c r="BD157" s="21">
        <v>0</v>
      </c>
      <c r="BE157" s="21">
        <v>0</v>
      </c>
      <c r="BF157" s="21">
        <f t="shared" si="25"/>
        <v>623751</v>
      </c>
      <c r="BG157" s="21">
        <v>550641</v>
      </c>
      <c r="BH157" s="21" t="s">
        <v>39</v>
      </c>
      <c r="BI157" s="21" t="s">
        <v>2253</v>
      </c>
      <c r="BJ157" s="21" t="s">
        <v>2253</v>
      </c>
      <c r="BK157" s="21">
        <v>13391044</v>
      </c>
      <c r="BL157" s="21">
        <f>10000+28151</f>
        <v>38151</v>
      </c>
      <c r="BM157" s="21">
        <f t="shared" si="26"/>
        <v>34959</v>
      </c>
      <c r="BN157" s="25">
        <v>45463</v>
      </c>
      <c r="BO157" s="21"/>
      <c r="BP157" s="21"/>
      <c r="BQ157" s="21"/>
      <c r="BR157" s="21"/>
      <c r="BS157" s="21"/>
      <c r="BT157" s="21"/>
      <c r="BU157" s="26"/>
      <c r="BV157" s="27"/>
      <c r="BW157" s="27"/>
      <c r="BX157" s="27">
        <v>0</v>
      </c>
      <c r="BY157" s="27">
        <v>0</v>
      </c>
      <c r="BZ157" s="27">
        <v>0</v>
      </c>
      <c r="CA157" s="27" t="str">
        <f t="shared" si="27"/>
        <v>NO</v>
      </c>
      <c r="CB157" s="27"/>
      <c r="CC157" s="27"/>
      <c r="CD157" s="27"/>
      <c r="CE157" s="27"/>
      <c r="CF157" s="27"/>
      <c r="CG157" s="28"/>
    </row>
    <row r="158" spans="1:85" s="20" customFormat="1" ht="15.75" hidden="1" customHeight="1" x14ac:dyDescent="0.3">
      <c r="A158" s="21">
        <v>103</v>
      </c>
      <c r="B158" s="22" t="s">
        <v>2642</v>
      </c>
      <c r="C158" s="22" t="s">
        <v>2133</v>
      </c>
      <c r="D158" s="23" t="s">
        <v>2643</v>
      </c>
      <c r="E158" s="24">
        <v>45464</v>
      </c>
      <c r="F158" s="24">
        <v>45468</v>
      </c>
      <c r="G158" s="22" t="s">
        <v>2283</v>
      </c>
      <c r="H158" s="22" t="s">
        <v>2283</v>
      </c>
      <c r="I158" s="22" t="s">
        <v>2249</v>
      </c>
      <c r="J158" s="22" t="s">
        <v>2131</v>
      </c>
      <c r="K158" s="22"/>
      <c r="L158" s="22"/>
      <c r="M158" s="24" t="s">
        <v>2362</v>
      </c>
      <c r="N158" s="24" t="s">
        <v>2362</v>
      </c>
      <c r="O158" s="22" t="s">
        <v>2321</v>
      </c>
      <c r="P158" s="22">
        <v>540000</v>
      </c>
      <c r="Q158" s="22" t="s">
        <v>2251</v>
      </c>
      <c r="R158" s="22" t="s">
        <v>393</v>
      </c>
      <c r="S158" s="21" t="s">
        <v>2420</v>
      </c>
      <c r="T158" s="8" t="s">
        <v>1879</v>
      </c>
      <c r="U158" s="8" t="s">
        <v>2286</v>
      </c>
      <c r="V158" s="21">
        <v>600385</v>
      </c>
      <c r="W158" s="21">
        <v>56531</v>
      </c>
      <c r="X158" s="21">
        <v>19000</v>
      </c>
      <c r="Y158" s="21">
        <v>0</v>
      </c>
      <c r="Z158" s="21">
        <v>0</v>
      </c>
      <c r="AA158" s="21" t="s">
        <v>2253</v>
      </c>
      <c r="AB158" s="21">
        <v>0</v>
      </c>
      <c r="AC158" s="21">
        <v>0</v>
      </c>
      <c r="AD158" s="21">
        <v>0</v>
      </c>
      <c r="AE158" s="21">
        <v>0</v>
      </c>
      <c r="AF158" s="21">
        <v>30000</v>
      </c>
      <c r="AG158" s="21">
        <v>0</v>
      </c>
      <c r="AH158" s="21">
        <v>0</v>
      </c>
      <c r="AI158" s="21">
        <v>0</v>
      </c>
      <c r="AJ158" s="21">
        <v>10000</v>
      </c>
      <c r="AK158" s="21">
        <v>0</v>
      </c>
      <c r="AL158" s="21">
        <v>0</v>
      </c>
      <c r="AM158" s="21">
        <v>0</v>
      </c>
      <c r="AN158" s="21">
        <v>0</v>
      </c>
      <c r="AO158" s="21">
        <v>0</v>
      </c>
      <c r="AP158" s="21">
        <v>0</v>
      </c>
      <c r="AQ158" s="21">
        <v>3100</v>
      </c>
      <c r="AR158" s="21">
        <v>25000</v>
      </c>
      <c r="AS158" s="21">
        <v>0</v>
      </c>
      <c r="AT158" s="21">
        <v>0</v>
      </c>
      <c r="AU158" s="21">
        <v>1500</v>
      </c>
      <c r="AV158" s="21">
        <v>0</v>
      </c>
      <c r="AW158" s="21"/>
      <c r="AX158" s="21">
        <v>24000</v>
      </c>
      <c r="AY158" s="21">
        <f t="shared" si="22"/>
        <v>23500</v>
      </c>
      <c r="AZ158" s="21">
        <f t="shared" si="23"/>
        <v>25500</v>
      </c>
      <c r="BA158" s="21">
        <f t="shared" si="24"/>
        <v>23500</v>
      </c>
      <c r="BB158" s="21">
        <v>0</v>
      </c>
      <c r="BC158" s="21">
        <v>2000</v>
      </c>
      <c r="BD158" s="21">
        <v>0</v>
      </c>
      <c r="BE158" s="21">
        <v>0</v>
      </c>
      <c r="BF158" s="21">
        <f t="shared" si="25"/>
        <v>642316</v>
      </c>
      <c r="BG158" s="21">
        <v>523293</v>
      </c>
      <c r="BH158" s="21" t="s">
        <v>39</v>
      </c>
      <c r="BI158" s="21" t="s">
        <v>2253</v>
      </c>
      <c r="BJ158" s="21" t="s">
        <v>2253</v>
      </c>
      <c r="BK158" s="29">
        <v>1337777</v>
      </c>
      <c r="BL158" s="21">
        <f>2000+71023</f>
        <v>73023</v>
      </c>
      <c r="BM158" s="21">
        <f t="shared" si="26"/>
        <v>46000</v>
      </c>
      <c r="BN158" s="25">
        <v>45465</v>
      </c>
      <c r="BO158" s="21"/>
      <c r="BP158" s="21"/>
      <c r="BQ158" s="21"/>
      <c r="BR158" s="21"/>
      <c r="BS158" s="21"/>
      <c r="BT158" s="21"/>
      <c r="BU158" s="26"/>
      <c r="BV158" s="27"/>
      <c r="BW158" s="27"/>
      <c r="BX158" s="27">
        <v>0</v>
      </c>
      <c r="BY158" s="27">
        <v>0</v>
      </c>
      <c r="BZ158" s="27">
        <v>0</v>
      </c>
      <c r="CA158" s="27" t="str">
        <f t="shared" si="27"/>
        <v>NO</v>
      </c>
      <c r="CB158" s="27"/>
      <c r="CC158" s="27"/>
      <c r="CD158" s="27"/>
      <c r="CE158" s="27"/>
      <c r="CF158" s="27"/>
      <c r="CG158" s="28"/>
    </row>
    <row r="159" spans="1:85" s="20" customFormat="1" ht="15.75" hidden="1" customHeight="1" x14ac:dyDescent="0.3">
      <c r="A159" s="21">
        <v>113</v>
      </c>
      <c r="B159" s="22" t="s">
        <v>2674</v>
      </c>
      <c r="C159" s="22">
        <v>801932</v>
      </c>
      <c r="D159" s="23" t="s">
        <v>2675</v>
      </c>
      <c r="E159" s="24">
        <v>45466</v>
      </c>
      <c r="F159" s="24">
        <v>45467</v>
      </c>
      <c r="G159" s="22" t="s">
        <v>2283</v>
      </c>
      <c r="H159" s="22" t="s">
        <v>2283</v>
      </c>
      <c r="I159" s="22" t="s">
        <v>2249</v>
      </c>
      <c r="J159" s="22" t="s">
        <v>2676</v>
      </c>
      <c r="K159" s="22"/>
      <c r="L159" s="22"/>
      <c r="M159" s="24" t="s">
        <v>2263</v>
      </c>
      <c r="N159" s="24" t="s">
        <v>2263</v>
      </c>
      <c r="O159" s="22" t="s">
        <v>2677</v>
      </c>
      <c r="P159" s="22">
        <v>1353211</v>
      </c>
      <c r="Q159" s="22" t="s">
        <v>2678</v>
      </c>
      <c r="R159" s="22" t="s">
        <v>2283</v>
      </c>
      <c r="S159" s="21" t="s">
        <v>2420</v>
      </c>
      <c r="T159" s="8" t="s">
        <v>1879</v>
      </c>
      <c r="U159" s="8" t="s">
        <v>2286</v>
      </c>
      <c r="V159" s="21">
        <v>1188000</v>
      </c>
      <c r="W159" s="21">
        <v>126988</v>
      </c>
      <c r="X159" s="21">
        <v>36000</v>
      </c>
      <c r="Y159" s="21">
        <v>20190</v>
      </c>
      <c r="Z159" s="21">
        <v>0</v>
      </c>
      <c r="AA159" s="21" t="s">
        <v>2260</v>
      </c>
      <c r="AB159" s="21">
        <v>0</v>
      </c>
      <c r="AC159" s="21">
        <v>0</v>
      </c>
      <c r="AD159" s="21">
        <v>11889</v>
      </c>
      <c r="AE159" s="21">
        <v>0</v>
      </c>
      <c r="AF159" s="21">
        <v>44990</v>
      </c>
      <c r="AG159" s="21">
        <v>0</v>
      </c>
      <c r="AH159" s="21">
        <v>0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21">
        <v>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1890</v>
      </c>
      <c r="AV159" s="21">
        <v>0</v>
      </c>
      <c r="AW159" s="21"/>
      <c r="AX159" s="21">
        <v>0</v>
      </c>
      <c r="AY159" s="21">
        <f t="shared" si="22"/>
        <v>-110</v>
      </c>
      <c r="AZ159" s="21">
        <f t="shared" si="23"/>
        <v>1890</v>
      </c>
      <c r="BA159" s="21">
        <f t="shared" si="24"/>
        <v>0</v>
      </c>
      <c r="BB159" s="21">
        <v>0</v>
      </c>
      <c r="BC159" s="21">
        <v>2000</v>
      </c>
      <c r="BD159" s="21">
        <v>0</v>
      </c>
      <c r="BE159" s="21">
        <v>0</v>
      </c>
      <c r="BF159" s="21">
        <f t="shared" si="25"/>
        <v>1426167</v>
      </c>
      <c r="BG159" s="21">
        <v>1353211</v>
      </c>
      <c r="BH159" s="21" t="s">
        <v>2287</v>
      </c>
      <c r="BI159" s="21" t="s">
        <v>2260</v>
      </c>
      <c r="BJ159" s="21" t="s">
        <v>2260</v>
      </c>
      <c r="BK159" s="21">
        <v>0</v>
      </c>
      <c r="BL159" s="21">
        <f>2100+2100+5000</f>
        <v>9200</v>
      </c>
      <c r="BM159" s="21">
        <f t="shared" si="26"/>
        <v>63756</v>
      </c>
      <c r="BN159" s="25">
        <v>45468</v>
      </c>
      <c r="BO159" s="21"/>
      <c r="BP159" s="21"/>
      <c r="BQ159" s="21"/>
      <c r="BR159" s="21"/>
      <c r="BS159" s="21"/>
      <c r="BT159" s="21"/>
      <c r="BU159" s="26"/>
      <c r="BV159" s="27"/>
      <c r="BW159" s="27"/>
      <c r="BX159" s="27">
        <v>0</v>
      </c>
      <c r="BY159" s="27">
        <v>0</v>
      </c>
      <c r="BZ159" s="27">
        <v>0</v>
      </c>
      <c r="CA159" s="27" t="str">
        <f t="shared" si="27"/>
        <v>NO</v>
      </c>
      <c r="CB159" s="27"/>
      <c r="CC159" s="27"/>
      <c r="CD159" s="27"/>
      <c r="CE159" s="27"/>
      <c r="CF159" s="27"/>
      <c r="CG159" s="28"/>
    </row>
    <row r="160" spans="1:85" s="20" customFormat="1" ht="15.75" hidden="1" customHeight="1" x14ac:dyDescent="0.3">
      <c r="A160" s="21">
        <v>85</v>
      </c>
      <c r="B160" s="22" t="s">
        <v>2584</v>
      </c>
      <c r="C160" s="22" t="s">
        <v>2043</v>
      </c>
      <c r="D160" s="23" t="s">
        <v>2585</v>
      </c>
      <c r="E160" s="24">
        <v>45462</v>
      </c>
      <c r="F160" s="24">
        <v>45463</v>
      </c>
      <c r="G160" s="22" t="s">
        <v>1744</v>
      </c>
      <c r="H160" s="22" t="s">
        <v>1744</v>
      </c>
      <c r="I160" s="22" t="s">
        <v>2249</v>
      </c>
      <c r="J160" s="22" t="s">
        <v>2041</v>
      </c>
      <c r="K160" s="22"/>
      <c r="L160" s="22"/>
      <c r="M160" s="24" t="s">
        <v>310</v>
      </c>
      <c r="N160" s="24" t="s">
        <v>310</v>
      </c>
      <c r="O160" s="22" t="s">
        <v>2347</v>
      </c>
      <c r="P160" s="22">
        <v>561000</v>
      </c>
      <c r="Q160" s="22" t="s">
        <v>2251</v>
      </c>
      <c r="R160" s="22" t="s">
        <v>1744</v>
      </c>
      <c r="S160" s="21" t="s">
        <v>2586</v>
      </c>
      <c r="T160" s="8" t="s">
        <v>1857</v>
      </c>
      <c r="U160" s="8" t="s">
        <v>2308</v>
      </c>
      <c r="V160" s="21">
        <v>561000</v>
      </c>
      <c r="W160" s="21">
        <v>53351</v>
      </c>
      <c r="X160" s="21">
        <v>26000</v>
      </c>
      <c r="Y160" s="21">
        <v>8744</v>
      </c>
      <c r="Z160" s="21">
        <v>0</v>
      </c>
      <c r="AA160" s="21" t="s">
        <v>2260</v>
      </c>
      <c r="AB160" s="21">
        <v>0</v>
      </c>
      <c r="AC160" s="21">
        <v>0</v>
      </c>
      <c r="AD160" s="21">
        <v>0</v>
      </c>
      <c r="AE160" s="21">
        <v>0</v>
      </c>
      <c r="AF160" s="21">
        <v>34100</v>
      </c>
      <c r="AG160" s="21">
        <v>0</v>
      </c>
      <c r="AH160" s="21">
        <v>0</v>
      </c>
      <c r="AI160" s="21">
        <v>0</v>
      </c>
      <c r="AJ160" s="21">
        <v>10000</v>
      </c>
      <c r="AK160" s="21">
        <v>0</v>
      </c>
      <c r="AL160" s="21">
        <v>0</v>
      </c>
      <c r="AM160" s="21">
        <v>0</v>
      </c>
      <c r="AN160" s="21">
        <v>0</v>
      </c>
      <c r="AO160" s="21">
        <v>0</v>
      </c>
      <c r="AP160" s="21">
        <v>0</v>
      </c>
      <c r="AQ160" s="21">
        <v>0</v>
      </c>
      <c r="AR160" s="21">
        <v>15000</v>
      </c>
      <c r="AS160" s="21">
        <v>0</v>
      </c>
      <c r="AT160" s="21">
        <v>0</v>
      </c>
      <c r="AU160" s="21">
        <v>0</v>
      </c>
      <c r="AV160" s="21">
        <v>0</v>
      </c>
      <c r="AW160" s="21"/>
      <c r="AX160" s="21">
        <v>8555</v>
      </c>
      <c r="AY160" s="21">
        <f t="shared" si="22"/>
        <v>6555</v>
      </c>
      <c r="AZ160" s="21">
        <f t="shared" si="23"/>
        <v>8555</v>
      </c>
      <c r="BA160" s="21">
        <f t="shared" si="24"/>
        <v>6555</v>
      </c>
      <c r="BB160" s="21">
        <v>0</v>
      </c>
      <c r="BC160" s="21">
        <v>2000</v>
      </c>
      <c r="BD160" s="21">
        <v>0</v>
      </c>
      <c r="BE160" s="21">
        <v>0</v>
      </c>
      <c r="BF160" s="21">
        <f t="shared" si="25"/>
        <v>649640</v>
      </c>
      <c r="BG160" s="21">
        <v>541040</v>
      </c>
      <c r="BH160" s="21" t="s">
        <v>39</v>
      </c>
      <c r="BI160" s="21" t="s">
        <v>2253</v>
      </c>
      <c r="BJ160" s="21" t="s">
        <v>2253</v>
      </c>
      <c r="BK160" s="21">
        <v>1301063</v>
      </c>
      <c r="BL160" s="21">
        <f>2100+106500</f>
        <v>108600</v>
      </c>
      <c r="BM160" s="21">
        <f t="shared" si="26"/>
        <v>0</v>
      </c>
      <c r="BN160" s="25"/>
      <c r="BO160" s="21"/>
      <c r="BP160" s="21"/>
      <c r="BQ160" s="21"/>
      <c r="BR160" s="21"/>
      <c r="BS160" s="21"/>
      <c r="BT160" s="21"/>
      <c r="BU160" s="26"/>
      <c r="BV160" s="27"/>
      <c r="BW160" s="27"/>
      <c r="BX160" s="27">
        <v>0</v>
      </c>
      <c r="BY160" s="27">
        <v>0</v>
      </c>
      <c r="BZ160" s="27">
        <v>0</v>
      </c>
      <c r="CA160" s="27" t="str">
        <f t="shared" si="27"/>
        <v>NO</v>
      </c>
      <c r="CB160" s="27"/>
      <c r="CC160" s="27"/>
      <c r="CD160" s="27"/>
      <c r="CE160" s="27"/>
      <c r="CF160" s="27"/>
      <c r="CG160" s="28"/>
    </row>
    <row r="161" spans="1:85" s="20" customFormat="1" ht="15.75" hidden="1" customHeight="1" x14ac:dyDescent="0.3">
      <c r="A161" s="21">
        <v>108</v>
      </c>
      <c r="B161" s="22" t="s">
        <v>2654</v>
      </c>
      <c r="C161" s="22" t="s">
        <v>2054</v>
      </c>
      <c r="D161" s="23" t="s">
        <v>2655</v>
      </c>
      <c r="E161" s="24">
        <v>45464</v>
      </c>
      <c r="F161" s="24">
        <v>45469</v>
      </c>
      <c r="G161" s="22" t="s">
        <v>1744</v>
      </c>
      <c r="H161" s="22" t="s">
        <v>1744</v>
      </c>
      <c r="I161" s="22" t="s">
        <v>2249</v>
      </c>
      <c r="J161" s="22" t="s">
        <v>2051</v>
      </c>
      <c r="K161" s="22"/>
      <c r="L161" s="22"/>
      <c r="M161" s="24" t="s">
        <v>310</v>
      </c>
      <c r="N161" s="24" t="s">
        <v>310</v>
      </c>
      <c r="O161" s="22" t="s">
        <v>2656</v>
      </c>
      <c r="P161" s="22">
        <v>625000</v>
      </c>
      <c r="Q161" s="22" t="s">
        <v>2298</v>
      </c>
      <c r="R161" s="22" t="s">
        <v>1744</v>
      </c>
      <c r="S161" s="21" t="s">
        <v>2586</v>
      </c>
      <c r="T161" s="8" t="s">
        <v>1857</v>
      </c>
      <c r="U161" s="8" t="s">
        <v>2308</v>
      </c>
      <c r="V161" s="21">
        <v>658000</v>
      </c>
      <c r="W161" s="21">
        <v>0</v>
      </c>
      <c r="X161" s="21">
        <v>27000</v>
      </c>
      <c r="Y161" s="21">
        <v>10254</v>
      </c>
      <c r="Z161" s="21">
        <v>0</v>
      </c>
      <c r="AA161" s="21" t="s">
        <v>2260</v>
      </c>
      <c r="AB161" s="21">
        <v>4500</v>
      </c>
      <c r="AC161" s="21">
        <v>0</v>
      </c>
      <c r="AD161" s="21">
        <v>0</v>
      </c>
      <c r="AE161" s="21">
        <v>0</v>
      </c>
      <c r="AF161" s="21">
        <v>0</v>
      </c>
      <c r="AG161" s="21">
        <v>0</v>
      </c>
      <c r="AH161" s="21">
        <v>0</v>
      </c>
      <c r="AI161" s="21">
        <v>0</v>
      </c>
      <c r="AJ161" s="21">
        <v>10000</v>
      </c>
      <c r="AK161" s="21">
        <v>0</v>
      </c>
      <c r="AL161" s="21">
        <v>0</v>
      </c>
      <c r="AM161" s="21">
        <v>0</v>
      </c>
      <c r="AN161" s="21">
        <v>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/>
      <c r="AX161" s="21">
        <v>9194</v>
      </c>
      <c r="AY161" s="21">
        <f t="shared" si="22"/>
        <v>9194</v>
      </c>
      <c r="AZ161" s="21">
        <f t="shared" si="23"/>
        <v>9194</v>
      </c>
      <c r="BA161" s="21">
        <f t="shared" si="24"/>
        <v>9194</v>
      </c>
      <c r="BB161" s="21">
        <v>0</v>
      </c>
      <c r="BC161" s="21">
        <v>0</v>
      </c>
      <c r="BD161" s="21">
        <v>0</v>
      </c>
      <c r="BE161" s="21">
        <v>0</v>
      </c>
      <c r="BF161" s="21">
        <f t="shared" si="25"/>
        <v>680560</v>
      </c>
      <c r="BG161" s="21">
        <v>625000</v>
      </c>
      <c r="BH161" s="21" t="s">
        <v>39</v>
      </c>
      <c r="BI161" s="21" t="s">
        <v>2253</v>
      </c>
      <c r="BJ161" s="21" t="s">
        <v>2253</v>
      </c>
      <c r="BK161" s="21" t="s">
        <v>2657</v>
      </c>
      <c r="BL161" s="21">
        <f>2000+26500</f>
        <v>28500</v>
      </c>
      <c r="BM161" s="21">
        <f t="shared" si="26"/>
        <v>27060</v>
      </c>
      <c r="BN161" s="25" t="s">
        <v>2658</v>
      </c>
      <c r="BO161" s="21"/>
      <c r="BP161" s="21"/>
      <c r="BQ161" s="21"/>
      <c r="BR161" s="21"/>
      <c r="BS161" s="21"/>
      <c r="BT161" s="21"/>
      <c r="BU161" s="26"/>
      <c r="BV161" s="27"/>
      <c r="BW161" s="27"/>
      <c r="BX161" s="27">
        <v>0</v>
      </c>
      <c r="BY161" s="27">
        <v>0</v>
      </c>
      <c r="BZ161" s="27">
        <v>0</v>
      </c>
      <c r="CA161" s="27" t="str">
        <f t="shared" si="27"/>
        <v>NO</v>
      </c>
      <c r="CB161" s="27"/>
      <c r="CC161" s="27"/>
      <c r="CD161" s="27"/>
      <c r="CE161" s="27"/>
      <c r="CF161" s="27"/>
      <c r="CG161" s="28"/>
    </row>
    <row r="162" spans="1:85" s="20" customFormat="1" ht="15.75" hidden="1" customHeight="1" x14ac:dyDescent="0.3">
      <c r="A162" s="21">
        <v>133</v>
      </c>
      <c r="B162" s="22" t="s">
        <v>2739</v>
      </c>
      <c r="C162" s="22">
        <v>100438</v>
      </c>
      <c r="D162" s="23" t="s">
        <v>2740</v>
      </c>
      <c r="E162" s="24">
        <v>45469</v>
      </c>
      <c r="F162" s="24">
        <v>45471</v>
      </c>
      <c r="G162" s="22" t="s">
        <v>1744</v>
      </c>
      <c r="H162" s="22" t="s">
        <v>1744</v>
      </c>
      <c r="I162" s="22" t="s">
        <v>2249</v>
      </c>
      <c r="J162" s="22" t="s">
        <v>2062</v>
      </c>
      <c r="K162" s="22"/>
      <c r="L162" s="22"/>
      <c r="M162" s="24" t="s">
        <v>2304</v>
      </c>
      <c r="N162" s="24" t="s">
        <v>2989</v>
      </c>
      <c r="O162" s="22" t="s">
        <v>2741</v>
      </c>
      <c r="P162" s="22">
        <v>400000</v>
      </c>
      <c r="Q162" s="22" t="s">
        <v>2298</v>
      </c>
      <c r="R162" s="22" t="s">
        <v>1744</v>
      </c>
      <c r="S162" s="21" t="s">
        <v>2586</v>
      </c>
      <c r="T162" s="8" t="s">
        <v>1857</v>
      </c>
      <c r="U162" s="8" t="s">
        <v>2308</v>
      </c>
      <c r="V162" s="21">
        <v>649627</v>
      </c>
      <c r="W162" s="21">
        <v>59570</v>
      </c>
      <c r="X162" s="21">
        <v>27500</v>
      </c>
      <c r="Y162" s="21">
        <v>11033</v>
      </c>
      <c r="Z162" s="21">
        <v>0</v>
      </c>
      <c r="AA162" s="21" t="s">
        <v>2253</v>
      </c>
      <c r="AB162" s="21">
        <v>0</v>
      </c>
      <c r="AC162" s="21">
        <v>0</v>
      </c>
      <c r="AD162" s="21">
        <v>0</v>
      </c>
      <c r="AE162" s="21">
        <v>0</v>
      </c>
      <c r="AF162" s="21">
        <v>35000</v>
      </c>
      <c r="AG162" s="21">
        <v>0</v>
      </c>
      <c r="AH162" s="21">
        <v>0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21">
        <v>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/>
      <c r="AX162" s="21">
        <v>12730</v>
      </c>
      <c r="AY162" s="21">
        <f t="shared" ref="AY162:AY170" si="28">+AU162+AV162+AW162+AX162-BC162</f>
        <v>10730</v>
      </c>
      <c r="AZ162" s="21">
        <f t="shared" ref="AZ162:AZ170" si="29">+SUM(AU162:AX162)</f>
        <v>12730</v>
      </c>
      <c r="BA162" s="21">
        <f t="shared" ref="BA162:BA170" si="30">+IF(AZ162&gt;=BC162,AZ162-BC162,0)</f>
        <v>10730</v>
      </c>
      <c r="BB162" s="21">
        <v>0</v>
      </c>
      <c r="BC162" s="21">
        <v>2000</v>
      </c>
      <c r="BD162" s="21">
        <v>0</v>
      </c>
      <c r="BE162" s="21">
        <v>0</v>
      </c>
      <c r="BF162" s="21">
        <f t="shared" ref="BF162:BF170" si="31">V162+W162+X162+Y162+Z162+AB162+AE162+AF162+AG162+AI162-AJ162-AO162-AP162-AQ162-AR162-AS162-AT162-AX162-BB162-BD162-BE162-AW162-AU162+AD162-AV162-AN162+AC162</f>
        <v>770000</v>
      </c>
      <c r="BG162" s="21">
        <v>400000</v>
      </c>
      <c r="BH162" s="21" t="s">
        <v>39</v>
      </c>
      <c r="BI162" s="21" t="s">
        <v>2253</v>
      </c>
      <c r="BJ162" s="21" t="s">
        <v>2253</v>
      </c>
      <c r="BK162" s="21" t="s">
        <v>2742</v>
      </c>
      <c r="BL162" s="21">
        <f>2000+50000+49000+250023+19000</f>
        <v>370023</v>
      </c>
      <c r="BM162" s="21">
        <f t="shared" ref="BM162:BM170" si="32">BF162-BG162-BL162-AH162</f>
        <v>-23</v>
      </c>
      <c r="BN162" s="25"/>
      <c r="BO162" s="21"/>
      <c r="BP162" s="21"/>
      <c r="BQ162" s="21"/>
      <c r="BR162" s="21"/>
      <c r="BS162" s="21"/>
      <c r="BT162" s="21"/>
      <c r="BU162" s="26"/>
      <c r="BV162" s="27"/>
      <c r="BW162" s="27"/>
      <c r="BX162" s="27">
        <v>0</v>
      </c>
      <c r="BY162" s="27">
        <v>0</v>
      </c>
      <c r="BZ162" s="27">
        <v>0</v>
      </c>
      <c r="CA162" s="27" t="str">
        <f t="shared" si="27"/>
        <v>NO</v>
      </c>
      <c r="CB162" s="27"/>
      <c r="CC162" s="27"/>
      <c r="CD162" s="27"/>
      <c r="CE162" s="27"/>
      <c r="CF162" s="27"/>
      <c r="CG162" s="28"/>
    </row>
    <row r="163" spans="1:85" s="20" customFormat="1" ht="15.75" hidden="1" customHeight="1" x14ac:dyDescent="0.3">
      <c r="A163" s="21">
        <v>9</v>
      </c>
      <c r="B163" s="22" t="s">
        <v>2302</v>
      </c>
      <c r="C163" s="22">
        <v>101927</v>
      </c>
      <c r="D163" s="23" t="s">
        <v>2303</v>
      </c>
      <c r="E163" s="24">
        <v>45446</v>
      </c>
      <c r="F163" s="24">
        <v>45448</v>
      </c>
      <c r="G163" s="22" t="s">
        <v>1744</v>
      </c>
      <c r="H163" s="22" t="s">
        <v>1744</v>
      </c>
      <c r="I163" s="22" t="s">
        <v>2249</v>
      </c>
      <c r="J163" s="22" t="s">
        <v>1999</v>
      </c>
      <c r="K163" s="22"/>
      <c r="L163" s="22"/>
      <c r="M163" s="24" t="s">
        <v>2304</v>
      </c>
      <c r="N163" s="24" t="s">
        <v>2989</v>
      </c>
      <c r="O163" s="22" t="s">
        <v>2305</v>
      </c>
      <c r="P163" s="22">
        <v>770508</v>
      </c>
      <c r="Q163" s="22" t="s">
        <v>2306</v>
      </c>
      <c r="R163" s="22" t="s">
        <v>1744</v>
      </c>
      <c r="S163" s="21" t="s">
        <v>2307</v>
      </c>
      <c r="T163" s="8" t="s">
        <v>1855</v>
      </c>
      <c r="U163" s="8" t="s">
        <v>2308</v>
      </c>
      <c r="V163" s="21">
        <v>756242</v>
      </c>
      <c r="W163" s="21">
        <v>68170</v>
      </c>
      <c r="X163" s="21">
        <v>30000</v>
      </c>
      <c r="Y163" s="21">
        <v>12862</v>
      </c>
      <c r="Z163" s="21">
        <v>0</v>
      </c>
      <c r="AA163" s="21" t="s">
        <v>2260</v>
      </c>
      <c r="AB163" s="21">
        <v>0</v>
      </c>
      <c r="AC163" s="21">
        <v>0</v>
      </c>
      <c r="AD163" s="21">
        <v>0</v>
      </c>
      <c r="AE163" s="21">
        <v>0</v>
      </c>
      <c r="AF163" s="21">
        <v>31600</v>
      </c>
      <c r="AG163" s="21">
        <v>0</v>
      </c>
      <c r="AH163" s="21">
        <v>0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21">
        <v>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1600</v>
      </c>
      <c r="AV163" s="21">
        <v>0</v>
      </c>
      <c r="AW163" s="21"/>
      <c r="AX163" s="21">
        <v>7274</v>
      </c>
      <c r="AY163" s="21">
        <f t="shared" si="28"/>
        <v>6874</v>
      </c>
      <c r="AZ163" s="21">
        <f t="shared" si="29"/>
        <v>8874</v>
      </c>
      <c r="BA163" s="21">
        <f t="shared" si="30"/>
        <v>6874</v>
      </c>
      <c r="BB163" s="21">
        <v>0</v>
      </c>
      <c r="BC163" s="21">
        <v>2000</v>
      </c>
      <c r="BD163" s="21">
        <v>0</v>
      </c>
      <c r="BE163" s="21">
        <v>0</v>
      </c>
      <c r="BF163" s="21">
        <f t="shared" si="31"/>
        <v>890000</v>
      </c>
      <c r="BG163" s="21">
        <v>770508</v>
      </c>
      <c r="BH163" s="21" t="s">
        <v>2287</v>
      </c>
      <c r="BI163" s="21" t="s">
        <v>2260</v>
      </c>
      <c r="BJ163" s="21" t="s">
        <v>2260</v>
      </c>
      <c r="BK163" s="21">
        <v>0</v>
      </c>
      <c r="BL163" s="21">
        <f>11000+20000+88492</f>
        <v>119492</v>
      </c>
      <c r="BM163" s="21">
        <f t="shared" si="32"/>
        <v>0</v>
      </c>
      <c r="BN163" s="25"/>
      <c r="BO163" s="21"/>
      <c r="BP163" s="21"/>
      <c r="BQ163" s="21"/>
      <c r="BR163" s="21"/>
      <c r="BS163" s="21"/>
      <c r="BT163" s="21"/>
      <c r="BU163" s="26"/>
      <c r="BV163" s="27"/>
      <c r="BW163" s="27"/>
      <c r="BX163" s="27">
        <v>0</v>
      </c>
      <c r="BY163" s="27">
        <v>0</v>
      </c>
      <c r="BZ163" s="27">
        <v>0</v>
      </c>
      <c r="CA163" s="27" t="str">
        <f t="shared" si="27"/>
        <v>NO</v>
      </c>
      <c r="CB163" s="27"/>
      <c r="CC163" s="27"/>
      <c r="CD163" s="27"/>
      <c r="CE163" s="27"/>
      <c r="CF163" s="27"/>
      <c r="CG163" s="28"/>
    </row>
    <row r="164" spans="1:85" s="20" customFormat="1" ht="15.75" hidden="1" customHeight="1" x14ac:dyDescent="0.3">
      <c r="A164" s="21">
        <v>26</v>
      </c>
      <c r="B164" s="22" t="s">
        <v>2379</v>
      </c>
      <c r="C164" s="22" t="s">
        <v>2010</v>
      </c>
      <c r="D164" s="23" t="s">
        <v>2380</v>
      </c>
      <c r="E164" s="24">
        <v>45450</v>
      </c>
      <c r="F164" s="24">
        <v>45455</v>
      </c>
      <c r="G164" s="22" t="s">
        <v>1744</v>
      </c>
      <c r="H164" s="22" t="s">
        <v>1744</v>
      </c>
      <c r="I164" s="22" t="s">
        <v>2249</v>
      </c>
      <c r="J164" s="22" t="s">
        <v>2381</v>
      </c>
      <c r="K164" s="22"/>
      <c r="L164" s="22"/>
      <c r="M164" s="24" t="s">
        <v>2362</v>
      </c>
      <c r="N164" s="24" t="s">
        <v>2362</v>
      </c>
      <c r="O164" s="22" t="s">
        <v>2382</v>
      </c>
      <c r="P164" s="22">
        <v>620000</v>
      </c>
      <c r="Q164" s="22" t="s">
        <v>2251</v>
      </c>
      <c r="R164" s="22" t="s">
        <v>1744</v>
      </c>
      <c r="S164" s="21" t="s">
        <v>2307</v>
      </c>
      <c r="T164" s="8" t="s">
        <v>1855</v>
      </c>
      <c r="U164" s="8" t="s">
        <v>2308</v>
      </c>
      <c r="V164" s="21">
        <v>675500</v>
      </c>
      <c r="W164" s="21">
        <v>62621</v>
      </c>
      <c r="X164" s="21">
        <v>27500</v>
      </c>
      <c r="Y164" s="21">
        <v>0</v>
      </c>
      <c r="Z164" s="21">
        <v>0</v>
      </c>
      <c r="AA164" s="21" t="s">
        <v>2260</v>
      </c>
      <c r="AB164" s="21">
        <v>0</v>
      </c>
      <c r="AC164" s="21">
        <v>0</v>
      </c>
      <c r="AD164" s="21">
        <v>0</v>
      </c>
      <c r="AE164" s="21">
        <v>0</v>
      </c>
      <c r="AF164" s="21">
        <v>42000</v>
      </c>
      <c r="AG164" s="21">
        <v>0</v>
      </c>
      <c r="AH164" s="21">
        <v>170000</v>
      </c>
      <c r="AI164" s="21">
        <v>105810</v>
      </c>
      <c r="AJ164" s="21">
        <v>10000</v>
      </c>
      <c r="AK164" s="21">
        <v>0</v>
      </c>
      <c r="AL164" s="21">
        <v>0</v>
      </c>
      <c r="AM164" s="21">
        <v>0</v>
      </c>
      <c r="AN164" s="21">
        <v>0</v>
      </c>
      <c r="AO164" s="21">
        <v>0</v>
      </c>
      <c r="AP164" s="21">
        <v>0</v>
      </c>
      <c r="AQ164" s="21">
        <v>0</v>
      </c>
      <c r="AR164" s="21">
        <v>25000</v>
      </c>
      <c r="AS164" s="21">
        <v>0</v>
      </c>
      <c r="AT164" s="21">
        <v>0</v>
      </c>
      <c r="AU164" s="21">
        <v>0</v>
      </c>
      <c r="AV164" s="21">
        <v>0</v>
      </c>
      <c r="AW164" s="21"/>
      <c r="AX164" s="21">
        <v>22621</v>
      </c>
      <c r="AY164" s="21">
        <f t="shared" si="28"/>
        <v>20621</v>
      </c>
      <c r="AZ164" s="21">
        <f t="shared" si="29"/>
        <v>22621</v>
      </c>
      <c r="BA164" s="21">
        <f t="shared" si="30"/>
        <v>20621</v>
      </c>
      <c r="BB164" s="21">
        <v>20000</v>
      </c>
      <c r="BC164" s="21">
        <v>2000</v>
      </c>
      <c r="BD164" s="21">
        <v>0</v>
      </c>
      <c r="BE164" s="21">
        <v>0</v>
      </c>
      <c r="BF164" s="21">
        <f t="shared" si="31"/>
        <v>835810</v>
      </c>
      <c r="BG164" s="21">
        <v>601558</v>
      </c>
      <c r="BH164" s="21" t="s">
        <v>39</v>
      </c>
      <c r="BI164" s="21" t="s">
        <v>2253</v>
      </c>
      <c r="BJ164" s="21" t="s">
        <v>2253</v>
      </c>
      <c r="BK164" s="21">
        <v>1249936</v>
      </c>
      <c r="BL164" s="21">
        <f>2101+15000</f>
        <v>17101</v>
      </c>
      <c r="BM164" s="21">
        <f t="shared" si="32"/>
        <v>47151</v>
      </c>
      <c r="BN164" s="25">
        <v>45479</v>
      </c>
      <c r="BO164" s="21"/>
      <c r="BP164" s="21" t="s">
        <v>2253</v>
      </c>
      <c r="BQ164" s="21" t="s">
        <v>2253</v>
      </c>
      <c r="BR164" s="21" t="s">
        <v>2253</v>
      </c>
      <c r="BS164" s="21" t="s">
        <v>2293</v>
      </c>
      <c r="BT164" s="21"/>
      <c r="BU164" s="26"/>
      <c r="BV164" s="27"/>
      <c r="BW164" s="27"/>
      <c r="BX164" s="27">
        <v>0</v>
      </c>
      <c r="BY164" s="27">
        <v>0</v>
      </c>
      <c r="BZ164" s="27">
        <v>0</v>
      </c>
      <c r="CA164" s="27" t="str">
        <f t="shared" si="27"/>
        <v>NO</v>
      </c>
      <c r="CB164" s="27"/>
      <c r="CC164" s="27"/>
      <c r="CD164" s="27"/>
      <c r="CE164" s="27"/>
      <c r="CF164" s="27"/>
      <c r="CG164" s="28"/>
    </row>
    <row r="165" spans="1:85" s="20" customFormat="1" ht="15.75" hidden="1" customHeight="1" x14ac:dyDescent="0.3">
      <c r="A165" s="21">
        <v>21</v>
      </c>
      <c r="B165" s="22" t="s">
        <v>2355</v>
      </c>
      <c r="C165" s="22" t="s">
        <v>2020</v>
      </c>
      <c r="D165" s="23" t="s">
        <v>2356</v>
      </c>
      <c r="E165" s="24">
        <v>45449</v>
      </c>
      <c r="F165" s="24">
        <v>45451</v>
      </c>
      <c r="G165" s="22" t="s">
        <v>1744</v>
      </c>
      <c r="H165" s="22" t="s">
        <v>1744</v>
      </c>
      <c r="I165" s="22" t="s">
        <v>2249</v>
      </c>
      <c r="J165" s="22" t="s">
        <v>2357</v>
      </c>
      <c r="K165" s="22"/>
      <c r="L165" s="22"/>
      <c r="M165" s="24" t="s">
        <v>310</v>
      </c>
      <c r="N165" s="24" t="s">
        <v>310</v>
      </c>
      <c r="O165" s="22" t="s">
        <v>2326</v>
      </c>
      <c r="P165" s="22">
        <v>530000</v>
      </c>
      <c r="Q165" s="22" t="s">
        <v>2358</v>
      </c>
      <c r="R165" s="22" t="s">
        <v>1744</v>
      </c>
      <c r="S165" s="21" t="s">
        <v>2359</v>
      </c>
      <c r="T165" s="8" t="s">
        <v>2021</v>
      </c>
      <c r="U165" s="8" t="s">
        <v>2308</v>
      </c>
      <c r="V165" s="21">
        <v>561000</v>
      </c>
      <c r="W165" s="21">
        <v>53351</v>
      </c>
      <c r="X165" s="21">
        <v>26000</v>
      </c>
      <c r="Y165" s="21">
        <v>0</v>
      </c>
      <c r="Z165" s="21">
        <v>0</v>
      </c>
      <c r="AA165" s="21" t="s">
        <v>2260</v>
      </c>
      <c r="AB165" s="21">
        <v>0</v>
      </c>
      <c r="AC165" s="21">
        <v>0</v>
      </c>
      <c r="AD165" s="21">
        <v>0</v>
      </c>
      <c r="AE165" s="21">
        <v>0</v>
      </c>
      <c r="AF165" s="21">
        <v>30000</v>
      </c>
      <c r="AG165" s="21">
        <v>0</v>
      </c>
      <c r="AH165" s="21">
        <v>0</v>
      </c>
      <c r="AI165" s="21">
        <v>0</v>
      </c>
      <c r="AJ165" s="21">
        <v>10000</v>
      </c>
      <c r="AK165" s="21">
        <v>0</v>
      </c>
      <c r="AL165" s="21">
        <v>0</v>
      </c>
      <c r="AM165" s="21">
        <v>0</v>
      </c>
      <c r="AN165" s="21">
        <v>0</v>
      </c>
      <c r="AO165" s="21">
        <v>0</v>
      </c>
      <c r="AP165" s="21">
        <v>0</v>
      </c>
      <c r="AQ165" s="21">
        <v>0</v>
      </c>
      <c r="AR165" s="21">
        <v>15000</v>
      </c>
      <c r="AS165" s="21">
        <v>0</v>
      </c>
      <c r="AT165" s="21">
        <v>0</v>
      </c>
      <c r="AU165" s="21">
        <v>0</v>
      </c>
      <c r="AV165" s="21">
        <v>0</v>
      </c>
      <c r="AW165" s="21"/>
      <c r="AX165" s="21">
        <v>1351</v>
      </c>
      <c r="AY165" s="21">
        <f t="shared" si="28"/>
        <v>-649</v>
      </c>
      <c r="AZ165" s="21">
        <f t="shared" si="29"/>
        <v>1351</v>
      </c>
      <c r="BA165" s="21">
        <f t="shared" si="30"/>
        <v>0</v>
      </c>
      <c r="BB165" s="21">
        <v>0</v>
      </c>
      <c r="BC165" s="21">
        <v>2000</v>
      </c>
      <c r="BD165" s="21">
        <v>0</v>
      </c>
      <c r="BE165" s="21">
        <v>0</v>
      </c>
      <c r="BF165" s="21">
        <f t="shared" si="31"/>
        <v>644000</v>
      </c>
      <c r="BG165" s="21">
        <v>530000</v>
      </c>
      <c r="BH165" s="21" t="s">
        <v>2287</v>
      </c>
      <c r="BI165" s="21" t="s">
        <v>2260</v>
      </c>
      <c r="BJ165" s="21" t="s">
        <v>2260</v>
      </c>
      <c r="BK165" s="21">
        <v>0</v>
      </c>
      <c r="BL165" s="21">
        <f>40000+50000+20351+3649</f>
        <v>114000</v>
      </c>
      <c r="BM165" s="21">
        <f t="shared" si="32"/>
        <v>0</v>
      </c>
      <c r="BN165" s="25"/>
      <c r="BO165" s="21"/>
      <c r="BP165" s="21"/>
      <c r="BQ165" s="21"/>
      <c r="BR165" s="21"/>
      <c r="BS165" s="21"/>
      <c r="BT165" s="21"/>
      <c r="BU165" s="26"/>
      <c r="BV165" s="27"/>
      <c r="BW165" s="27"/>
      <c r="BX165" s="27">
        <v>0</v>
      </c>
      <c r="BY165" s="27">
        <v>0</v>
      </c>
      <c r="BZ165" s="27">
        <v>0</v>
      </c>
      <c r="CA165" s="27" t="str">
        <f t="shared" si="27"/>
        <v>NO</v>
      </c>
      <c r="CB165" s="27"/>
      <c r="CC165" s="27"/>
      <c r="CD165" s="27"/>
      <c r="CE165" s="27"/>
      <c r="CF165" s="27"/>
      <c r="CG165" s="28"/>
    </row>
    <row r="166" spans="1:85" s="20" customFormat="1" ht="15.75" hidden="1" customHeight="1" x14ac:dyDescent="0.3">
      <c r="A166" s="21">
        <v>7</v>
      </c>
      <c r="B166" s="22" t="s">
        <v>2288</v>
      </c>
      <c r="C166" s="22" t="s">
        <v>2082</v>
      </c>
      <c r="D166" s="23" t="s">
        <v>2289</v>
      </c>
      <c r="E166" s="24">
        <v>45446</v>
      </c>
      <c r="F166" s="24">
        <v>45450</v>
      </c>
      <c r="G166" s="22" t="s">
        <v>2283</v>
      </c>
      <c r="H166" s="22" t="s">
        <v>2283</v>
      </c>
      <c r="I166" s="22" t="s">
        <v>2249</v>
      </c>
      <c r="J166" s="22" t="s">
        <v>2290</v>
      </c>
      <c r="K166" s="22"/>
      <c r="L166" s="22"/>
      <c r="M166" s="24" t="s">
        <v>310</v>
      </c>
      <c r="N166" s="24" t="s">
        <v>310</v>
      </c>
      <c r="O166" s="22" t="s">
        <v>2291</v>
      </c>
      <c r="P166" s="22">
        <v>582000</v>
      </c>
      <c r="Q166" s="22" t="s">
        <v>2271</v>
      </c>
      <c r="R166" s="22" t="s">
        <v>1930</v>
      </c>
      <c r="S166" s="21" t="s">
        <v>2292</v>
      </c>
      <c r="T166" s="8" t="s">
        <v>3094</v>
      </c>
      <c r="U166" s="8" t="s">
        <v>2286</v>
      </c>
      <c r="V166" s="21">
        <v>561885</v>
      </c>
      <c r="W166" s="21">
        <v>53351</v>
      </c>
      <c r="X166" s="21">
        <v>25000</v>
      </c>
      <c r="Y166" s="21">
        <v>0</v>
      </c>
      <c r="Z166" s="21">
        <v>0</v>
      </c>
      <c r="AA166" s="21" t="s">
        <v>2253</v>
      </c>
      <c r="AB166" s="21">
        <v>0</v>
      </c>
      <c r="AC166" s="21">
        <v>0</v>
      </c>
      <c r="AD166" s="21">
        <v>0</v>
      </c>
      <c r="AE166" s="21">
        <v>0</v>
      </c>
      <c r="AF166" s="21">
        <v>0</v>
      </c>
      <c r="AG166" s="21">
        <v>0</v>
      </c>
      <c r="AH166" s="21">
        <v>165000</v>
      </c>
      <c r="AI166" s="21">
        <v>181000</v>
      </c>
      <c r="AJ166" s="21">
        <v>10000</v>
      </c>
      <c r="AK166" s="21">
        <v>0</v>
      </c>
      <c r="AL166" s="21">
        <v>0</v>
      </c>
      <c r="AM166" s="21">
        <v>0</v>
      </c>
      <c r="AN166" s="21">
        <v>0</v>
      </c>
      <c r="AO166" s="21">
        <v>0</v>
      </c>
      <c r="AP166" s="21">
        <v>0</v>
      </c>
      <c r="AQ166" s="21">
        <v>0</v>
      </c>
      <c r="AR166" s="21">
        <v>15000</v>
      </c>
      <c r="AS166" s="21">
        <v>0</v>
      </c>
      <c r="AT166" s="21">
        <v>0</v>
      </c>
      <c r="AU166" s="21">
        <v>0</v>
      </c>
      <c r="AV166" s="21">
        <v>0</v>
      </c>
      <c r="AW166" s="21"/>
      <c r="AX166" s="21">
        <v>5000</v>
      </c>
      <c r="AY166" s="21">
        <f t="shared" si="28"/>
        <v>3000</v>
      </c>
      <c r="AZ166" s="21">
        <f t="shared" si="29"/>
        <v>5000</v>
      </c>
      <c r="BA166" s="21">
        <f t="shared" si="30"/>
        <v>3000</v>
      </c>
      <c r="BB166" s="21">
        <v>10000</v>
      </c>
      <c r="BC166" s="21">
        <v>2000</v>
      </c>
      <c r="BD166" s="21">
        <v>0</v>
      </c>
      <c r="BE166" s="21">
        <v>0</v>
      </c>
      <c r="BF166" s="21">
        <f t="shared" si="31"/>
        <v>781236</v>
      </c>
      <c r="BG166" s="21">
        <v>562000</v>
      </c>
      <c r="BH166" s="21" t="s">
        <v>39</v>
      </c>
      <c r="BI166" s="21" t="s">
        <v>2253</v>
      </c>
      <c r="BJ166" s="21" t="s">
        <v>2253</v>
      </c>
      <c r="BK166" s="21">
        <v>13306741</v>
      </c>
      <c r="BL166" s="21">
        <f>50000+3236+1000</f>
        <v>54236</v>
      </c>
      <c r="BM166" s="21">
        <f t="shared" si="32"/>
        <v>0</v>
      </c>
      <c r="BN166" s="25"/>
      <c r="BO166" s="21"/>
      <c r="BP166" s="21" t="s">
        <v>2253</v>
      </c>
      <c r="BQ166" s="21" t="s">
        <v>2253</v>
      </c>
      <c r="BR166" s="21" t="s">
        <v>2253</v>
      </c>
      <c r="BS166" s="21" t="s">
        <v>2293</v>
      </c>
      <c r="BT166" s="21"/>
      <c r="BU166" s="26"/>
      <c r="BV166" s="27"/>
      <c r="BW166" s="27"/>
      <c r="BX166" s="27">
        <v>0</v>
      </c>
      <c r="BY166" s="27">
        <v>0</v>
      </c>
      <c r="BZ166" s="27">
        <v>0</v>
      </c>
      <c r="CA166" s="27" t="str">
        <f t="shared" si="27"/>
        <v>NO</v>
      </c>
      <c r="CB166" s="27"/>
      <c r="CC166" s="27"/>
      <c r="CD166" s="27"/>
      <c r="CE166" s="27"/>
      <c r="CF166" s="27"/>
      <c r="CG166" s="28"/>
    </row>
    <row r="167" spans="1:85" s="20" customFormat="1" ht="15.75" hidden="1" customHeight="1" x14ac:dyDescent="0.3">
      <c r="A167" s="21">
        <v>163</v>
      </c>
      <c r="B167" s="22" t="s">
        <v>2832</v>
      </c>
      <c r="C167" s="22" t="s">
        <v>2165</v>
      </c>
      <c r="D167" s="23" t="s">
        <v>2833</v>
      </c>
      <c r="E167" s="24">
        <v>45472</v>
      </c>
      <c r="F167" s="24">
        <v>45473</v>
      </c>
      <c r="G167" s="22" t="s">
        <v>2283</v>
      </c>
      <c r="H167" s="22" t="s">
        <v>2283</v>
      </c>
      <c r="I167" s="22" t="s">
        <v>2249</v>
      </c>
      <c r="J167" s="22" t="s">
        <v>2163</v>
      </c>
      <c r="K167" s="22"/>
      <c r="L167" s="22"/>
      <c r="M167" s="24" t="s">
        <v>310</v>
      </c>
      <c r="N167" s="24" t="s">
        <v>310</v>
      </c>
      <c r="O167" s="22" t="s">
        <v>2326</v>
      </c>
      <c r="P167" s="22">
        <v>626484</v>
      </c>
      <c r="Q167" s="22" t="s">
        <v>2284</v>
      </c>
      <c r="R167" s="22" t="s">
        <v>2834</v>
      </c>
      <c r="S167" s="140" t="s">
        <v>2292</v>
      </c>
      <c r="T167" s="8" t="s">
        <v>3094</v>
      </c>
      <c r="U167" s="8" t="s">
        <v>2286</v>
      </c>
      <c r="V167" s="21">
        <v>561885</v>
      </c>
      <c r="W167" s="21">
        <v>53351</v>
      </c>
      <c r="X167" s="21">
        <v>25000</v>
      </c>
      <c r="Y167" s="21">
        <v>0</v>
      </c>
      <c r="Z167" s="21">
        <v>0</v>
      </c>
      <c r="AA167" s="21" t="s">
        <v>2253</v>
      </c>
      <c r="AB167" s="21">
        <v>0</v>
      </c>
      <c r="AC167" s="21">
        <v>0</v>
      </c>
      <c r="AD167" s="21">
        <v>0</v>
      </c>
      <c r="AE167" s="21">
        <v>0</v>
      </c>
      <c r="AF167" s="21">
        <v>24000</v>
      </c>
      <c r="AG167" s="21">
        <v>0</v>
      </c>
      <c r="AH167" s="21">
        <v>0</v>
      </c>
      <c r="AI167" s="21">
        <v>0</v>
      </c>
      <c r="AJ167" s="21">
        <v>10000</v>
      </c>
      <c r="AK167" s="21">
        <v>0</v>
      </c>
      <c r="AL167" s="21">
        <v>0</v>
      </c>
      <c r="AM167" s="21">
        <v>0</v>
      </c>
      <c r="AN167" s="21">
        <v>0</v>
      </c>
      <c r="AO167" s="21">
        <v>0</v>
      </c>
      <c r="AP167" s="21">
        <v>0</v>
      </c>
      <c r="AQ167" s="21">
        <v>3100</v>
      </c>
      <c r="AR167" s="21">
        <v>15000</v>
      </c>
      <c r="AS167" s="21">
        <v>0</v>
      </c>
      <c r="AT167" s="21">
        <v>0</v>
      </c>
      <c r="AU167" s="21">
        <v>1450</v>
      </c>
      <c r="AV167" s="21">
        <v>0</v>
      </c>
      <c r="AW167" s="21"/>
      <c r="AX167" s="21">
        <v>15000</v>
      </c>
      <c r="AY167" s="21">
        <f t="shared" si="28"/>
        <v>14450</v>
      </c>
      <c r="AZ167" s="21">
        <f t="shared" si="29"/>
        <v>16450</v>
      </c>
      <c r="BA167" s="21">
        <f t="shared" si="30"/>
        <v>14450</v>
      </c>
      <c r="BB167" s="21">
        <v>0</v>
      </c>
      <c r="BC167" s="21">
        <v>2000</v>
      </c>
      <c r="BD167" s="21">
        <v>0</v>
      </c>
      <c r="BE167" s="21">
        <v>0</v>
      </c>
      <c r="BF167" s="21">
        <f t="shared" si="31"/>
        <v>619686</v>
      </c>
      <c r="BG167" s="21">
        <v>616484</v>
      </c>
      <c r="BH167" s="21" t="s">
        <v>2287</v>
      </c>
      <c r="BI167" s="21" t="s">
        <v>2260</v>
      </c>
      <c r="BJ167" s="21" t="s">
        <v>2260</v>
      </c>
      <c r="BK167" s="21">
        <v>0</v>
      </c>
      <c r="BL167" s="21">
        <f>1000+2200</f>
        <v>3200</v>
      </c>
      <c r="BM167" s="21">
        <f t="shared" si="32"/>
        <v>2</v>
      </c>
      <c r="BN167" s="25"/>
      <c r="BO167" s="21"/>
      <c r="BP167" s="21"/>
      <c r="BQ167" s="21"/>
      <c r="BR167" s="21"/>
      <c r="BS167" s="21"/>
      <c r="BT167" s="21"/>
      <c r="BU167" s="26"/>
      <c r="BV167" s="27"/>
      <c r="BW167" s="27"/>
      <c r="BX167" s="27">
        <v>0</v>
      </c>
      <c r="BY167" s="27">
        <v>0</v>
      </c>
      <c r="BZ167" s="27">
        <v>0</v>
      </c>
      <c r="CA167" s="27" t="str">
        <f t="shared" si="27"/>
        <v>NO</v>
      </c>
      <c r="CB167" s="27"/>
      <c r="CC167" s="27"/>
      <c r="CD167" s="27"/>
      <c r="CE167" s="27"/>
      <c r="CF167" s="27"/>
      <c r="CG167" s="28"/>
    </row>
    <row r="168" spans="1:85" s="20" customFormat="1" ht="15.75" hidden="1" customHeight="1" x14ac:dyDescent="0.3">
      <c r="A168" s="21">
        <v>164</v>
      </c>
      <c r="B168" s="29" t="s">
        <v>2835</v>
      </c>
      <c r="C168" s="22" t="s">
        <v>2174</v>
      </c>
      <c r="D168" s="23" t="s">
        <v>2836</v>
      </c>
      <c r="E168" s="24">
        <v>45473</v>
      </c>
      <c r="F168" s="24">
        <v>45444</v>
      </c>
      <c r="G168" s="22" t="s">
        <v>2283</v>
      </c>
      <c r="H168" s="22" t="s">
        <v>2283</v>
      </c>
      <c r="I168" s="22" t="s">
        <v>2249</v>
      </c>
      <c r="J168" s="22" t="s">
        <v>2172</v>
      </c>
      <c r="K168" s="22"/>
      <c r="L168" s="22"/>
      <c r="M168" s="24" t="s">
        <v>310</v>
      </c>
      <c r="N168" s="24" t="s">
        <v>310</v>
      </c>
      <c r="O168" s="22" t="s">
        <v>2497</v>
      </c>
      <c r="P168" s="22">
        <v>600000</v>
      </c>
      <c r="Q168" s="22" t="s">
        <v>2284</v>
      </c>
      <c r="R168" s="22" t="s">
        <v>2837</v>
      </c>
      <c r="S168" s="21" t="s">
        <v>2292</v>
      </c>
      <c r="T168" s="8" t="s">
        <v>3094</v>
      </c>
      <c r="U168" s="8" t="s">
        <v>2286</v>
      </c>
      <c r="V168" s="21">
        <v>561885</v>
      </c>
      <c r="W168" s="21">
        <v>53351</v>
      </c>
      <c r="X168" s="21">
        <v>25000</v>
      </c>
      <c r="Y168" s="21">
        <v>0</v>
      </c>
      <c r="Z168" s="21">
        <v>0</v>
      </c>
      <c r="AA168" s="21" t="s">
        <v>2253</v>
      </c>
      <c r="AB168" s="21">
        <v>0</v>
      </c>
      <c r="AC168" s="21">
        <v>0</v>
      </c>
      <c r="AD168" s="21">
        <v>0</v>
      </c>
      <c r="AE168" s="21">
        <v>0</v>
      </c>
      <c r="AF168" s="21">
        <v>26500</v>
      </c>
      <c r="AG168" s="21">
        <v>0</v>
      </c>
      <c r="AH168" s="21">
        <v>0</v>
      </c>
      <c r="AI168" s="21">
        <v>0</v>
      </c>
      <c r="AJ168" s="21">
        <v>10000</v>
      </c>
      <c r="AK168" s="21">
        <v>0</v>
      </c>
      <c r="AL168" s="21">
        <v>0</v>
      </c>
      <c r="AM168" s="21">
        <v>0</v>
      </c>
      <c r="AN168" s="21">
        <v>0</v>
      </c>
      <c r="AO168" s="21">
        <v>0</v>
      </c>
      <c r="AP168" s="21">
        <v>0</v>
      </c>
      <c r="AQ168" s="21">
        <v>2100</v>
      </c>
      <c r="AR168" s="21">
        <v>15000</v>
      </c>
      <c r="AS168" s="21">
        <v>0</v>
      </c>
      <c r="AT168" s="21">
        <v>0</v>
      </c>
      <c r="AU168" s="21">
        <v>0</v>
      </c>
      <c r="AV168" s="21">
        <v>0</v>
      </c>
      <c r="AW168" s="21"/>
      <c r="AX168" s="21">
        <v>17000</v>
      </c>
      <c r="AY168" s="21">
        <f t="shared" si="28"/>
        <v>15000</v>
      </c>
      <c r="AZ168" s="21">
        <f t="shared" si="29"/>
        <v>17000</v>
      </c>
      <c r="BA168" s="21">
        <f t="shared" si="30"/>
        <v>15000</v>
      </c>
      <c r="BB168" s="21">
        <v>0</v>
      </c>
      <c r="BC168" s="21">
        <v>2000</v>
      </c>
      <c r="BD168" s="21">
        <v>0</v>
      </c>
      <c r="BE168" s="21">
        <v>0</v>
      </c>
      <c r="BF168" s="21">
        <f t="shared" si="31"/>
        <v>622636</v>
      </c>
      <c r="BG168" s="21">
        <v>600000</v>
      </c>
      <c r="BH168" s="21" t="s">
        <v>2287</v>
      </c>
      <c r="BI168" s="21" t="s">
        <v>2260</v>
      </c>
      <c r="BJ168" s="21" t="s">
        <v>2260</v>
      </c>
      <c r="BK168" s="21">
        <v>0</v>
      </c>
      <c r="BL168" s="21">
        <v>5000</v>
      </c>
      <c r="BM168" s="21">
        <f t="shared" si="32"/>
        <v>17636</v>
      </c>
      <c r="BN168" s="25">
        <v>45476</v>
      </c>
      <c r="BO168" s="21"/>
      <c r="BP168" s="21"/>
      <c r="BQ168" s="21"/>
      <c r="BR168" s="21"/>
      <c r="BS168" s="21"/>
      <c r="BT168" s="21"/>
      <c r="BU168" s="26"/>
      <c r="BV168" s="27"/>
      <c r="BW168" s="27"/>
      <c r="BX168" s="27">
        <v>0</v>
      </c>
      <c r="BY168" s="27">
        <v>0</v>
      </c>
      <c r="BZ168" s="27">
        <v>0</v>
      </c>
      <c r="CA168" s="27" t="str">
        <f t="shared" si="27"/>
        <v>NO</v>
      </c>
      <c r="CB168" s="27"/>
      <c r="CC168" s="27"/>
      <c r="CD168" s="27"/>
      <c r="CE168" s="27"/>
      <c r="CF168" s="27"/>
      <c r="CG168" s="28"/>
    </row>
    <row r="169" spans="1:85" s="20" customFormat="1" ht="15.75" hidden="1" customHeight="1" x14ac:dyDescent="0.3">
      <c r="A169" s="21">
        <v>51</v>
      </c>
      <c r="B169" s="22" t="s">
        <v>2473</v>
      </c>
      <c r="C169" s="22" t="s">
        <v>2113</v>
      </c>
      <c r="D169" s="23" t="s">
        <v>2474</v>
      </c>
      <c r="E169" s="24">
        <v>45454</v>
      </c>
      <c r="F169" s="24">
        <v>45456</v>
      </c>
      <c r="G169" s="22" t="s">
        <v>2283</v>
      </c>
      <c r="H169" s="22" t="s">
        <v>2283</v>
      </c>
      <c r="I169" s="22" t="s">
        <v>2249</v>
      </c>
      <c r="J169" s="22" t="s">
        <v>2111</v>
      </c>
      <c r="K169" s="22"/>
      <c r="L169" s="22"/>
      <c r="M169" s="24" t="s">
        <v>2362</v>
      </c>
      <c r="N169" s="24" t="s">
        <v>2362</v>
      </c>
      <c r="O169" s="22" t="s">
        <v>2321</v>
      </c>
      <c r="P169" s="22">
        <v>300000</v>
      </c>
      <c r="Q169" s="22" t="s">
        <v>2336</v>
      </c>
      <c r="R169" s="22" t="s">
        <v>2283</v>
      </c>
      <c r="S169" s="21" t="s">
        <v>2475</v>
      </c>
      <c r="T169" s="8" t="s">
        <v>3062</v>
      </c>
      <c r="U169" s="8" t="s">
        <v>2286</v>
      </c>
      <c r="V169" s="21">
        <v>599500</v>
      </c>
      <c r="W169" s="21">
        <v>56531</v>
      </c>
      <c r="X169" s="21">
        <v>18000</v>
      </c>
      <c r="Y169" s="21">
        <v>0</v>
      </c>
      <c r="Z169" s="21">
        <v>0</v>
      </c>
      <c r="AA169" s="21" t="s">
        <v>2260</v>
      </c>
      <c r="AB169" s="21">
        <v>0</v>
      </c>
      <c r="AC169" s="21">
        <v>0</v>
      </c>
      <c r="AD169" s="21">
        <v>0</v>
      </c>
      <c r="AE169" s="21">
        <v>0</v>
      </c>
      <c r="AF169" s="21">
        <v>32970</v>
      </c>
      <c r="AG169" s="21">
        <v>0</v>
      </c>
      <c r="AH169" s="21">
        <v>0</v>
      </c>
      <c r="AI169" s="21">
        <v>0</v>
      </c>
      <c r="AJ169" s="21">
        <v>10000</v>
      </c>
      <c r="AK169" s="21">
        <v>0</v>
      </c>
      <c r="AL169" s="21">
        <v>0</v>
      </c>
      <c r="AM169" s="21">
        <v>0</v>
      </c>
      <c r="AN169" s="21">
        <v>0</v>
      </c>
      <c r="AO169" s="21">
        <v>0</v>
      </c>
      <c r="AP169" s="21">
        <v>0</v>
      </c>
      <c r="AQ169" s="21">
        <v>2100</v>
      </c>
      <c r="AR169" s="21">
        <v>25000</v>
      </c>
      <c r="AS169" s="21">
        <v>0</v>
      </c>
      <c r="AT169" s="21">
        <v>0</v>
      </c>
      <c r="AU169" s="21">
        <v>0</v>
      </c>
      <c r="AV169" s="21">
        <v>0</v>
      </c>
      <c r="AW169" s="21"/>
      <c r="AX169" s="21">
        <v>24901</v>
      </c>
      <c r="AY169" s="21">
        <f t="shared" si="28"/>
        <v>22901</v>
      </c>
      <c r="AZ169" s="21">
        <f t="shared" si="29"/>
        <v>24901</v>
      </c>
      <c r="BA169" s="21">
        <f t="shared" si="30"/>
        <v>22901</v>
      </c>
      <c r="BB169" s="21">
        <v>0</v>
      </c>
      <c r="BC169" s="21">
        <v>2000</v>
      </c>
      <c r="BD169" s="21">
        <v>0</v>
      </c>
      <c r="BE169" s="21">
        <v>0</v>
      </c>
      <c r="BF169" s="21">
        <f t="shared" si="31"/>
        <v>645000</v>
      </c>
      <c r="BG169" s="21">
        <v>300000</v>
      </c>
      <c r="BH169" s="21" t="s">
        <v>39</v>
      </c>
      <c r="BI169" s="21" t="s">
        <v>2253</v>
      </c>
      <c r="BJ169" s="21" t="s">
        <v>2253</v>
      </c>
      <c r="BK169" s="21">
        <v>3161701</v>
      </c>
      <c r="BL169" s="21">
        <f>5000+340000</f>
        <v>345000</v>
      </c>
      <c r="BM169" s="21">
        <f t="shared" si="32"/>
        <v>0</v>
      </c>
      <c r="BN169" s="25"/>
      <c r="BO169" s="21"/>
      <c r="BP169" s="21"/>
      <c r="BQ169" s="21"/>
      <c r="BR169" s="21"/>
      <c r="BS169" s="21"/>
      <c r="BT169" s="21"/>
      <c r="BU169" s="26"/>
      <c r="BV169" s="27"/>
      <c r="BW169" s="27"/>
      <c r="BX169" s="27">
        <v>0</v>
      </c>
      <c r="BY169" s="27">
        <v>0</v>
      </c>
      <c r="BZ169" s="27">
        <v>0</v>
      </c>
      <c r="CA169" s="27" t="str">
        <f t="shared" si="27"/>
        <v>NO</v>
      </c>
      <c r="CB169" s="27"/>
      <c r="CC169" s="27"/>
      <c r="CD169" s="27"/>
      <c r="CE169" s="27"/>
      <c r="CF169" s="27"/>
      <c r="CG169" s="28"/>
    </row>
    <row r="170" spans="1:85" s="20" customFormat="1" ht="15.75" hidden="1" customHeight="1" x14ac:dyDescent="0.3">
      <c r="A170" s="21">
        <v>158</v>
      </c>
      <c r="B170" s="22" t="s">
        <v>2816</v>
      </c>
      <c r="C170" s="22" t="s">
        <v>2153</v>
      </c>
      <c r="D170" s="23" t="s">
        <v>2817</v>
      </c>
      <c r="E170" s="24">
        <v>45470</v>
      </c>
      <c r="F170" s="24">
        <v>45471</v>
      </c>
      <c r="G170" s="22" t="s">
        <v>2283</v>
      </c>
      <c r="H170" s="22" t="s">
        <v>2283</v>
      </c>
      <c r="I170" s="22" t="s">
        <v>2249</v>
      </c>
      <c r="J170" s="22" t="s">
        <v>2818</v>
      </c>
      <c r="K170" s="22"/>
      <c r="L170" s="22"/>
      <c r="M170" s="24" t="s">
        <v>310</v>
      </c>
      <c r="N170" s="24" t="s">
        <v>310</v>
      </c>
      <c r="O170" s="22" t="s">
        <v>2326</v>
      </c>
      <c r="P170" s="22">
        <v>532023</v>
      </c>
      <c r="Q170" s="22" t="s">
        <v>2819</v>
      </c>
      <c r="R170" s="22" t="s">
        <v>2283</v>
      </c>
      <c r="S170" s="22" t="s">
        <v>2820</v>
      </c>
      <c r="T170" s="8" t="s">
        <v>2155</v>
      </c>
      <c r="U170" s="8" t="s">
        <v>2286</v>
      </c>
      <c r="V170" s="21">
        <v>561000</v>
      </c>
      <c r="W170" s="21">
        <v>53351</v>
      </c>
      <c r="X170" s="21">
        <v>25000</v>
      </c>
      <c r="Y170" s="21">
        <v>0</v>
      </c>
      <c r="Z170" s="21">
        <v>0</v>
      </c>
      <c r="AA170" s="21" t="s">
        <v>2260</v>
      </c>
      <c r="AB170" s="21">
        <v>0</v>
      </c>
      <c r="AC170" s="21">
        <v>0</v>
      </c>
      <c r="AD170" s="21">
        <v>0</v>
      </c>
      <c r="AE170" s="21">
        <v>0</v>
      </c>
      <c r="AF170" s="21">
        <v>0</v>
      </c>
      <c r="AG170" s="21">
        <v>0</v>
      </c>
      <c r="AH170" s="21">
        <v>0</v>
      </c>
      <c r="AI170" s="21">
        <v>0</v>
      </c>
      <c r="AJ170" s="21">
        <v>10000</v>
      </c>
      <c r="AK170" s="21">
        <v>0</v>
      </c>
      <c r="AL170" s="21">
        <v>0</v>
      </c>
      <c r="AM170" s="21">
        <v>0</v>
      </c>
      <c r="AN170" s="21">
        <v>0</v>
      </c>
      <c r="AO170" s="21">
        <v>0</v>
      </c>
      <c r="AP170" s="21">
        <v>0</v>
      </c>
      <c r="AQ170" s="21">
        <v>3100</v>
      </c>
      <c r="AR170" s="21">
        <v>15000</v>
      </c>
      <c r="AS170" s="21">
        <v>0</v>
      </c>
      <c r="AT170" s="21">
        <v>0</v>
      </c>
      <c r="AU170" s="21">
        <v>0</v>
      </c>
      <c r="AV170" s="21">
        <v>0</v>
      </c>
      <c r="AW170" s="21"/>
      <c r="AX170" s="21">
        <v>18000</v>
      </c>
      <c r="AY170" s="21">
        <f t="shared" si="28"/>
        <v>16000</v>
      </c>
      <c r="AZ170" s="21">
        <f t="shared" si="29"/>
        <v>18000</v>
      </c>
      <c r="BA170" s="21">
        <f t="shared" si="30"/>
        <v>16000</v>
      </c>
      <c r="BB170" s="21">
        <v>0</v>
      </c>
      <c r="BC170" s="21">
        <v>2000</v>
      </c>
      <c r="BD170" s="21">
        <v>0</v>
      </c>
      <c r="BE170" s="21">
        <v>0</v>
      </c>
      <c r="BF170" s="21">
        <f t="shared" si="31"/>
        <v>593251</v>
      </c>
      <c r="BG170" s="21">
        <v>494679</v>
      </c>
      <c r="BH170" s="21" t="s">
        <v>2287</v>
      </c>
      <c r="BI170" s="21" t="s">
        <v>2253</v>
      </c>
      <c r="BJ170" s="21" t="s">
        <v>2253</v>
      </c>
      <c r="BK170" s="21">
        <v>0</v>
      </c>
      <c r="BL170" s="21">
        <f>70000+1100+27472</f>
        <v>98572</v>
      </c>
      <c r="BM170" s="21">
        <f t="shared" si="32"/>
        <v>0</v>
      </c>
      <c r="BN170" s="25"/>
      <c r="BO170" s="21"/>
      <c r="BP170" s="21"/>
      <c r="BQ170" s="21"/>
      <c r="BR170" s="21"/>
      <c r="BS170" s="21"/>
      <c r="BT170" s="21"/>
      <c r="BU170" s="26"/>
      <c r="BV170" s="27"/>
      <c r="BW170" s="27"/>
      <c r="BX170" s="27">
        <v>0</v>
      </c>
      <c r="BY170" s="27">
        <v>0</v>
      </c>
      <c r="BZ170" s="27">
        <v>0</v>
      </c>
      <c r="CA170" s="27" t="str">
        <f t="shared" si="27"/>
        <v>NO</v>
      </c>
      <c r="CB170" s="27"/>
      <c r="CC170" s="27"/>
      <c r="CD170" s="27"/>
      <c r="CE170" s="27"/>
      <c r="CF170" s="27"/>
      <c r="CG170" s="28"/>
    </row>
    <row r="171" spans="1:85" s="20" customFormat="1" ht="15.75" hidden="1" customHeight="1" x14ac:dyDescent="0.3">
      <c r="A171" s="21"/>
      <c r="B171" s="29"/>
      <c r="C171" s="22"/>
      <c r="D171" s="23"/>
      <c r="E171" s="24"/>
      <c r="F171" s="24"/>
      <c r="G171" s="22"/>
      <c r="H171" s="22"/>
      <c r="I171" s="22"/>
      <c r="J171" s="22"/>
      <c r="K171" s="22"/>
      <c r="L171" s="22"/>
      <c r="M171" s="24"/>
      <c r="N171" s="24"/>
      <c r="O171" s="22"/>
      <c r="P171" s="22"/>
      <c r="Q171" s="22"/>
      <c r="R171" s="22"/>
      <c r="S171" s="139"/>
      <c r="T171" s="8"/>
      <c r="U171" s="8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5"/>
      <c r="BO171" s="21"/>
      <c r="BP171" s="21"/>
      <c r="BQ171" s="21"/>
      <c r="BR171" s="21"/>
      <c r="BS171" s="21"/>
      <c r="BT171" s="21"/>
      <c r="BU171" s="26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8"/>
    </row>
    <row r="172" spans="1:85" hidden="1" x14ac:dyDescent="0.3">
      <c r="BA172" s="31">
        <f>SUM(BA2:BA171)</f>
        <v>1370676</v>
      </c>
    </row>
    <row r="173" spans="1:85" hidden="1" x14ac:dyDescent="0.3">
      <c r="AY173" s="138">
        <f>AVERAGE(AY13:AY136)</f>
        <v>7546.8629032258068</v>
      </c>
    </row>
    <row r="174" spans="1:85" x14ac:dyDescent="0.3">
      <c r="AY174" s="138">
        <f>AVERAGE(AY39:AY53)</f>
        <v>5757.666666666667</v>
      </c>
    </row>
    <row r="175" spans="1:85" x14ac:dyDescent="0.3">
      <c r="AY175" s="138"/>
    </row>
    <row r="181" spans="13:13" x14ac:dyDescent="0.3">
      <c r="M181" s="31" t="s">
        <v>3109</v>
      </c>
    </row>
  </sheetData>
  <autoFilter ref="A1:BT173" xr:uid="{00000000-0001-0000-0200-000000000000}">
    <filterColumn colId="18">
      <filters>
        <filter val="BHAGWAN DHANGAR"/>
      </filters>
    </filterColumn>
    <sortState xmlns:xlrd2="http://schemas.microsoft.com/office/spreadsheetml/2017/richdata2" ref="A2:BT173">
      <sortCondition ref="T1:T173"/>
    </sortState>
  </autoFilter>
  <dataValidations count="1">
    <dataValidation type="list" allowBlank="1" showInputMessage="1" showErrorMessage="1" sqref="G2:G11 G147:G148 G83:G145 G150:G166 G76:G81 G168:G171 G13:G30 M3 Q167:Q168 Q160:Q165 Q158 Q152:Q155 Q134:Q150 Q128:Q132 Q122:Q126 Q113:Q120 Q102:Q111 Q98:Q100 Q82:Q96 Q76:Q80 Q62:Q65 Q57:Q60 Q45:Q55 Q35:Q43 Q33 Q28:Q31 Q23 Q20:Q21 Q4:Q18 Q2 Q170:Q171 S160:S166 S125:S145 S78:S81 S86:S123 S83:S84 S2:S66 S147:S156 S158 S168:S171 S74:S76 S68:S73 Q67:Q73 G74 G32:G73" xr:uid="{00000000-0002-0000-0200-000000000000}">
      <formula1>#REF!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2:CF101"/>
  <sheetViews>
    <sheetView zoomScale="69" zoomScaleNormal="55" workbookViewId="0">
      <pane xSplit="3" ySplit="5" topLeftCell="BF6" activePane="bottomRight" state="frozen"/>
      <selection pane="topRight" activeCell="D1" sqref="D1"/>
      <selection pane="bottomLeft" activeCell="A6" sqref="A6"/>
      <selection pane="bottomRight" activeCell="BX6" sqref="BX6"/>
    </sheetView>
  </sheetViews>
  <sheetFormatPr defaultRowHeight="14.4" x14ac:dyDescent="0.3"/>
  <cols>
    <col min="1" max="1" width="11.44140625" style="34" bestFit="1" customWidth="1"/>
    <col min="2" max="2" width="22.5546875" style="34" bestFit="1" customWidth="1"/>
    <col min="3" max="3" width="25.109375" style="34" bestFit="1" customWidth="1"/>
    <col min="4" max="4" width="22.5546875" style="34" bestFit="1" customWidth="1"/>
    <col min="5" max="5" width="24.6640625" style="34" bestFit="1" customWidth="1"/>
    <col min="6" max="6" width="14.33203125" style="34" customWidth="1"/>
    <col min="7" max="7" width="10.44140625" style="34" bestFit="1" customWidth="1"/>
    <col min="8" max="8" width="10.33203125" style="34" customWidth="1"/>
    <col min="9" max="9" width="11.5546875" style="34" bestFit="1" customWidth="1"/>
    <col min="10" max="10" width="10.44140625" style="34" bestFit="1" customWidth="1"/>
    <col min="11" max="15" width="10.44140625" style="34" customWidth="1"/>
    <col min="16" max="16" width="11.5546875" style="34" bestFit="1" customWidth="1"/>
    <col min="17" max="17" width="9.88671875" style="34" bestFit="1" customWidth="1"/>
    <col min="18" max="19" width="9.44140625" style="34" bestFit="1" customWidth="1"/>
    <col min="20" max="21" width="9.88671875" style="34" customWidth="1"/>
    <col min="22" max="22" width="9.44140625" style="34" bestFit="1" customWidth="1"/>
    <col min="23" max="26" width="9.44140625" style="34" customWidth="1"/>
    <col min="27" max="27" width="10" style="34" customWidth="1"/>
    <col min="28" max="29" width="9" style="34" customWidth="1"/>
    <col min="30" max="32" width="12.44140625" style="34" customWidth="1"/>
    <col min="33" max="33" width="16.88671875" style="34" customWidth="1"/>
    <col min="34" max="34" width="12.44140625" style="34" customWidth="1"/>
    <col min="35" max="35" width="11.88671875" style="34" customWidth="1"/>
    <col min="36" max="36" width="12.44140625" style="34" customWidth="1"/>
    <col min="37" max="38" width="14.33203125" style="34" customWidth="1"/>
    <col min="39" max="39" width="11.33203125" style="34" customWidth="1"/>
    <col min="40" max="40" width="10.44140625" style="34" customWidth="1"/>
    <col min="41" max="41" width="10.33203125" style="34" customWidth="1"/>
    <col min="42" max="44" width="9.44140625" style="34" customWidth="1"/>
    <col min="45" max="46" width="10.33203125" style="34" customWidth="1"/>
    <col min="47" max="48" width="9.44140625" style="34" customWidth="1"/>
    <col min="49" max="49" width="9.33203125" style="42" customWidth="1"/>
    <col min="50" max="50" width="10.44140625" style="34" customWidth="1"/>
    <col min="51" max="51" width="10" style="34" customWidth="1"/>
    <col min="52" max="53" width="10.44140625" style="34" customWidth="1"/>
    <col min="54" max="58" width="9.33203125" style="34" customWidth="1"/>
    <col min="59" max="60" width="14.33203125" style="34" customWidth="1"/>
    <col min="61" max="61" width="9.33203125" style="34" customWidth="1"/>
    <col min="62" max="63" width="12.44140625" style="34" customWidth="1"/>
    <col min="64" max="64" width="11.6640625" style="34" bestFit="1" customWidth="1"/>
    <col min="65" max="65" width="11.6640625" style="34" customWidth="1"/>
    <col min="66" max="66" width="13.88671875" style="34" bestFit="1" customWidth="1"/>
    <col min="67" max="67" width="12.44140625" style="34" bestFit="1" customWidth="1"/>
    <col min="68" max="73" width="12.44140625" style="34" customWidth="1"/>
    <col min="74" max="74" width="12.44140625" style="41" bestFit="1" customWidth="1"/>
    <col min="75" max="75" width="9.6640625" style="34" bestFit="1" customWidth="1"/>
    <col min="76" max="76" width="21" style="34" bestFit="1" customWidth="1"/>
    <col min="77" max="79" width="8.88671875" style="34"/>
    <col min="80" max="81" width="11.33203125" style="34" bestFit="1" customWidth="1"/>
    <col min="82" max="82" width="11.88671875" style="34" bestFit="1" customWidth="1"/>
    <col min="83" max="83" width="8.88671875" style="34"/>
    <col min="84" max="84" width="9.6640625" style="34" bestFit="1" customWidth="1"/>
    <col min="85" max="91" width="8.88671875" style="34"/>
    <col min="92" max="93" width="11.5546875" style="34" bestFit="1" customWidth="1"/>
    <col min="94" max="16384" width="8.88671875" style="34"/>
  </cols>
  <sheetData>
    <row r="2" spans="1:84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143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</row>
    <row r="3" spans="1:84" x14ac:dyDescent="0.3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143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</row>
    <row r="4" spans="1:84" x14ac:dyDescent="0.3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143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</row>
    <row r="5" spans="1:84" x14ac:dyDescent="0.3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143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</row>
    <row r="6" spans="1:84" s="87" customFormat="1" ht="84" customHeight="1" x14ac:dyDescent="0.3">
      <c r="A6" s="81" t="s">
        <v>2917</v>
      </c>
      <c r="B6" s="81" t="s">
        <v>2916</v>
      </c>
      <c r="C6" s="81" t="s">
        <v>2915</v>
      </c>
      <c r="D6" s="81" t="s">
        <v>2872</v>
      </c>
      <c r="E6" s="81" t="s">
        <v>2853</v>
      </c>
      <c r="F6" s="81" t="s">
        <v>2917</v>
      </c>
      <c r="G6" s="86" t="s">
        <v>2458</v>
      </c>
      <c r="H6" s="86" t="s">
        <v>2987</v>
      </c>
      <c r="I6" s="86" t="s">
        <v>2296</v>
      </c>
      <c r="J6" s="86" t="s">
        <v>2993</v>
      </c>
      <c r="K6" s="86" t="s">
        <v>2503</v>
      </c>
      <c r="L6" s="86" t="s">
        <v>2988</v>
      </c>
      <c r="M6" s="86" t="s">
        <v>2362</v>
      </c>
      <c r="N6" s="43" t="s">
        <v>2991</v>
      </c>
      <c r="O6" s="43" t="s">
        <v>2990</v>
      </c>
      <c r="P6" s="43" t="s">
        <v>248</v>
      </c>
      <c r="Q6" s="43" t="s">
        <v>310</v>
      </c>
      <c r="R6" s="43" t="s">
        <v>2263</v>
      </c>
      <c r="S6" s="43" t="s">
        <v>2304</v>
      </c>
      <c r="T6" s="43" t="s">
        <v>2992</v>
      </c>
      <c r="U6" s="43" t="s">
        <v>2989</v>
      </c>
      <c r="V6" s="81" t="s">
        <v>2914</v>
      </c>
      <c r="W6" s="81" t="s">
        <v>2913</v>
      </c>
      <c r="X6" s="81" t="s">
        <v>2912</v>
      </c>
      <c r="Y6" s="81" t="s">
        <v>3001</v>
      </c>
      <c r="Z6" s="81" t="s">
        <v>2911</v>
      </c>
      <c r="AA6" s="81" t="s">
        <v>2910</v>
      </c>
      <c r="AB6" s="82" t="s">
        <v>2909</v>
      </c>
      <c r="AC6" s="82" t="s">
        <v>2867</v>
      </c>
      <c r="AD6" s="81" t="s">
        <v>2908</v>
      </c>
      <c r="AE6" s="81" t="s">
        <v>2907</v>
      </c>
      <c r="AF6" s="81" t="s">
        <v>2906</v>
      </c>
      <c r="AG6" s="85" t="s">
        <v>2905</v>
      </c>
      <c r="AH6" s="44" t="s">
        <v>2904</v>
      </c>
      <c r="AI6" s="44" t="s">
        <v>2903</v>
      </c>
      <c r="AJ6" s="44" t="s">
        <v>2902</v>
      </c>
      <c r="AK6" s="81" t="s">
        <v>2901</v>
      </c>
      <c r="AL6" s="81" t="s">
        <v>2900</v>
      </c>
      <c r="AM6" s="81" t="s">
        <v>2899</v>
      </c>
      <c r="AN6" s="81" t="s">
        <v>2898</v>
      </c>
      <c r="AO6" s="81" t="s">
        <v>2897</v>
      </c>
      <c r="AP6" s="81" t="s">
        <v>2896</v>
      </c>
      <c r="AQ6" s="81" t="s">
        <v>3008</v>
      </c>
      <c r="AR6" s="81" t="s">
        <v>3007</v>
      </c>
      <c r="AS6" s="81" t="s">
        <v>2895</v>
      </c>
      <c r="AT6" s="81" t="s">
        <v>3009</v>
      </c>
      <c r="AU6" s="81" t="s">
        <v>2894</v>
      </c>
      <c r="AV6" s="81" t="s">
        <v>3010</v>
      </c>
      <c r="AW6" s="84" t="s">
        <v>2893</v>
      </c>
      <c r="AX6" s="81" t="s">
        <v>2892</v>
      </c>
      <c r="AY6" s="81" t="s">
        <v>3011</v>
      </c>
      <c r="AZ6" s="81" t="s">
        <v>2891</v>
      </c>
      <c r="BA6" s="81" t="s">
        <v>3012</v>
      </c>
      <c r="BB6" s="81" t="s">
        <v>2890</v>
      </c>
      <c r="BC6" s="83" t="s">
        <v>2889</v>
      </c>
      <c r="BD6" s="83" t="s">
        <v>3013</v>
      </c>
      <c r="BE6" s="83" t="s">
        <v>3015</v>
      </c>
      <c r="BF6" s="83" t="s">
        <v>3016</v>
      </c>
      <c r="BG6" s="81" t="s">
        <v>2888</v>
      </c>
      <c r="BH6" s="81" t="s">
        <v>2887</v>
      </c>
      <c r="BI6" s="81" t="s">
        <v>2886</v>
      </c>
      <c r="BJ6" s="81" t="s">
        <v>2885</v>
      </c>
      <c r="BK6" s="81" t="s">
        <v>3095</v>
      </c>
      <c r="BL6" s="81" t="s">
        <v>2865</v>
      </c>
      <c r="BM6" s="81" t="s">
        <v>2884</v>
      </c>
      <c r="BN6" s="81" t="s">
        <v>2883</v>
      </c>
      <c r="BO6" s="44" t="s">
        <v>2882</v>
      </c>
      <c r="BP6" s="81" t="s">
        <v>3059</v>
      </c>
      <c r="BQ6" s="81" t="s">
        <v>2881</v>
      </c>
      <c r="BR6" s="81" t="s">
        <v>3057</v>
      </c>
      <c r="BS6" s="81" t="s">
        <v>3058</v>
      </c>
      <c r="BT6" s="81" t="s">
        <v>3056</v>
      </c>
      <c r="BU6" s="81" t="s">
        <v>2880</v>
      </c>
      <c r="BV6" s="80" t="s">
        <v>2863</v>
      </c>
      <c r="CB6" s="79"/>
      <c r="CC6" s="79"/>
      <c r="CD6" s="144"/>
    </row>
    <row r="7" spans="1:84" s="77" customFormat="1" ht="20.25" hidden="1" customHeight="1" x14ac:dyDescent="0.3">
      <c r="A7" s="79" t="e">
        <v>#N/A</v>
      </c>
      <c r="B7" s="79" t="s">
        <v>2810</v>
      </c>
      <c r="C7" s="79" t="s">
        <v>2810</v>
      </c>
      <c r="D7" s="79" t="s">
        <v>2810</v>
      </c>
      <c r="E7" s="79" t="s">
        <v>260</v>
      </c>
      <c r="F7" s="79" t="e">
        <f>+VLOOKUP(C7,'EMP STATUS'!$D$3:$K$77,8,0)</f>
        <v>#N/A</v>
      </c>
      <c r="G7" s="39">
        <f>+COUNTIFS(SALES!$S$2:$S$171,'CALCULATION DSE'!$C$7:$C$80,SALES!$N$2:$N$171,'CALCULATION DSE'!$G$6:$U$6)</f>
        <v>0</v>
      </c>
      <c r="H7" s="39">
        <f>+COUNTIFS(SALES!$S$2:$S$171,'CALCULATION DSE'!$C$7:$C$80,SALES!$N$2:$N$171,'CALCULATION DSE'!$G$6:$U$6)</f>
        <v>0</v>
      </c>
      <c r="I7" s="39">
        <f>+COUNTIFS(SALES!$S$2:$S$171,'CALCULATION DSE'!$C$7:$C$80,SALES!$N$2:$N$171,'CALCULATION DSE'!$G$6:$U$6)</f>
        <v>0</v>
      </c>
      <c r="J7" s="39">
        <f>+COUNTIFS(SALES!$S$2:$S$171,'CALCULATION DSE'!$C$7:$C$80,SALES!$N$2:$N$171,'CALCULATION DSE'!$G$6:$U$6)</f>
        <v>0</v>
      </c>
      <c r="K7" s="39">
        <f>+COUNTIFS(SALES!$S$2:$S$171,'CALCULATION DSE'!$C$7:$C$80,SALES!$N$2:$N$171,'CALCULATION DSE'!$G$6:$U$6)</f>
        <v>0</v>
      </c>
      <c r="L7" s="39">
        <f>+COUNTIFS(SALES!$S$2:$S$171,'CALCULATION DSE'!$C$7:$C$80,SALES!$N$2:$N$171,'CALCULATION DSE'!$G$6:$U$6)</f>
        <v>0</v>
      </c>
      <c r="M7" s="39">
        <f>+COUNTIFS(SALES!$S$2:$S$171,'CALCULATION DSE'!$C$7:$C$80,SALES!$N$2:$N$171,'CALCULATION DSE'!$G$6:$U$6)</f>
        <v>0</v>
      </c>
      <c r="N7" s="39">
        <f>+COUNTIFS(SALES!$S$2:$S$171,'CALCULATION DSE'!$C$7:$C$80,SALES!$N$2:$N$171,'CALCULATION DSE'!$G$6:$U$6)</f>
        <v>0</v>
      </c>
      <c r="O7" s="39">
        <f>+COUNTIFS(SALES!$S$2:$S$171,'CALCULATION DSE'!$C$7:$C$80,SALES!$N$2:$N$171,'CALCULATION DSE'!$G$6:$U$6)</f>
        <v>0</v>
      </c>
      <c r="P7" s="39">
        <f>+COUNTIFS(SALES!$S$2:$S$171,'CALCULATION DSE'!$C$7:$C$80,SALES!$N$2:$N$171,'CALCULATION DSE'!$G$6:$U$6)</f>
        <v>0</v>
      </c>
      <c r="Q7" s="39">
        <f>+COUNTIFS(SALES!$S$2:$S$171,'CALCULATION DSE'!$C$7:$C$80,SALES!$N$2:$N$171,'CALCULATION DSE'!$G$6:$U$6)</f>
        <v>0</v>
      </c>
      <c r="R7" s="39">
        <f>+COUNTIFS(SALES!$S$2:$S$171,'CALCULATION DSE'!$C$7:$C$80,SALES!$N$2:$N$171,'CALCULATION DSE'!$G$6:$U$6)</f>
        <v>0</v>
      </c>
      <c r="S7" s="39">
        <f>+COUNTIFS(SALES!$S$2:$S$171,'CALCULATION DSE'!$C$7:$C$80,SALES!$N$2:$N$171,'CALCULATION DSE'!$G$6:$U$6)</f>
        <v>0</v>
      </c>
      <c r="T7" s="39">
        <f>+COUNTIFS(SALES!$S$2:$S$171,'CALCULATION DSE'!$C$7:$C$80,SALES!$N$2:$N$171,'CALCULATION DSE'!$G$6:$U$6)</f>
        <v>0</v>
      </c>
      <c r="U7" s="39">
        <f>+COUNTIFS(SALES!$S$2:$S$171,'CALCULATION DSE'!$C$7:$C$80,SALES!$N$2:$N$171,'CALCULATION DSE'!$G$6:$U$6)</f>
        <v>0</v>
      </c>
      <c r="V7" s="36">
        <f t="shared" ref="V7:V10" si="0">+SUM(G7:U7)</f>
        <v>0</v>
      </c>
      <c r="W7" s="36">
        <f>+SUM(G7:Q7,S7:U7)</f>
        <v>0</v>
      </c>
      <c r="X7" s="79">
        <f>+R7</f>
        <v>0</v>
      </c>
      <c r="Y7" s="79">
        <f>+J7+T7</f>
        <v>0</v>
      </c>
      <c r="Z7" s="79">
        <f>+SUM(G7+H7+I7+J7+K7+L7+M7)</f>
        <v>0</v>
      </c>
      <c r="AA7" s="79" t="s">
        <v>2876</v>
      </c>
      <c r="AB7" s="96" t="s">
        <v>2260</v>
      </c>
      <c r="AC7" s="72" t="s">
        <v>2260</v>
      </c>
      <c r="AD7" s="79">
        <v>0</v>
      </c>
      <c r="AE7" s="134">
        <v>0</v>
      </c>
      <c r="AF7" s="134">
        <v>0</v>
      </c>
      <c r="AG7" s="134">
        <v>0</v>
      </c>
      <c r="AH7" s="134">
        <v>0</v>
      </c>
      <c r="AI7" s="68">
        <f>+IF(AA7="NEW",IF(AH7&gt;=140,1800,0),IF(AND(AA7="OLD",V7&gt;=2),IF(AH7&gt;=140,1800,0),0))</f>
        <v>0</v>
      </c>
      <c r="AJ7" s="134">
        <v>0</v>
      </c>
      <c r="AK7" s="134">
        <v>0</v>
      </c>
      <c r="AL7" s="134">
        <v>0</v>
      </c>
      <c r="AM7" s="67">
        <f t="shared" ref="AM7:AM10" si="1">+IF(AA7="new",IF(AL7&gt;=25001,AK7*5%,IF(AL7&gt;=22501,AK7*4.5%,IF(AL7&gt;=21001,AK7*4%,IF(AL7&gt;=19501,AK7*3.5%,IF(AL7&gt;=17001,AK7*3%,0%))))),IF(AND(AA7="OLD",V7&gt;=2),IF(AL7&gt;=25001,AK7*5%,IF(AL7&gt;=22501,AK7*4.5%,IF(AL7&gt;=21001,AK7*4%,IF(AL7&gt;=19501,AK7*3.5%,IF(AL7&gt;=17001,AK7*3%,0%))))),0))</f>
        <v>0</v>
      </c>
      <c r="AN7" s="134">
        <v>0</v>
      </c>
      <c r="AO7" s="134">
        <v>0</v>
      </c>
      <c r="AP7" s="134">
        <v>0</v>
      </c>
      <c r="AQ7" s="134">
        <v>0</v>
      </c>
      <c r="AR7" s="134">
        <v>0</v>
      </c>
      <c r="AS7" s="134">
        <v>0</v>
      </c>
      <c r="AT7" s="134">
        <v>0</v>
      </c>
      <c r="AU7" s="134">
        <v>0</v>
      </c>
      <c r="AV7" s="134">
        <v>0</v>
      </c>
      <c r="AW7" s="134">
        <v>0</v>
      </c>
      <c r="AX7" s="67">
        <f t="shared" ref="AX7:AX10" si="2">+IF(AA7="new",IF(AW7&gt;=80%,AU7*1000,IF(AW7&gt;=70%,AU7*400,0)),IF(AND(AA7="old",V7&gt;=2),IF(AW7&gt;=80%,AU7*1000,IF(AW7&gt;=70%,AU7*400,0)),0))</f>
        <v>0</v>
      </c>
      <c r="AY7" s="134">
        <v>0</v>
      </c>
      <c r="AZ7" s="134">
        <v>0</v>
      </c>
      <c r="BA7" s="134">
        <v>0</v>
      </c>
      <c r="BB7" s="134">
        <v>0</v>
      </c>
      <c r="BC7" s="66">
        <f t="shared" ref="BC7:BC10" si="3">+IF(AA7="new",IF(BB7&gt;=80%,AZ7*750,IF(BB7&gt;=70%,AZ7*250,0)),IF(AND(AA7="OLD",V7&gt;=2),IF(BB7&gt;=80%,AZ7*750,IF(BB7&gt;=70%,AZ7*250,0)),0))</f>
        <v>0</v>
      </c>
      <c r="BD7" s="134">
        <v>0</v>
      </c>
      <c r="BE7" s="134">
        <v>0</v>
      </c>
      <c r="BF7" s="66">
        <f t="shared" ref="BF7:BF10" si="4">+IF(AA7="NEW",BE7*3000,IF(AND(AA7="OLD",V7&gt;=2),BE7*3000,0))</f>
        <v>0</v>
      </c>
      <c r="BG7" s="134">
        <v>0</v>
      </c>
      <c r="BH7" s="134">
        <v>0</v>
      </c>
      <c r="BI7" s="134">
        <v>0</v>
      </c>
      <c r="BJ7" s="134">
        <v>0</v>
      </c>
      <c r="BK7" s="134">
        <v>0</v>
      </c>
      <c r="BL7" s="134">
        <v>0</v>
      </c>
      <c r="BM7" s="134">
        <v>0</v>
      </c>
      <c r="BN7" s="134">
        <v>0</v>
      </c>
      <c r="BO7" s="134">
        <v>0</v>
      </c>
      <c r="BP7" s="134">
        <v>0</v>
      </c>
      <c r="BQ7" s="134">
        <v>0</v>
      </c>
      <c r="BR7" s="134">
        <v>0</v>
      </c>
      <c r="BS7" s="134">
        <v>0</v>
      </c>
      <c r="BT7" s="134">
        <v>0</v>
      </c>
      <c r="BU7" s="134">
        <v>0</v>
      </c>
      <c r="BV7" s="134">
        <v>0</v>
      </c>
      <c r="CB7" s="95"/>
      <c r="CC7" s="95"/>
      <c r="CD7" s="78"/>
    </row>
    <row r="8" spans="1:84" customFormat="1" hidden="1" x14ac:dyDescent="0.3">
      <c r="A8" s="74" t="s">
        <v>3060</v>
      </c>
      <c r="B8" s="40" t="s">
        <v>986</v>
      </c>
      <c r="C8" s="40" t="s">
        <v>2463</v>
      </c>
      <c r="D8" s="40" t="s">
        <v>2463</v>
      </c>
      <c r="E8" s="73" t="s">
        <v>2879</v>
      </c>
      <c r="F8" s="79" t="str">
        <f>+VLOOKUP(C8,'EMP STATUS'!$D$3:$K$77,8,0)</f>
        <v>0694</v>
      </c>
      <c r="G8" s="39">
        <f>+COUNTIFS(SALES!$S$2:$S$171,'CALCULATION DSE'!$C$8:$C$80,SALES!$N$2:$N$171,'CALCULATION DSE'!$G$6:$U$6)</f>
        <v>0</v>
      </c>
      <c r="H8" s="39">
        <f>+COUNTIFS(SALES!$S$2:$S$171,'CALCULATION DSE'!$C$8:$C$80,SALES!$N$2:$N$171,'CALCULATION DSE'!$G$6:$U$6)</f>
        <v>0</v>
      </c>
      <c r="I8" s="39">
        <f>+COUNTIFS(SALES!$S$2:$S$171,'CALCULATION DSE'!$C$8:$C$80,SALES!$N$2:$N$171,'CALCULATION DSE'!$G$6:$U$6)</f>
        <v>0</v>
      </c>
      <c r="J8" s="39">
        <f>+COUNTIFS(SALES!$S$2:$S$171,'CALCULATION DSE'!$C$8:$C$80,SALES!$N$2:$N$171,'CALCULATION DSE'!$G$6:$U$6)</f>
        <v>0</v>
      </c>
      <c r="K8" s="39">
        <f>+COUNTIFS(SALES!$S$2:$S$171,'CALCULATION DSE'!$C$8:$C$80,SALES!$N$2:$N$171,'CALCULATION DSE'!$G$6:$U$6)</f>
        <v>0</v>
      </c>
      <c r="L8" s="39">
        <f>+COUNTIFS(SALES!$S$2:$S$171,'CALCULATION DSE'!$C$8:$C$80,SALES!$N$2:$N$171,'CALCULATION DSE'!$G$6:$U$6)</f>
        <v>0</v>
      </c>
      <c r="M8" s="39">
        <f>+COUNTIFS(SALES!$S$2:$S$171,'CALCULATION DSE'!$C$8:$C$80,SALES!$N$2:$N$171,'CALCULATION DSE'!$G$6:$U$6)</f>
        <v>0</v>
      </c>
      <c r="N8" s="39">
        <f>+COUNTIFS(SALES!$S$2:$S$171,'CALCULATION DSE'!$C$8:$C$80,SALES!$N$2:$N$171,'CALCULATION DSE'!$G$6:$U$6)</f>
        <v>0</v>
      </c>
      <c r="O8" s="39">
        <f>+COUNTIFS(SALES!$S$2:$S$171,'CALCULATION DSE'!$C$8:$C$80,SALES!$N$2:$N$171,'CALCULATION DSE'!$G$6:$U$6)</f>
        <v>1</v>
      </c>
      <c r="P8" s="39">
        <f>+COUNTIFS(SALES!$S$2:$S$171,'CALCULATION DSE'!$C$8:$C$80,SALES!$N$2:$N$171,'CALCULATION DSE'!$G$6:$U$6)</f>
        <v>0</v>
      </c>
      <c r="Q8" s="39">
        <f>+COUNTIFS(SALES!$S$2:$S$171,'CALCULATION DSE'!$C$8:$C$80,SALES!$N$2:$N$171,'CALCULATION DSE'!$G$6:$U$6)</f>
        <v>0</v>
      </c>
      <c r="R8" s="39">
        <f>+COUNTIFS(SALES!$S$2:$S$171,'CALCULATION DSE'!$C$8:$C$80,SALES!$N$2:$N$171,'CALCULATION DSE'!$G$6:$U$6)</f>
        <v>1</v>
      </c>
      <c r="S8" s="39">
        <f>+COUNTIFS(SALES!$S$2:$S$171,'CALCULATION DSE'!$C$8:$C$80,SALES!$N$2:$N$171,'CALCULATION DSE'!$G$6:$U$6)</f>
        <v>0</v>
      </c>
      <c r="T8" s="39">
        <f>+COUNTIFS(SALES!$S$2:$S$171,'CALCULATION DSE'!$C$8:$C$80,SALES!$N$2:$N$171,'CALCULATION DSE'!$G$6:$U$6)</f>
        <v>0</v>
      </c>
      <c r="U8" s="39">
        <f>+COUNTIFS(SALES!$S$2:$S$171,'CALCULATION DSE'!$C$8:$C$80,SALES!$N$2:$N$171,'CALCULATION DSE'!$G$6:$U$6)</f>
        <v>0</v>
      </c>
      <c r="V8" s="36">
        <f t="shared" si="0"/>
        <v>2</v>
      </c>
      <c r="W8" s="36">
        <f t="shared" ref="W8:W10" si="5">+SUM(G8:Q8,S8:U8)</f>
        <v>1</v>
      </c>
      <c r="X8" s="79">
        <f t="shared" ref="X8:X10" si="6">+R8</f>
        <v>1</v>
      </c>
      <c r="Y8" s="79">
        <f t="shared" ref="Y8:Y10" si="7">+J8+T8</f>
        <v>0</v>
      </c>
      <c r="Z8" s="79">
        <f t="shared" ref="Z8:Z10" si="8">+SUM(G8+H8+I8+J8+K8+L8+M8)</f>
        <v>0</v>
      </c>
      <c r="AA8" s="79" t="str">
        <f>+VLOOKUP(C8,'EMP STATUS'!$D$3:$J$77,7,0)</f>
        <v>OLD</v>
      </c>
      <c r="AB8" s="72" t="str">
        <f t="shared" ref="AB8:AB10" si="9">+IF(AA8="OLD","YES","NO")</f>
        <v>YES</v>
      </c>
      <c r="AC8" s="72" t="str">
        <f>+IF(AA8="OLD",IF(OR(Y8&gt;=1,Z8&gt;=1),"YES","NO"),"YES")</f>
        <v>NO</v>
      </c>
      <c r="AD8" s="64">
        <f>+IF(AND(AA8="NEW",V8&lt;2),V8*500,IF(AND(AA8="NEW",V8&gt;=2),IF(V8=2,W8*500,IF(V8=3,W8*750,IF(V8=4,W8*1500,IF(V8=5,W8*2000,IF(V8&gt;=6,W8*2500,0))))),0))</f>
        <v>0</v>
      </c>
      <c r="AE8" s="64">
        <f>+IF(AND(AA8="OLD",V8&gt;=2,AC8="YES"),IF(V8=2,W8*500,IF(V8=3,W8*750,IF(V8=4,W8*1500,IF(V8=5,W8*2000,IF(V8&gt;=6,W8*2500,0))))),0)</f>
        <v>0</v>
      </c>
      <c r="AF8" s="64">
        <f>+IF(AND(AA8="NEW",V8&gt;=2),X8*500,IF(AND(AA8="OLD",V8&gt;=2,AC8="YES"),X8*500,0))</f>
        <v>0</v>
      </c>
      <c r="AG8" s="71">
        <f>+SUM(AD8:AF8)</f>
        <v>0</v>
      </c>
      <c r="AH8" s="68">
        <v>0</v>
      </c>
      <c r="AI8" s="68">
        <f t="shared" ref="AI8:AI10" si="10">+IF(AA8="NEW",IF(AH8&gt;=140,1800,0),IF(AND(AA8="OLD",V8&gt;=2),IF(AH8&gt;=140,1800,0),0))</f>
        <v>0</v>
      </c>
      <c r="AJ8" s="64">
        <f>+IF(AH8&gt;0,IF(AH8&lt;145,1000,0),0)</f>
        <v>0</v>
      </c>
      <c r="AK8" s="66">
        <f>+VLOOKUP(C8,'DSE WISE MGA SALE '!$B$5:$G$116,6,0)</f>
        <v>57724.65753424658</v>
      </c>
      <c r="AL8" s="67">
        <f>+IFERROR(AK8/V8,0)</f>
        <v>28862.32876712329</v>
      </c>
      <c r="AM8" s="67">
        <f t="shared" si="1"/>
        <v>2886.232876712329</v>
      </c>
      <c r="AN8" s="70">
        <f>+COUNTIFS(SALES!$S$2:$S$171,'CALCULATION DSE'!$C$7:$C$80,SALES!$AH$2:$AH$171,"&gt;0")</f>
        <v>0</v>
      </c>
      <c r="AO8" s="68">
        <f>+IF(AN8=1,AN8*400,IF(AN8&gt;=2,AN8*600,0))</f>
        <v>0</v>
      </c>
      <c r="AP8" s="69">
        <f>+COUNTIFS(SALES!$S$2:$S$171,'CALCULATION DSE'!$C$8:$C$80,SALES!$BH$2:$BH$171,"MSSF")</f>
        <v>1</v>
      </c>
      <c r="AQ8" s="69">
        <f>+V8-AP8</f>
        <v>1</v>
      </c>
      <c r="AR8" s="98">
        <f>+IFERROR(AP8/V8,0)</f>
        <v>0.5</v>
      </c>
      <c r="AS8" s="68">
        <f>+IF(AA8="new",IF(AR8&gt;=70%,AP8*250,0),IF(AND(AA8="old",V8&gt;=2),IF(AR8&gt;=70%,AP8*250,0),0))</f>
        <v>0</v>
      </c>
      <c r="AT8" s="68">
        <f>+IF(AG8&gt;0,IF(AR8&lt;70%,AQ8*250,0),0)</f>
        <v>0</v>
      </c>
      <c r="AU8" s="39">
        <f>+COUNTIFS(SALES!$S$2:$S$171,'CALCULATION DSE'!$C$8:$C$80,SALES!$Y$2:$Y$171,"&gt;0")</f>
        <v>2</v>
      </c>
      <c r="AV8" s="39">
        <f>+V8-AU8</f>
        <v>0</v>
      </c>
      <c r="AW8" s="65">
        <f>+IFERROR(AU8/V8,0)</f>
        <v>1</v>
      </c>
      <c r="AX8" s="67">
        <f t="shared" si="2"/>
        <v>2000</v>
      </c>
      <c r="AY8" s="67">
        <f>+IF(AG8&gt;0,IF(AW8&lt;=50%,AV8*400,0),0)</f>
        <v>0</v>
      </c>
      <c r="AZ8" s="39">
        <f>+COUNTIFS(SALES!$S$2:$S$171,'CALCULATION DSE'!$C$8:$C$80,SALES!$AC$2:$AC$171,"&gt;0")</f>
        <v>0</v>
      </c>
      <c r="BA8" s="39">
        <f>+V8-AZ8</f>
        <v>2</v>
      </c>
      <c r="BB8" s="65">
        <f>+IFERROR(AZ8/V8,0)</f>
        <v>0</v>
      </c>
      <c r="BC8" s="66">
        <f t="shared" si="3"/>
        <v>0</v>
      </c>
      <c r="BD8" s="66">
        <f>+IF(AG8&gt;0,IF(BB8&lt;=50%,BA8*250,0),0)</f>
        <v>0</v>
      </c>
      <c r="BE8" s="99">
        <f>+COUNTIFS(SALES!$S$2:$S$171,'CALCULATION DSE'!$C$8:$C$80,SALES!$CA$2:$CA$171,"YES")</f>
        <v>0</v>
      </c>
      <c r="BF8" s="66">
        <f t="shared" si="4"/>
        <v>0</v>
      </c>
      <c r="BG8" s="37">
        <f>+SUMIFS(SALES!$BA$2:$BA$171,SALES!$S$2:$S$171,'CALCULATION DSE'!$C$8:$C$80)</f>
        <v>4701</v>
      </c>
      <c r="BH8" s="37">
        <f>+IFERROR(BG8/V8,0)</f>
        <v>2350.5</v>
      </c>
      <c r="BI8" s="65">
        <f>+IF(BH8&gt;14000,0%,IF(BH8&gt;=12001,30%,IF(BH8&gt;=10001,40%,IF(BH8&gt;=8001,60%,IF(BH8&gt;=6001,80%,IF(BH8&gt;=4001,100%,IF(BH8&gt;=2001,110%,IF(BH8&gt;=1001,130%,150%))))))))</f>
        <v>1.1000000000000001</v>
      </c>
      <c r="BJ8" s="64">
        <f t="shared" ref="BJ8:BJ10" si="11">+AG8*BI8</f>
        <v>0</v>
      </c>
      <c r="BK8" s="64">
        <f t="shared" ref="BK8:BK10" si="12">+IF(SUM(BJ8+AI8-AJ8+AM8+AO8+AS8-AT8+AX8-AY8+BC8-BD8+BF8)&lt;0,0,SUM(BJ8+AI8-AJ8+AM8+AO8+AS8-AT8+AX8-AY8+BC8-BD8+BF8))</f>
        <v>4886.232876712329</v>
      </c>
      <c r="BL8" s="64">
        <v>0</v>
      </c>
      <c r="BM8" s="64">
        <f t="shared" ref="BM8:BM10" si="13">+IF(BL8=1,BL8*500,IF(BL8&gt;=2,BL8*1000,0))</f>
        <v>0</v>
      </c>
      <c r="BN8" s="37">
        <f>+BK8-BM8</f>
        <v>4886.232876712329</v>
      </c>
      <c r="BO8" s="38">
        <f t="shared" ref="BO8:BO10" si="14">+IFERROR(VLOOKUP(C8,$E$87:$O$100,11,0),0)</f>
        <v>0</v>
      </c>
      <c r="BP8" s="64">
        <f t="shared" ref="BP8:BP10" si="15">+U8</f>
        <v>0</v>
      </c>
      <c r="BQ8" s="64">
        <f t="shared" ref="BQ8:BQ10" si="16">+BP8*1000</f>
        <v>0</v>
      </c>
      <c r="BR8" s="64">
        <f t="shared" ref="BR8:BR10" si="17">+J8+O8+T8</f>
        <v>1</v>
      </c>
      <c r="BS8" s="64">
        <f>+BR8*2000</f>
        <v>2000</v>
      </c>
      <c r="BT8" s="64">
        <f t="shared" ref="BT8:BT10" si="18">+G8+H8+L8+M8</f>
        <v>0</v>
      </c>
      <c r="BU8" s="64">
        <f t="shared" ref="BU8:BU10" si="19">+BT8*1000</f>
        <v>0</v>
      </c>
      <c r="BV8" s="63">
        <f>+BN8+BO8+BQ8+BS8+BU8</f>
        <v>6886.232876712329</v>
      </c>
      <c r="BX8" s="76"/>
      <c r="CB8" s="50"/>
      <c r="CC8" s="50"/>
      <c r="CD8" s="62"/>
      <c r="CF8" s="46"/>
    </row>
    <row r="9" spans="1:84" customFormat="1" hidden="1" x14ac:dyDescent="0.3">
      <c r="A9" s="74" t="s">
        <v>1786</v>
      </c>
      <c r="B9" s="40" t="s">
        <v>2432</v>
      </c>
      <c r="C9" s="40" t="s">
        <v>2432</v>
      </c>
      <c r="D9" s="40" t="s">
        <v>2432</v>
      </c>
      <c r="E9" s="73" t="s">
        <v>1844</v>
      </c>
      <c r="F9" s="79" t="str">
        <f>+VLOOKUP(C9,'EMP STATUS'!$D$3:$K$77,8,0)</f>
        <v>MHS01</v>
      </c>
      <c r="G9" s="39">
        <f>+COUNTIFS(SALES!$S$2:$S$171,'CALCULATION DSE'!$C$8:$C$80,SALES!$N$2:$N$171,'CALCULATION DSE'!$G$6:$U$6)</f>
        <v>0</v>
      </c>
      <c r="H9" s="39">
        <f>+COUNTIFS(SALES!$S$2:$S$171,'CALCULATION DSE'!$C$8:$C$80,SALES!$N$2:$N$171,'CALCULATION DSE'!$G$6:$U$6)</f>
        <v>0</v>
      </c>
      <c r="I9" s="39">
        <f>+COUNTIFS(SALES!$S$2:$S$171,'CALCULATION DSE'!$C$8:$C$80,SALES!$N$2:$N$171,'CALCULATION DSE'!$G$6:$U$6)</f>
        <v>0</v>
      </c>
      <c r="J9" s="39">
        <f>+COUNTIFS(SALES!$S$2:$S$171,'CALCULATION DSE'!$C$8:$C$80,SALES!$N$2:$N$171,'CALCULATION DSE'!$G$6:$U$6)</f>
        <v>0</v>
      </c>
      <c r="K9" s="39">
        <f>+COUNTIFS(SALES!$S$2:$S$171,'CALCULATION DSE'!$C$8:$C$80,SALES!$N$2:$N$171,'CALCULATION DSE'!$G$6:$U$6)</f>
        <v>0</v>
      </c>
      <c r="L9" s="39">
        <f>+COUNTIFS(SALES!$S$2:$S$171,'CALCULATION DSE'!$C$8:$C$80,SALES!$N$2:$N$171,'CALCULATION DSE'!$G$6:$U$6)</f>
        <v>0</v>
      </c>
      <c r="M9" s="39">
        <f>+COUNTIFS(SALES!$S$2:$S$171,'CALCULATION DSE'!$C$8:$C$80,SALES!$N$2:$N$171,'CALCULATION DSE'!$G$6:$U$6)</f>
        <v>0</v>
      </c>
      <c r="N9" s="39">
        <f>+COUNTIFS(SALES!$S$2:$S$171,'CALCULATION DSE'!$C$8:$C$80,SALES!$N$2:$N$171,'CALCULATION DSE'!$G$6:$U$6)</f>
        <v>0</v>
      </c>
      <c r="O9" s="39">
        <f>+COUNTIFS(SALES!$S$2:$S$171,'CALCULATION DSE'!$C$8:$C$80,SALES!$N$2:$N$171,'CALCULATION DSE'!$G$6:$U$6)</f>
        <v>0</v>
      </c>
      <c r="P9" s="39">
        <f>+COUNTIFS(SALES!$S$2:$S$171,'CALCULATION DSE'!$C$8:$C$80,SALES!$N$2:$N$171,'CALCULATION DSE'!$G$6:$U$6)</f>
        <v>0</v>
      </c>
      <c r="Q9" s="39">
        <f>+COUNTIFS(SALES!$S$2:$S$171,'CALCULATION DSE'!$C$8:$C$80,SALES!$N$2:$N$171,'CALCULATION DSE'!$G$6:$U$6)</f>
        <v>0</v>
      </c>
      <c r="R9" s="39">
        <f>+COUNTIFS(SALES!$S$2:$S$171,'CALCULATION DSE'!$C$8:$C$80,SALES!$N$2:$N$171,'CALCULATION DSE'!$G$6:$U$6)</f>
        <v>0</v>
      </c>
      <c r="S9" s="39">
        <f>+COUNTIFS(SALES!$S$2:$S$171,'CALCULATION DSE'!$C$8:$C$80,SALES!$N$2:$N$171,'CALCULATION DSE'!$G$6:$U$6)</f>
        <v>0</v>
      </c>
      <c r="T9" s="39">
        <f>+COUNTIFS(SALES!$S$2:$S$171,'CALCULATION DSE'!$C$8:$C$80,SALES!$N$2:$N$171,'CALCULATION DSE'!$G$6:$U$6)</f>
        <v>0</v>
      </c>
      <c r="U9" s="39">
        <f>+COUNTIFS(SALES!$S$2:$S$171,'CALCULATION DSE'!$C$8:$C$80,SALES!$N$2:$N$171,'CALCULATION DSE'!$G$6:$U$6)</f>
        <v>0</v>
      </c>
      <c r="V9" s="36">
        <f t="shared" si="0"/>
        <v>0</v>
      </c>
      <c r="W9" s="36">
        <f t="shared" si="5"/>
        <v>0</v>
      </c>
      <c r="X9" s="79">
        <f t="shared" si="6"/>
        <v>0</v>
      </c>
      <c r="Y9" s="79">
        <f t="shared" si="7"/>
        <v>0</v>
      </c>
      <c r="Z9" s="79">
        <f t="shared" si="8"/>
        <v>0</v>
      </c>
      <c r="AA9" s="79" t="str">
        <f>+VLOOKUP(C9,'EMP STATUS'!$D$3:$J$77,7,0)</f>
        <v>OLD</v>
      </c>
      <c r="AB9" s="72" t="str">
        <f t="shared" si="9"/>
        <v>YES</v>
      </c>
      <c r="AC9" s="72" t="str">
        <f t="shared" ref="AC9:AC10" si="20">+IF(AA9="OLD",IF(OR(Y9&gt;=1,Z9&gt;=1),"YES","NO"),"YES")</f>
        <v>NO</v>
      </c>
      <c r="AD9" s="64">
        <f t="shared" ref="AD9:AD10" si="21">+IF(AND(AA9="NEW",V9&lt;2),V9*500,IF(AND(AA9="NEW",V9&gt;=2),IF(V9=2,W9*500,IF(V9=3,W9*750,IF(V9=4,W9*1500,IF(V9=5,W9*2000,IF(V9&gt;=6,W9*2500,0))))),0))</f>
        <v>0</v>
      </c>
      <c r="AE9" s="64">
        <f t="shared" ref="AE9:AE10" si="22">+IF(AND(AA9="OLD",V9&gt;=2,AC9="YES"),IF(V9=2,W9*500,IF(V9=3,W9*750,IF(V9=4,W9*1500,IF(V9=5,W9*2000,IF(V9&gt;=6,W9*2500,0))))),0)</f>
        <v>0</v>
      </c>
      <c r="AF9" s="64">
        <f t="shared" ref="AF9:AF10" si="23">+IF(AND(AA9="NEW",V9&gt;=2),X9*500,IF(AND(AA9="OLD",V9&gt;=2,AC9="YES"),X9*500,0))</f>
        <v>0</v>
      </c>
      <c r="AG9" s="71">
        <f t="shared" ref="AG9:AG10" si="24">+SUM(AD9:AF9)</f>
        <v>0</v>
      </c>
      <c r="AH9" s="68">
        <v>0</v>
      </c>
      <c r="AI9" s="68">
        <f t="shared" si="10"/>
        <v>0</v>
      </c>
      <c r="AJ9" s="64">
        <f t="shared" ref="AJ9:AJ10" si="25">+IF(AH9&gt;0,IF(AH9&lt;145,1000,0),0)</f>
        <v>0</v>
      </c>
      <c r="AK9" s="66" t="e">
        <f>+VLOOKUP(C9,'DSE WISE MGA SALE '!$B$5:$G$116,6,0)</f>
        <v>#N/A</v>
      </c>
      <c r="AL9" s="67">
        <f t="shared" ref="AL9:AL10" si="26">+IFERROR(AK9/V9,0)</f>
        <v>0</v>
      </c>
      <c r="AM9" s="67">
        <f t="shared" si="1"/>
        <v>0</v>
      </c>
      <c r="AN9" s="70">
        <f>+COUNTIFS(SALES!$S$2:$S$171,'CALCULATION DSE'!$C$7:$C$80,SALES!$AH$2:$AH$171,"&gt;0")</f>
        <v>0</v>
      </c>
      <c r="AO9" s="68">
        <f t="shared" ref="AO9:AO10" si="27">+IF(AN9=1,AN9*400,IF(AN9&gt;=2,AN9*600,0))</f>
        <v>0</v>
      </c>
      <c r="AP9" s="69">
        <f>+COUNTIFS(SALES!$S$2:$S$171,'CALCULATION DSE'!$C$8:$C$80,SALES!$BH$2:$BH$171,"MSSF")</f>
        <v>0</v>
      </c>
      <c r="AQ9" s="69">
        <f t="shared" ref="AQ9:AQ10" si="28">+V9-AP9</f>
        <v>0</v>
      </c>
      <c r="AR9" s="98">
        <f t="shared" ref="AR9:AR10" si="29">+IFERROR(AP9/V9,0)</f>
        <v>0</v>
      </c>
      <c r="AS9" s="68">
        <f t="shared" ref="AS9:AS10" si="30">+IF(AA9="new",IF(AR9&gt;=70%,AP9*250,0),IF(AND(AA9="old",V9&gt;=2),IF(AR9&gt;=70%,AP9*250,0),0))</f>
        <v>0</v>
      </c>
      <c r="AT9" s="68">
        <f t="shared" ref="AT9:AT10" si="31">+IF(AG9&gt;0,IF(AR9&lt;70%,AQ9*250,0),0)</f>
        <v>0</v>
      </c>
      <c r="AU9" s="39">
        <f>+COUNTIFS(SALES!$S$2:$S$171,'CALCULATION DSE'!$C$8:$C$80,SALES!$Y$2:$Y$171,"&gt;0")</f>
        <v>0</v>
      </c>
      <c r="AV9" s="39">
        <f t="shared" ref="AV9:AV10" si="32">+V9-AU9</f>
        <v>0</v>
      </c>
      <c r="AW9" s="65">
        <f t="shared" ref="AW9:AW10" si="33">+IFERROR(AU9/V9,0)</f>
        <v>0</v>
      </c>
      <c r="AX9" s="67">
        <f t="shared" si="2"/>
        <v>0</v>
      </c>
      <c r="AY9" s="67">
        <f t="shared" ref="AY9:AY10" si="34">+IF(AG9&gt;0,IF(AW9&lt;=50%,AV9*400,0),0)</f>
        <v>0</v>
      </c>
      <c r="AZ9" s="39">
        <f>+COUNTIFS(SALES!$S$2:$S$171,'CALCULATION DSE'!$C$8:$C$80,SALES!$AC$2:$AC$171,"&gt;0")</f>
        <v>0</v>
      </c>
      <c r="BA9" s="39">
        <f t="shared" ref="BA9:BA10" si="35">+V9-AZ9</f>
        <v>0</v>
      </c>
      <c r="BB9" s="65">
        <f t="shared" ref="BB9:BB10" si="36">+IFERROR(AZ9/V9,0)</f>
        <v>0</v>
      </c>
      <c r="BC9" s="66">
        <f t="shared" si="3"/>
        <v>0</v>
      </c>
      <c r="BD9" s="66">
        <f t="shared" ref="BD9:BD10" si="37">+IF(AG9&gt;0,IF(BB9&lt;=50%,BA9*250,0),0)</f>
        <v>0</v>
      </c>
      <c r="BE9" s="99">
        <f>+COUNTIFS(SALES!$S$2:$S$171,'CALCULATION DSE'!$C$8:$C$80,SALES!$CA$2:$CA$171,"YES")</f>
        <v>0</v>
      </c>
      <c r="BF9" s="66">
        <f t="shared" si="4"/>
        <v>0</v>
      </c>
      <c r="BG9" s="37">
        <f>+SUMIFS(SALES!$BA$2:$BA$171,SALES!$S$2:$S$171,'CALCULATION DSE'!$C$8:$C$80)</f>
        <v>0</v>
      </c>
      <c r="BH9" s="37">
        <f t="shared" ref="BH9:BH10" si="38">+IFERROR(BG9/V9,0)</f>
        <v>0</v>
      </c>
      <c r="BI9" s="65">
        <f t="shared" ref="BI9:BI10" si="39">+IF(BH9&gt;14000,0%,IF(BH9&gt;=12001,30%,IF(BH9&gt;=10001,40%,IF(BH9&gt;=8001,60%,IF(BH9&gt;=6001,80%,IF(BH9&gt;=4001,100%,IF(BH9&gt;=2001,110%,IF(BH9&gt;=1001,130%,150%))))))))</f>
        <v>1.5</v>
      </c>
      <c r="BJ9" s="64">
        <f t="shared" si="11"/>
        <v>0</v>
      </c>
      <c r="BK9" s="64">
        <f t="shared" si="12"/>
        <v>0</v>
      </c>
      <c r="BL9" s="64">
        <v>0</v>
      </c>
      <c r="BM9" s="64">
        <f t="shared" si="13"/>
        <v>0</v>
      </c>
      <c r="BN9" s="37">
        <f t="shared" ref="BN9:BN10" si="40">+BK9-BM9</f>
        <v>0</v>
      </c>
      <c r="BO9" s="38">
        <f t="shared" si="14"/>
        <v>0</v>
      </c>
      <c r="BP9" s="64">
        <f t="shared" si="15"/>
        <v>0</v>
      </c>
      <c r="BQ9" s="64">
        <f t="shared" si="16"/>
        <v>0</v>
      </c>
      <c r="BR9" s="64">
        <f t="shared" si="17"/>
        <v>0</v>
      </c>
      <c r="BS9" s="64">
        <f t="shared" ref="BS9:BS10" si="41">+BR9*2000</f>
        <v>0</v>
      </c>
      <c r="BT9" s="64">
        <f t="shared" si="18"/>
        <v>0</v>
      </c>
      <c r="BU9" s="64">
        <f t="shared" si="19"/>
        <v>0</v>
      </c>
      <c r="BV9" s="63">
        <f t="shared" ref="BV9:BV10" si="42">+BN9+BO9+BQ9+BS9+BU9</f>
        <v>0</v>
      </c>
      <c r="BX9" s="76"/>
      <c r="CB9" s="50"/>
      <c r="CC9" s="50"/>
      <c r="CD9" s="62"/>
      <c r="CF9" s="46"/>
    </row>
    <row r="10" spans="1:84" customFormat="1" hidden="1" x14ac:dyDescent="0.3">
      <c r="A10" s="74" t="s">
        <v>3061</v>
      </c>
      <c r="B10" s="40" t="s">
        <v>2252</v>
      </c>
      <c r="C10" s="40" t="s">
        <v>2711</v>
      </c>
      <c r="D10" s="40" t="s">
        <v>2252</v>
      </c>
      <c r="E10" s="73" t="s">
        <v>2874</v>
      </c>
      <c r="F10" s="79" t="str">
        <f>+VLOOKUP(C10,'EMP STATUS'!$D$3:$K$77,8,0)</f>
        <v>2249</v>
      </c>
      <c r="G10" s="39">
        <f>+COUNTIFS(SALES!$S$2:$S$171,'CALCULATION DSE'!$C$8:$C$80,SALES!$N$2:$N$171,'CALCULATION DSE'!$G$6:$U$6)</f>
        <v>0</v>
      </c>
      <c r="H10" s="39">
        <f>+COUNTIFS(SALES!$S$2:$S$171,'CALCULATION DSE'!$C$8:$C$80,SALES!$N$2:$N$171,'CALCULATION DSE'!$G$6:$U$6)</f>
        <v>0</v>
      </c>
      <c r="I10" s="39">
        <f>+COUNTIFS(SALES!$S$2:$S$171,'CALCULATION DSE'!$C$8:$C$80,SALES!$N$2:$N$171,'CALCULATION DSE'!$G$6:$U$6)</f>
        <v>0</v>
      </c>
      <c r="J10" s="39">
        <f>+COUNTIFS(SALES!$S$2:$S$171,'CALCULATION DSE'!$C$8:$C$80,SALES!$N$2:$N$171,'CALCULATION DSE'!$G$6:$U$6)</f>
        <v>0</v>
      </c>
      <c r="K10" s="39">
        <f>+COUNTIFS(SALES!$S$2:$S$171,'CALCULATION DSE'!$C$8:$C$80,SALES!$N$2:$N$171,'CALCULATION DSE'!$G$6:$U$6)</f>
        <v>0</v>
      </c>
      <c r="L10" s="39">
        <f>+COUNTIFS(SALES!$S$2:$S$171,'CALCULATION DSE'!$C$8:$C$80,SALES!$N$2:$N$171,'CALCULATION DSE'!$G$6:$U$6)</f>
        <v>0</v>
      </c>
      <c r="M10" s="39">
        <f>+COUNTIFS(SALES!$S$2:$S$171,'CALCULATION DSE'!$C$8:$C$80,SALES!$N$2:$N$171,'CALCULATION DSE'!$G$6:$U$6)</f>
        <v>0</v>
      </c>
      <c r="N10" s="39">
        <f>+COUNTIFS(SALES!$S$2:$S$171,'CALCULATION DSE'!$C$8:$C$80,SALES!$N$2:$N$171,'CALCULATION DSE'!$G$6:$U$6)</f>
        <v>0</v>
      </c>
      <c r="O10" s="39">
        <f>+COUNTIFS(SALES!$S$2:$S$171,'CALCULATION DSE'!$C$8:$C$80,SALES!$N$2:$N$171,'CALCULATION DSE'!$G$6:$U$6)</f>
        <v>0</v>
      </c>
      <c r="P10" s="39">
        <f>+COUNTIFS(SALES!$S$2:$S$171,'CALCULATION DSE'!$C$8:$C$80,SALES!$N$2:$N$171,'CALCULATION DSE'!$G$6:$U$6)</f>
        <v>0</v>
      </c>
      <c r="Q10" s="39">
        <f>+COUNTIFS(SALES!$S$2:$S$171,'CALCULATION DSE'!$C$8:$C$80,SALES!$N$2:$N$171,'CALCULATION DSE'!$G$6:$U$6)</f>
        <v>1</v>
      </c>
      <c r="R10" s="39">
        <f>+COUNTIFS(SALES!$S$2:$S$171,'CALCULATION DSE'!$C$8:$C$80,SALES!$N$2:$N$171,'CALCULATION DSE'!$G$6:$U$6)</f>
        <v>0</v>
      </c>
      <c r="S10" s="39">
        <f>+COUNTIFS(SALES!$S$2:$S$171,'CALCULATION DSE'!$C$8:$C$80,SALES!$N$2:$N$171,'CALCULATION DSE'!$G$6:$U$6)</f>
        <v>0</v>
      </c>
      <c r="T10" s="39">
        <f>+COUNTIFS(SALES!$S$2:$S$171,'CALCULATION DSE'!$C$8:$C$80,SALES!$N$2:$N$171,'CALCULATION DSE'!$G$6:$U$6)</f>
        <v>0</v>
      </c>
      <c r="U10" s="39">
        <f>+COUNTIFS(SALES!$S$2:$S$171,'CALCULATION DSE'!$C$8:$C$80,SALES!$N$2:$N$171,'CALCULATION DSE'!$G$6:$U$6)</f>
        <v>0</v>
      </c>
      <c r="V10" s="36">
        <f t="shared" si="0"/>
        <v>1</v>
      </c>
      <c r="W10" s="36">
        <f t="shared" si="5"/>
        <v>1</v>
      </c>
      <c r="X10" s="79">
        <f t="shared" si="6"/>
        <v>0</v>
      </c>
      <c r="Y10" s="79">
        <f t="shared" si="7"/>
        <v>0</v>
      </c>
      <c r="Z10" s="79">
        <f t="shared" si="8"/>
        <v>0</v>
      </c>
      <c r="AA10" s="79" t="str">
        <f>+VLOOKUP(C10,'EMP STATUS'!$D$3:$J$77,7,0)</f>
        <v>OLD</v>
      </c>
      <c r="AB10" s="72" t="str">
        <f t="shared" si="9"/>
        <v>YES</v>
      </c>
      <c r="AC10" s="72" t="str">
        <f t="shared" si="20"/>
        <v>NO</v>
      </c>
      <c r="AD10" s="64">
        <f t="shared" si="21"/>
        <v>0</v>
      </c>
      <c r="AE10" s="64">
        <f t="shared" si="22"/>
        <v>0</v>
      </c>
      <c r="AF10" s="64">
        <f t="shared" si="23"/>
        <v>0</v>
      </c>
      <c r="AG10" s="71">
        <f t="shared" si="24"/>
        <v>0</v>
      </c>
      <c r="AH10" s="68">
        <v>0</v>
      </c>
      <c r="AI10" s="68">
        <f t="shared" si="10"/>
        <v>0</v>
      </c>
      <c r="AJ10" s="64">
        <f t="shared" si="25"/>
        <v>0</v>
      </c>
      <c r="AK10" s="66">
        <f>+VLOOKUP(C10,'DSE WISE MGA SALE '!$B$5:$G$116,6,0)</f>
        <v>6850.6849315068494</v>
      </c>
      <c r="AL10" s="67">
        <f t="shared" si="26"/>
        <v>6850.6849315068494</v>
      </c>
      <c r="AM10" s="67">
        <f t="shared" si="1"/>
        <v>0</v>
      </c>
      <c r="AN10" s="70">
        <f>+COUNTIFS(SALES!$S$2:$S$171,'CALCULATION DSE'!$C$7:$C$80,SALES!$AH$2:$AH$171,"&gt;0")</f>
        <v>0</v>
      </c>
      <c r="AO10" s="68">
        <f t="shared" si="27"/>
        <v>0</v>
      </c>
      <c r="AP10" s="69">
        <f>+COUNTIFS(SALES!$S$2:$S$171,'CALCULATION DSE'!$C$8:$C$80,SALES!$BH$2:$BH$171,"MSSF")</f>
        <v>0</v>
      </c>
      <c r="AQ10" s="69">
        <f t="shared" si="28"/>
        <v>1</v>
      </c>
      <c r="AR10" s="98">
        <f t="shared" si="29"/>
        <v>0</v>
      </c>
      <c r="AS10" s="68">
        <f t="shared" si="30"/>
        <v>0</v>
      </c>
      <c r="AT10" s="68">
        <f t="shared" si="31"/>
        <v>0</v>
      </c>
      <c r="AU10" s="39">
        <f>+COUNTIFS(SALES!$S$2:$S$171,'CALCULATION DSE'!$C$8:$C$80,SALES!$Y$2:$Y$171,"&gt;0")</f>
        <v>0</v>
      </c>
      <c r="AV10" s="39">
        <f t="shared" si="32"/>
        <v>1</v>
      </c>
      <c r="AW10" s="65">
        <f t="shared" si="33"/>
        <v>0</v>
      </c>
      <c r="AX10" s="67">
        <f t="shared" si="2"/>
        <v>0</v>
      </c>
      <c r="AY10" s="67">
        <f t="shared" si="34"/>
        <v>0</v>
      </c>
      <c r="AZ10" s="39">
        <f>+COUNTIFS(SALES!$S$2:$S$171,'CALCULATION DSE'!$C$8:$C$80,SALES!$AC$2:$AC$171,"&gt;0")</f>
        <v>0</v>
      </c>
      <c r="BA10" s="39">
        <f t="shared" si="35"/>
        <v>1</v>
      </c>
      <c r="BB10" s="65">
        <f t="shared" si="36"/>
        <v>0</v>
      </c>
      <c r="BC10" s="66">
        <f t="shared" si="3"/>
        <v>0</v>
      </c>
      <c r="BD10" s="66">
        <f t="shared" si="37"/>
        <v>0</v>
      </c>
      <c r="BE10" s="99">
        <f>+COUNTIFS(SALES!$S$2:$S$171,'CALCULATION DSE'!$C$8:$C$80,SALES!$CA$2:$CA$171,"YES")</f>
        <v>0</v>
      </c>
      <c r="BF10" s="66">
        <f t="shared" si="4"/>
        <v>0</v>
      </c>
      <c r="BG10" s="37">
        <f>+SUMIFS(SALES!$BA$2:$BA$171,SALES!$S$2:$S$171,'CALCULATION DSE'!$C$8:$C$80)</f>
        <v>12416</v>
      </c>
      <c r="BH10" s="37">
        <f t="shared" si="38"/>
        <v>12416</v>
      </c>
      <c r="BI10" s="65">
        <f t="shared" si="39"/>
        <v>0.3</v>
      </c>
      <c r="BJ10" s="64">
        <f t="shared" si="11"/>
        <v>0</v>
      </c>
      <c r="BK10" s="64">
        <f t="shared" si="12"/>
        <v>0</v>
      </c>
      <c r="BL10" s="64">
        <v>0</v>
      </c>
      <c r="BM10" s="64">
        <f t="shared" si="13"/>
        <v>0</v>
      </c>
      <c r="BN10" s="37">
        <f t="shared" si="40"/>
        <v>0</v>
      </c>
      <c r="BO10" s="38">
        <f t="shared" si="14"/>
        <v>0</v>
      </c>
      <c r="BP10" s="64">
        <f t="shared" si="15"/>
        <v>0</v>
      </c>
      <c r="BQ10" s="64">
        <f t="shared" si="16"/>
        <v>0</v>
      </c>
      <c r="BR10" s="64">
        <f t="shared" si="17"/>
        <v>0</v>
      </c>
      <c r="BS10" s="64">
        <f t="shared" si="41"/>
        <v>0</v>
      </c>
      <c r="BT10" s="64">
        <f t="shared" si="18"/>
        <v>0</v>
      </c>
      <c r="BU10" s="64">
        <f t="shared" si="19"/>
        <v>0</v>
      </c>
      <c r="BV10" s="63">
        <f t="shared" si="42"/>
        <v>0</v>
      </c>
      <c r="BX10" s="76"/>
      <c r="CB10" s="50"/>
      <c r="CC10" s="50"/>
      <c r="CD10" s="62"/>
      <c r="CF10" s="46"/>
    </row>
    <row r="11" spans="1:84" hidden="1" x14ac:dyDescent="0.3">
      <c r="A11" s="72" t="s">
        <v>3066</v>
      </c>
      <c r="B11" s="145" t="s">
        <v>2323</v>
      </c>
      <c r="C11" s="145" t="s">
        <v>2436</v>
      </c>
      <c r="D11" s="145" t="s">
        <v>2323</v>
      </c>
      <c r="E11" s="145" t="s">
        <v>2320</v>
      </c>
      <c r="F11" s="79" t="str">
        <f>+VLOOKUP(C11,'EMP STATUS'!$D$3:$K$77,8,0)</f>
        <v>0679</v>
      </c>
      <c r="G11" s="72">
        <f>+COUNTIFS(SALES!$S$2:$S$171,'CALCULATION DSE'!$C$8:$C$80,SALES!$N$2:$N$171,'CALCULATION DSE'!$G$6:$U$6)</f>
        <v>0</v>
      </c>
      <c r="H11" s="72">
        <f>+COUNTIFS(SALES!$S$2:$S$171,'CALCULATION DSE'!$C$8:$C$80,SALES!$N$2:$N$171,'CALCULATION DSE'!$G$6:$U$6)</f>
        <v>0</v>
      </c>
      <c r="I11" s="72">
        <f>+COUNTIFS(SALES!$S$2:$S$171,'CALCULATION DSE'!$C$8:$C$80,SALES!$N$2:$N$171,'CALCULATION DSE'!$G$6:$U$6)</f>
        <v>0</v>
      </c>
      <c r="J11" s="72">
        <f>+COUNTIFS(SALES!$S$2:$S$171,'CALCULATION DSE'!$C$8:$C$80,SALES!$N$2:$N$171,'CALCULATION DSE'!$G$6:$U$6)</f>
        <v>0</v>
      </c>
      <c r="K11" s="72">
        <f>+COUNTIFS(SALES!$S$2:$S$171,'CALCULATION DSE'!$C$8:$C$80,SALES!$N$2:$N$171,'CALCULATION DSE'!$G$6:$U$6)</f>
        <v>0</v>
      </c>
      <c r="L11" s="72">
        <f>+COUNTIFS(SALES!$S$2:$S$171,'CALCULATION DSE'!$C$8:$C$80,SALES!$N$2:$N$171,'CALCULATION DSE'!$G$6:$U$6)</f>
        <v>0</v>
      </c>
      <c r="M11" s="72">
        <f>+COUNTIFS(SALES!$S$2:$S$171,'CALCULATION DSE'!$C$8:$C$80,SALES!$N$2:$N$171,'CALCULATION DSE'!$G$6:$U$6)</f>
        <v>1</v>
      </c>
      <c r="N11" s="72">
        <f>+COUNTIFS(SALES!$S$2:$S$171,'CALCULATION DSE'!$C$8:$C$80,SALES!$N$2:$N$171,'CALCULATION DSE'!$G$6:$U$6)</f>
        <v>0</v>
      </c>
      <c r="O11" s="72">
        <f>+COUNTIFS(SALES!$S$2:$S$171,'CALCULATION DSE'!$C$8:$C$80,SALES!$N$2:$N$171,'CALCULATION DSE'!$G$6:$U$6)</f>
        <v>0</v>
      </c>
      <c r="P11" s="72">
        <f>+COUNTIFS(SALES!$S$2:$S$171,'CALCULATION DSE'!$C$8:$C$80,SALES!$N$2:$N$171,'CALCULATION DSE'!$G$6:$U$6)</f>
        <v>0</v>
      </c>
      <c r="Q11" s="72">
        <f>+COUNTIFS(SALES!$S$2:$S$171,'CALCULATION DSE'!$C$8:$C$80,SALES!$N$2:$N$171,'CALCULATION DSE'!$G$6:$U$6)</f>
        <v>1</v>
      </c>
      <c r="R11" s="72">
        <f>+COUNTIFS(SALES!$S$2:$S$171,'CALCULATION DSE'!$C$8:$C$80,SALES!$N$2:$N$171,'CALCULATION DSE'!$G$6:$U$6)</f>
        <v>0</v>
      </c>
      <c r="S11" s="72">
        <f>+COUNTIFS(SALES!$S$2:$S$171,'CALCULATION DSE'!$C$8:$C$80,SALES!$N$2:$N$171,'CALCULATION DSE'!$G$6:$U$6)</f>
        <v>0</v>
      </c>
      <c r="T11" s="72">
        <f>+COUNTIFS(SALES!$S$2:$S$171,'CALCULATION DSE'!$C$8:$C$80,SALES!$N$2:$N$171,'CALCULATION DSE'!$G$6:$U$6)</f>
        <v>0</v>
      </c>
      <c r="U11" s="72">
        <f>+COUNTIFS(SALES!$S$2:$S$171,'CALCULATION DSE'!$C$8:$C$80,SALES!$N$2:$N$171,'CALCULATION DSE'!$G$6:$U$6)</f>
        <v>0</v>
      </c>
      <c r="V11" s="146">
        <f t="shared" ref="V11:V42" si="43">+SUM(G11:U11)</f>
        <v>2</v>
      </c>
      <c r="W11" s="146">
        <f t="shared" ref="W11:W42" si="44">+SUM(G11:Q11,S11:U11)</f>
        <v>2</v>
      </c>
      <c r="X11" s="79">
        <f t="shared" ref="X11:X42" si="45">+R11</f>
        <v>0</v>
      </c>
      <c r="Y11" s="79">
        <f t="shared" ref="Y11:Y42" si="46">+J11+T11</f>
        <v>0</v>
      </c>
      <c r="Z11" s="79">
        <f t="shared" ref="Z11:Z42" si="47">+SUM(G11+H11+I11+J11+K11+L11+M11)</f>
        <v>1</v>
      </c>
      <c r="AA11" s="79" t="str">
        <f>+VLOOKUP(C11,'EMP STATUS'!$D$3:$J$77,7,0)</f>
        <v>OLD</v>
      </c>
      <c r="AB11" s="72" t="str">
        <f t="shared" ref="AB11:AB42" si="48">+IF(AA11="OLD","YES","NO")</f>
        <v>YES</v>
      </c>
      <c r="AC11" s="72" t="str">
        <f t="shared" ref="AC11:AC42" si="49">+IF(AA11="OLD",IF(OR(Y11&gt;=1,Z11&gt;=1),"YES","NO"),"YES")</f>
        <v>YES</v>
      </c>
      <c r="AD11" s="147">
        <f t="shared" ref="AD11:AD42" si="50">+IF(AND(AA11="NEW",V11&lt;2),V11*500,IF(AND(AA11="NEW",V11&gt;=2),IF(V11=2,W11*500,IF(V11=3,W11*750,IF(V11=4,W11*1500,IF(V11=5,W11*2000,IF(V11&gt;=6,W11*2500,0))))),0))</f>
        <v>0</v>
      </c>
      <c r="AE11" s="147">
        <f t="shared" ref="AE11:AE42" si="51">+IF(AND(AA11="OLD",V11&gt;=2,AC11="YES"),IF(V11=2,W11*500,IF(V11=3,W11*750,IF(V11=4,W11*1500,IF(V11=5,W11*2000,IF(V11&gt;=6,W11*2500,0))))),0)</f>
        <v>1000</v>
      </c>
      <c r="AF11" s="147">
        <f t="shared" ref="AF11:AF42" si="52">+IF(AND(AA11="NEW",V11&gt;=2),X11*500,IF(AND(AA11="OLD",V11&gt;=2,AC11="YES"),X11*500,0))</f>
        <v>0</v>
      </c>
      <c r="AG11" s="148">
        <f t="shared" ref="AG11:AG42" si="53">+SUM(AD11:AF11)</f>
        <v>1000</v>
      </c>
      <c r="AH11" s="149">
        <v>0</v>
      </c>
      <c r="AI11" s="149">
        <f t="shared" ref="AI11:AI42" si="54">+IF(AA11="NEW",IF(AH11&gt;=140,1800,0),IF(AND(AA11="OLD",V11&gt;=2),IF(AH11&gt;=140,1800,0),0))</f>
        <v>0</v>
      </c>
      <c r="AJ11" s="147">
        <f t="shared" ref="AJ11:AJ42" si="55">+IF(AH11&gt;0,IF(AH11&lt;145,1000,0),0)</f>
        <v>0</v>
      </c>
      <c r="AK11" s="99">
        <f>+VLOOKUP(C11,'DSE WISE MGA SALE '!$B$5:$G$116,6,0)</f>
        <v>31767.123287671235</v>
      </c>
      <c r="AL11" s="99">
        <f t="shared" ref="AL11:AL42" si="56">+IFERROR(AK11/V11,0)</f>
        <v>15883.561643835617</v>
      </c>
      <c r="AM11" s="99">
        <f t="shared" ref="AM11:AM42" si="57">+IF(AA11="new",IF(AL11&gt;=25001,AK11*5%,IF(AL11&gt;=22501,AK11*4.5%,IF(AL11&gt;=21001,AK11*4%,IF(AL11&gt;=19501,AK11*3.5%,IF(AL11&gt;=17001,AK11*3%,0%))))),IF(AND(AA11="OLD",V11&gt;=2),IF(AL11&gt;=25001,AK11*5%,IF(AL11&gt;=22501,AK11*4.5%,IF(AL11&gt;=21001,AK11*4%,IF(AL11&gt;=19501,AK11*3.5%,IF(AL11&gt;=17001,AK11*3%,0%))))),0))</f>
        <v>0</v>
      </c>
      <c r="AN11" s="150">
        <f>+COUNTIFS(SALES!$S$2:$S$171,'CALCULATION DSE'!$C$7:$C$80,SALES!$AH$2:$AH$171,"&gt;0")</f>
        <v>1</v>
      </c>
      <c r="AO11" s="149">
        <f t="shared" ref="AO11:AO42" si="58">+IF(AN11=1,AN11*400,IF(AN11&gt;=2,AN11*600,0))</f>
        <v>400</v>
      </c>
      <c r="AP11" s="151">
        <f>+COUNTIFS(SALES!$S$2:$S$171,'CALCULATION DSE'!$C$8:$C$80,SALES!$BH$2:$BH$171,"MSSF")</f>
        <v>2</v>
      </c>
      <c r="AQ11" s="151">
        <f t="shared" ref="AQ11:AQ42" si="59">+V11-AP11</f>
        <v>0</v>
      </c>
      <c r="AR11" s="152">
        <f t="shared" ref="AR11:AR42" si="60">+IFERROR(AP11/V11,0)</f>
        <v>1</v>
      </c>
      <c r="AS11" s="149">
        <f t="shared" ref="AS11:AS42" si="61">+IF(AA11="new",IF(AR11&gt;=70%,AP11*250,0),IF(AND(AA11="old",V11&gt;=2),IF(AR11&gt;=70%,AP11*250,0),0))</f>
        <v>500</v>
      </c>
      <c r="AT11" s="149">
        <f t="shared" ref="AT11:AT42" si="62">+IF(AG11&gt;0,IF(AR11&lt;70%,AQ11*250,0),0)</f>
        <v>0</v>
      </c>
      <c r="AU11" s="72">
        <f>+COUNTIFS(SALES!$S$2:$S$171,'CALCULATION DSE'!$C$8:$C$80,SALES!$Y$2:$Y$171,"&gt;0")</f>
        <v>1</v>
      </c>
      <c r="AV11" s="72">
        <f t="shared" ref="AV11:AV42" si="63">+V11-AU11</f>
        <v>1</v>
      </c>
      <c r="AW11" s="153">
        <f t="shared" ref="AW11:AW42" si="64">+IFERROR(AU11/V11,0)</f>
        <v>0.5</v>
      </c>
      <c r="AX11" s="99">
        <f t="shared" ref="AX11:AX42" si="65">+IF(AA11="new",IF(AW11&gt;=80%,AU11*1000,IF(AW11&gt;=70%,AU11*400,0)),IF(AND(AA11="old",V11&gt;=2),IF(AW11&gt;=80%,AU11*1000,IF(AW11&gt;=70%,AU11*400,0)),0))</f>
        <v>0</v>
      </c>
      <c r="AY11" s="99">
        <f t="shared" ref="AY11:AY42" si="66">+IF(AG11&gt;0,IF(AW11&lt;=50%,AV11*400,0),0)</f>
        <v>400</v>
      </c>
      <c r="AZ11" s="72">
        <f>+COUNTIFS(SALES!$S$2:$S$171,'CALCULATION DSE'!$C$8:$C$80,SALES!$AC$2:$AC$171,"&gt;0")</f>
        <v>1</v>
      </c>
      <c r="BA11" s="72">
        <f t="shared" ref="BA11:BA42" si="67">+V11-AZ11</f>
        <v>1</v>
      </c>
      <c r="BB11" s="153">
        <f t="shared" ref="BB11:BB42" si="68">+IFERROR(AZ11/V11,0)</f>
        <v>0.5</v>
      </c>
      <c r="BC11" s="99">
        <f t="shared" ref="BC11:BC42" si="69">+IF(AA11="new",IF(BB11&gt;=80%,AZ11*750,IF(BB11&gt;=70%,AZ11*250,0)),IF(AND(AA11="OLD",V11&gt;=2),IF(BB11&gt;=80%,AZ11*750,IF(BB11&gt;=70%,AZ11*250,0)),0))</f>
        <v>0</v>
      </c>
      <c r="BD11" s="99">
        <f t="shared" ref="BD11:BD42" si="70">+IF(AG11&gt;0,IF(BB11&lt;=50%,BA11*250,0),0)</f>
        <v>250</v>
      </c>
      <c r="BE11" s="99">
        <f>+COUNTIFS(SALES!$S$2:$S$171,'CALCULATION DSE'!$C$8:$C$80,SALES!$CA$2:$CA$171,"YES")</f>
        <v>0</v>
      </c>
      <c r="BF11" s="99">
        <f t="shared" ref="BF11:BF42" si="71">+IF(AA11="NEW",BE11*3000,IF(AND(AA11="OLD",V11&gt;=2),BE11*3000,0))</f>
        <v>0</v>
      </c>
      <c r="BG11" s="148">
        <f>+SUMIFS(SALES!$BA$2:$BA$171,SALES!$S$2:$S$171,'CALCULATION DSE'!$C$8:$C$80)</f>
        <v>20133</v>
      </c>
      <c r="BH11" s="148">
        <f t="shared" ref="BH11:BH42" si="72">+IFERROR(BG11/V11,0)</f>
        <v>10066.5</v>
      </c>
      <c r="BI11" s="153">
        <f t="shared" ref="BI11:BI42" si="73">+IF(BH11&gt;14000,0%,IF(BH11&gt;=12001,30%,IF(BH11&gt;=10001,40%,IF(BH11&gt;=8001,60%,IF(BH11&gt;=6001,80%,IF(BH11&gt;=4001,100%,IF(BH11&gt;=2001,110%,IF(BH11&gt;=1001,130%,150%))))))))</f>
        <v>0.4</v>
      </c>
      <c r="BJ11" s="147">
        <f t="shared" ref="BJ11:BJ42" si="74">+AG11*BI11</f>
        <v>400</v>
      </c>
      <c r="BK11" s="147">
        <f t="shared" ref="BK11:BK42" si="75">+IF(SUM(BJ11+AI11-AJ11+AM11+AO11+AS11-AT11+AX11-AY11+BC11-BD11+BF11)&lt;0,0,SUM(BJ11+AI11-AJ11+AM11+AO11+AS11-AT11+AX11-AY11+BC11-BD11+BF11))</f>
        <v>650</v>
      </c>
      <c r="BL11" s="147">
        <v>0</v>
      </c>
      <c r="BM11" s="147">
        <f t="shared" ref="BM11:BM42" si="76">+IF(BL11=1,BL11*500,IF(BL11&gt;=2,BL11*1000,0))</f>
        <v>0</v>
      </c>
      <c r="BN11" s="148">
        <f t="shared" ref="BN11:BN42" si="77">+BK11-BM11</f>
        <v>650</v>
      </c>
      <c r="BO11" s="99">
        <f t="shared" ref="BO11:BO42" si="78">+IFERROR(VLOOKUP(C11,$E$87:$O$100,11,0),0)</f>
        <v>0</v>
      </c>
      <c r="BP11" s="147">
        <f t="shared" ref="BP11:BP42" si="79">+U11</f>
        <v>0</v>
      </c>
      <c r="BQ11" s="147">
        <f t="shared" ref="BQ11:BQ42" si="80">+BP11*1000</f>
        <v>0</v>
      </c>
      <c r="BR11" s="147">
        <f t="shared" ref="BR11:BR57" si="81">+J11+O11+T11</f>
        <v>0</v>
      </c>
      <c r="BS11" s="147">
        <f t="shared" ref="BS11:BS42" si="82">+BR11*2000</f>
        <v>0</v>
      </c>
      <c r="BT11" s="147">
        <f t="shared" ref="BT11:BT42" si="83">+G11+H11+L11+M11</f>
        <v>1</v>
      </c>
      <c r="BU11" s="147">
        <f t="shared" ref="BU11:BU42" si="84">+BT11*1000</f>
        <v>1000</v>
      </c>
      <c r="BV11" s="154">
        <f t="shared" ref="BV11:BV42" si="85">+BN11+BO11+BQ11+BS11+BU11</f>
        <v>1650</v>
      </c>
      <c r="BX11" s="160"/>
      <c r="CB11" s="155"/>
      <c r="CC11" s="155"/>
      <c r="CD11" s="156"/>
      <c r="CF11" s="157"/>
    </row>
    <row r="12" spans="1:84" hidden="1" x14ac:dyDescent="0.3">
      <c r="A12" s="72" t="s">
        <v>3090</v>
      </c>
      <c r="B12" s="145" t="s">
        <v>2299</v>
      </c>
      <c r="C12" s="145" t="s">
        <v>2299</v>
      </c>
      <c r="D12" s="145" t="s">
        <v>2299</v>
      </c>
      <c r="E12" s="145" t="s">
        <v>2875</v>
      </c>
      <c r="F12" s="79" t="str">
        <f>+VLOOKUP(C12,'EMP STATUS'!$D$3:$K$77,8,0)</f>
        <v>0702</v>
      </c>
      <c r="G12" s="72">
        <f>+COUNTIFS(SALES!$S$2:$S$171,'CALCULATION DSE'!$C$8:$C$80,SALES!$N$2:$N$171,'CALCULATION DSE'!$G$6:$U$6)</f>
        <v>0</v>
      </c>
      <c r="H12" s="72">
        <f>+COUNTIFS(SALES!$S$2:$S$171,'CALCULATION DSE'!$C$8:$C$80,SALES!$N$2:$N$171,'CALCULATION DSE'!$G$6:$U$6)</f>
        <v>0</v>
      </c>
      <c r="I12" s="72">
        <f>+COUNTIFS(SALES!$S$2:$S$171,'CALCULATION DSE'!$C$8:$C$80,SALES!$N$2:$N$171,'CALCULATION DSE'!$G$6:$U$6)</f>
        <v>0</v>
      </c>
      <c r="J12" s="72">
        <f>+COUNTIFS(SALES!$S$2:$S$171,'CALCULATION DSE'!$C$8:$C$80,SALES!$N$2:$N$171,'CALCULATION DSE'!$G$6:$U$6)</f>
        <v>1</v>
      </c>
      <c r="K12" s="72">
        <f>+COUNTIFS(SALES!$S$2:$S$171,'CALCULATION DSE'!$C$8:$C$80,SALES!$N$2:$N$171,'CALCULATION DSE'!$G$6:$U$6)</f>
        <v>1</v>
      </c>
      <c r="L12" s="72">
        <f>+COUNTIFS(SALES!$S$2:$S$171,'CALCULATION DSE'!$C$8:$C$80,SALES!$N$2:$N$171,'CALCULATION DSE'!$G$6:$U$6)</f>
        <v>0</v>
      </c>
      <c r="M12" s="72">
        <f>+COUNTIFS(SALES!$S$2:$S$171,'CALCULATION DSE'!$C$8:$C$80,SALES!$N$2:$N$171,'CALCULATION DSE'!$G$6:$U$6)</f>
        <v>0</v>
      </c>
      <c r="N12" s="72">
        <f>+COUNTIFS(SALES!$S$2:$S$171,'CALCULATION DSE'!$C$8:$C$80,SALES!$N$2:$N$171,'CALCULATION DSE'!$G$6:$U$6)</f>
        <v>0</v>
      </c>
      <c r="O12" s="72">
        <f>+COUNTIFS(SALES!$S$2:$S$171,'CALCULATION DSE'!$C$8:$C$80,SALES!$N$2:$N$171,'CALCULATION DSE'!$G$6:$U$6)</f>
        <v>0</v>
      </c>
      <c r="P12" s="72">
        <f>+COUNTIFS(SALES!$S$2:$S$171,'CALCULATION DSE'!$C$8:$C$80,SALES!$N$2:$N$171,'CALCULATION DSE'!$G$6:$U$6)</f>
        <v>0</v>
      </c>
      <c r="Q12" s="72">
        <f>+COUNTIFS(SALES!$S$2:$S$171,'CALCULATION DSE'!$C$8:$C$80,SALES!$N$2:$N$171,'CALCULATION DSE'!$G$6:$U$6)</f>
        <v>1</v>
      </c>
      <c r="R12" s="72">
        <f>+COUNTIFS(SALES!$S$2:$S$171,'CALCULATION DSE'!$C$8:$C$80,SALES!$N$2:$N$171,'CALCULATION DSE'!$G$6:$U$6)</f>
        <v>3</v>
      </c>
      <c r="S12" s="72">
        <f>+COUNTIFS(SALES!$S$2:$S$171,'CALCULATION DSE'!$C$8:$C$80,SALES!$N$2:$N$171,'CALCULATION DSE'!$G$6:$U$6)</f>
        <v>2</v>
      </c>
      <c r="T12" s="72">
        <f>+COUNTIFS(SALES!$S$2:$S$171,'CALCULATION DSE'!$C$8:$C$80,SALES!$N$2:$N$171,'CALCULATION DSE'!$G$6:$U$6)</f>
        <v>0</v>
      </c>
      <c r="U12" s="72">
        <f>+COUNTIFS(SALES!$S$2:$S$171,'CALCULATION DSE'!$C$8:$C$80,SALES!$N$2:$N$171,'CALCULATION DSE'!$G$6:$U$6)</f>
        <v>0</v>
      </c>
      <c r="V12" s="146">
        <f t="shared" si="43"/>
        <v>8</v>
      </c>
      <c r="W12" s="146">
        <f t="shared" si="44"/>
        <v>5</v>
      </c>
      <c r="X12" s="79">
        <f t="shared" si="45"/>
        <v>3</v>
      </c>
      <c r="Y12" s="79">
        <f t="shared" si="46"/>
        <v>1</v>
      </c>
      <c r="Z12" s="79">
        <f t="shared" si="47"/>
        <v>2</v>
      </c>
      <c r="AA12" s="79" t="str">
        <f>+VLOOKUP(C12,'EMP STATUS'!$D$3:$J$77,7,0)</f>
        <v>OLD</v>
      </c>
      <c r="AB12" s="72" t="str">
        <f t="shared" si="48"/>
        <v>YES</v>
      </c>
      <c r="AC12" s="72" t="str">
        <f t="shared" si="49"/>
        <v>YES</v>
      </c>
      <c r="AD12" s="147">
        <f t="shared" si="50"/>
        <v>0</v>
      </c>
      <c r="AE12" s="147">
        <f t="shared" si="51"/>
        <v>12500</v>
      </c>
      <c r="AF12" s="147">
        <f t="shared" si="52"/>
        <v>1500</v>
      </c>
      <c r="AG12" s="148">
        <f t="shared" si="53"/>
        <v>14000</v>
      </c>
      <c r="AH12" s="149">
        <v>0</v>
      </c>
      <c r="AI12" s="149">
        <f t="shared" si="54"/>
        <v>0</v>
      </c>
      <c r="AJ12" s="147">
        <f t="shared" si="55"/>
        <v>0</v>
      </c>
      <c r="AK12" s="99">
        <f>+VLOOKUP(C12,'DSE WISE MGA SALE '!$B$5:$G$116,6,0)</f>
        <v>151712.32876712328</v>
      </c>
      <c r="AL12" s="99">
        <f t="shared" si="56"/>
        <v>18964.04109589041</v>
      </c>
      <c r="AM12" s="99">
        <f t="shared" si="57"/>
        <v>4551.3698630136987</v>
      </c>
      <c r="AN12" s="150">
        <f>+COUNTIFS(SALES!$S$2:$S$171,'CALCULATION DSE'!$C$7:$C$80,SALES!$AH$2:$AH$171,"&gt;0")</f>
        <v>1</v>
      </c>
      <c r="AO12" s="149">
        <f t="shared" si="58"/>
        <v>400</v>
      </c>
      <c r="AP12" s="151">
        <f>+COUNTIFS(SALES!$S$2:$S$171,'CALCULATION DSE'!$C$8:$C$80,SALES!$BH$2:$BH$171,"MSSF")</f>
        <v>2</v>
      </c>
      <c r="AQ12" s="151">
        <f t="shared" si="59"/>
        <v>6</v>
      </c>
      <c r="AR12" s="152">
        <f t="shared" si="60"/>
        <v>0.25</v>
      </c>
      <c r="AS12" s="149">
        <f t="shared" si="61"/>
        <v>0</v>
      </c>
      <c r="AT12" s="149">
        <f t="shared" si="62"/>
        <v>1500</v>
      </c>
      <c r="AU12" s="72">
        <f>+COUNTIFS(SALES!$S$2:$S$171,'CALCULATION DSE'!$C$8:$C$80,SALES!$Y$2:$Y$171,"&gt;0")</f>
        <v>7</v>
      </c>
      <c r="AV12" s="72">
        <f t="shared" si="63"/>
        <v>1</v>
      </c>
      <c r="AW12" s="153">
        <f t="shared" si="64"/>
        <v>0.875</v>
      </c>
      <c r="AX12" s="99">
        <f t="shared" si="65"/>
        <v>7000</v>
      </c>
      <c r="AY12" s="99">
        <f t="shared" si="66"/>
        <v>0</v>
      </c>
      <c r="AZ12" s="72">
        <f>+COUNTIFS(SALES!$S$2:$S$171,'CALCULATION DSE'!$C$8:$C$80,SALES!$AC$2:$AC$171,"&gt;0")</f>
        <v>5</v>
      </c>
      <c r="BA12" s="72">
        <f t="shared" si="67"/>
        <v>3</v>
      </c>
      <c r="BB12" s="153">
        <f t="shared" si="68"/>
        <v>0.625</v>
      </c>
      <c r="BC12" s="99">
        <f t="shared" si="69"/>
        <v>0</v>
      </c>
      <c r="BD12" s="99">
        <f t="shared" si="70"/>
        <v>0</v>
      </c>
      <c r="BE12" s="99">
        <f>+COUNTIFS(SALES!$S$2:$S$171,'CALCULATION DSE'!$C$8:$C$80,SALES!$CA$2:$CA$171,"YES")</f>
        <v>0</v>
      </c>
      <c r="BF12" s="99">
        <f t="shared" si="71"/>
        <v>0</v>
      </c>
      <c r="BG12" s="148">
        <f>+SUMIFS(SALES!$BA$2:$BA$171,SALES!$S$2:$S$171,'CALCULATION DSE'!$C$8:$C$80)</f>
        <v>36469</v>
      </c>
      <c r="BH12" s="148">
        <f t="shared" si="72"/>
        <v>4558.625</v>
      </c>
      <c r="BI12" s="153">
        <f t="shared" si="73"/>
        <v>1</v>
      </c>
      <c r="BJ12" s="147">
        <f t="shared" si="74"/>
        <v>14000</v>
      </c>
      <c r="BK12" s="147">
        <f t="shared" si="75"/>
        <v>24451.369863013701</v>
      </c>
      <c r="BL12" s="147">
        <v>0</v>
      </c>
      <c r="BM12" s="147">
        <f t="shared" si="76"/>
        <v>0</v>
      </c>
      <c r="BN12" s="148">
        <f t="shared" si="77"/>
        <v>24451.369863013701</v>
      </c>
      <c r="BO12" s="99">
        <f t="shared" si="78"/>
        <v>11366.69589041096</v>
      </c>
      <c r="BP12" s="147">
        <f t="shared" si="79"/>
        <v>0</v>
      </c>
      <c r="BQ12" s="147">
        <f t="shared" si="80"/>
        <v>0</v>
      </c>
      <c r="BR12" s="147">
        <f t="shared" si="81"/>
        <v>1</v>
      </c>
      <c r="BS12" s="147">
        <f t="shared" si="82"/>
        <v>2000</v>
      </c>
      <c r="BT12" s="147">
        <f t="shared" si="83"/>
        <v>0</v>
      </c>
      <c r="BU12" s="147">
        <f t="shared" si="84"/>
        <v>0</v>
      </c>
      <c r="BV12" s="154">
        <f t="shared" si="85"/>
        <v>37818.065753424657</v>
      </c>
      <c r="BX12" s="160"/>
      <c r="CB12" s="155"/>
      <c r="CC12" s="155"/>
      <c r="CD12" s="156"/>
      <c r="CF12" s="157"/>
    </row>
    <row r="13" spans="1:84" hidden="1" x14ac:dyDescent="0.3">
      <c r="A13" s="72" t="s">
        <v>3073</v>
      </c>
      <c r="B13" s="145" t="s">
        <v>2299</v>
      </c>
      <c r="C13" s="145" t="s">
        <v>2446</v>
      </c>
      <c r="D13" s="145" t="s">
        <v>2299</v>
      </c>
      <c r="E13" s="145" t="s">
        <v>2875</v>
      </c>
      <c r="F13" s="79" t="str">
        <f>+VLOOKUP(C13,'EMP STATUS'!$D$3:$K$77,8,0)</f>
        <v>1195</v>
      </c>
      <c r="G13" s="72">
        <f>+COUNTIFS(SALES!$S$2:$S$171,'CALCULATION DSE'!$C$8:$C$80,SALES!$N$2:$N$171,'CALCULATION DSE'!$G$6:$U$6)</f>
        <v>0</v>
      </c>
      <c r="H13" s="72">
        <f>+COUNTIFS(SALES!$S$2:$S$171,'CALCULATION DSE'!$C$8:$C$80,SALES!$N$2:$N$171,'CALCULATION DSE'!$G$6:$U$6)</f>
        <v>1</v>
      </c>
      <c r="I13" s="72">
        <f>+COUNTIFS(SALES!$S$2:$S$171,'CALCULATION DSE'!$C$8:$C$80,SALES!$N$2:$N$171,'CALCULATION DSE'!$G$6:$U$6)</f>
        <v>0</v>
      </c>
      <c r="J13" s="72">
        <f>+COUNTIFS(SALES!$S$2:$S$171,'CALCULATION DSE'!$C$8:$C$80,SALES!$N$2:$N$171,'CALCULATION DSE'!$G$6:$U$6)</f>
        <v>0</v>
      </c>
      <c r="K13" s="72">
        <f>+COUNTIFS(SALES!$S$2:$S$171,'CALCULATION DSE'!$C$8:$C$80,SALES!$N$2:$N$171,'CALCULATION DSE'!$G$6:$U$6)</f>
        <v>0</v>
      </c>
      <c r="L13" s="72">
        <f>+COUNTIFS(SALES!$S$2:$S$171,'CALCULATION DSE'!$C$8:$C$80,SALES!$N$2:$N$171,'CALCULATION DSE'!$G$6:$U$6)</f>
        <v>0</v>
      </c>
      <c r="M13" s="72">
        <f>+COUNTIFS(SALES!$S$2:$S$171,'CALCULATION DSE'!$C$8:$C$80,SALES!$N$2:$N$171,'CALCULATION DSE'!$G$6:$U$6)</f>
        <v>1</v>
      </c>
      <c r="N13" s="72">
        <f>+COUNTIFS(SALES!$S$2:$S$171,'CALCULATION DSE'!$C$8:$C$80,SALES!$N$2:$N$171,'CALCULATION DSE'!$G$6:$U$6)</f>
        <v>0</v>
      </c>
      <c r="O13" s="72">
        <f>+COUNTIFS(SALES!$S$2:$S$171,'CALCULATION DSE'!$C$8:$C$80,SALES!$N$2:$N$171,'CALCULATION DSE'!$G$6:$U$6)</f>
        <v>0</v>
      </c>
      <c r="P13" s="72">
        <f>+COUNTIFS(SALES!$S$2:$S$171,'CALCULATION DSE'!$C$8:$C$80,SALES!$N$2:$N$171,'CALCULATION DSE'!$G$6:$U$6)</f>
        <v>1</v>
      </c>
      <c r="Q13" s="72">
        <f>+COUNTIFS(SALES!$S$2:$S$171,'CALCULATION DSE'!$C$8:$C$80,SALES!$N$2:$N$171,'CALCULATION DSE'!$G$6:$U$6)</f>
        <v>2</v>
      </c>
      <c r="R13" s="72">
        <f>+COUNTIFS(SALES!$S$2:$S$171,'CALCULATION DSE'!$C$8:$C$80,SALES!$N$2:$N$171,'CALCULATION DSE'!$G$6:$U$6)</f>
        <v>0</v>
      </c>
      <c r="S13" s="72">
        <f>+COUNTIFS(SALES!$S$2:$S$171,'CALCULATION DSE'!$C$8:$C$80,SALES!$N$2:$N$171,'CALCULATION DSE'!$G$6:$U$6)</f>
        <v>0</v>
      </c>
      <c r="T13" s="72">
        <f>+COUNTIFS(SALES!$S$2:$S$171,'CALCULATION DSE'!$C$8:$C$80,SALES!$N$2:$N$171,'CALCULATION DSE'!$G$6:$U$6)</f>
        <v>0</v>
      </c>
      <c r="U13" s="72">
        <f>+COUNTIFS(SALES!$S$2:$S$171,'CALCULATION DSE'!$C$8:$C$80,SALES!$N$2:$N$171,'CALCULATION DSE'!$G$6:$U$6)</f>
        <v>0</v>
      </c>
      <c r="V13" s="146">
        <f t="shared" si="43"/>
        <v>5</v>
      </c>
      <c r="W13" s="146">
        <f t="shared" si="44"/>
        <v>5</v>
      </c>
      <c r="X13" s="79">
        <f t="shared" si="45"/>
        <v>0</v>
      </c>
      <c r="Y13" s="79">
        <f t="shared" si="46"/>
        <v>0</v>
      </c>
      <c r="Z13" s="79">
        <f t="shared" si="47"/>
        <v>2</v>
      </c>
      <c r="AA13" s="79" t="str">
        <f>+VLOOKUP(C13,'EMP STATUS'!$D$3:$J$77,7,0)</f>
        <v>OLD</v>
      </c>
      <c r="AB13" s="72" t="str">
        <f t="shared" si="48"/>
        <v>YES</v>
      </c>
      <c r="AC13" s="72" t="str">
        <f t="shared" si="49"/>
        <v>YES</v>
      </c>
      <c r="AD13" s="147">
        <f t="shared" si="50"/>
        <v>0</v>
      </c>
      <c r="AE13" s="147">
        <f t="shared" si="51"/>
        <v>10000</v>
      </c>
      <c r="AF13" s="147">
        <f t="shared" si="52"/>
        <v>0</v>
      </c>
      <c r="AG13" s="148">
        <f t="shared" si="53"/>
        <v>10000</v>
      </c>
      <c r="AH13" s="149">
        <v>150</v>
      </c>
      <c r="AI13" s="149">
        <f t="shared" si="54"/>
        <v>1800</v>
      </c>
      <c r="AJ13" s="147">
        <f t="shared" si="55"/>
        <v>0</v>
      </c>
      <c r="AK13" s="99">
        <f>+VLOOKUP(C13,'DSE WISE MGA SALE '!$B$5:$G$116,6,0)</f>
        <v>66213.013698630137</v>
      </c>
      <c r="AL13" s="99">
        <f t="shared" si="56"/>
        <v>13242.602739726028</v>
      </c>
      <c r="AM13" s="99">
        <f t="shared" si="57"/>
        <v>0</v>
      </c>
      <c r="AN13" s="150">
        <f>+COUNTIFS(SALES!$S$2:$S$171,'CALCULATION DSE'!$C$7:$C$80,SALES!$AH$2:$AH$171,"&gt;0")</f>
        <v>0</v>
      </c>
      <c r="AO13" s="149">
        <f t="shared" si="58"/>
        <v>0</v>
      </c>
      <c r="AP13" s="151">
        <f>+COUNTIFS(SALES!$S$2:$S$171,'CALCULATION DSE'!$C$8:$C$80,SALES!$BH$2:$BH$171,"MSSF")</f>
        <v>5</v>
      </c>
      <c r="AQ13" s="151">
        <f t="shared" si="59"/>
        <v>0</v>
      </c>
      <c r="AR13" s="152">
        <f t="shared" si="60"/>
        <v>1</v>
      </c>
      <c r="AS13" s="149">
        <f t="shared" si="61"/>
        <v>1250</v>
      </c>
      <c r="AT13" s="149">
        <f t="shared" si="62"/>
        <v>0</v>
      </c>
      <c r="AU13" s="72">
        <f>+COUNTIFS(SALES!$S$2:$S$171,'CALCULATION DSE'!$C$8:$C$80,SALES!$Y$2:$Y$171,"&gt;0")</f>
        <v>4</v>
      </c>
      <c r="AV13" s="72">
        <f t="shared" si="63"/>
        <v>1</v>
      </c>
      <c r="AW13" s="153">
        <f t="shared" si="64"/>
        <v>0.8</v>
      </c>
      <c r="AX13" s="99">
        <f t="shared" si="65"/>
        <v>4000</v>
      </c>
      <c r="AY13" s="99">
        <f t="shared" si="66"/>
        <v>0</v>
      </c>
      <c r="AZ13" s="72">
        <f>+COUNTIFS(SALES!$S$2:$S$171,'CALCULATION DSE'!$C$8:$C$80,SALES!$AC$2:$AC$171,"&gt;0")</f>
        <v>3</v>
      </c>
      <c r="BA13" s="72">
        <f t="shared" si="67"/>
        <v>2</v>
      </c>
      <c r="BB13" s="153">
        <f t="shared" si="68"/>
        <v>0.6</v>
      </c>
      <c r="BC13" s="99">
        <f t="shared" si="69"/>
        <v>0</v>
      </c>
      <c r="BD13" s="99">
        <f t="shared" si="70"/>
        <v>0</v>
      </c>
      <c r="BE13" s="99">
        <f>+COUNTIFS(SALES!$S$2:$S$171,'CALCULATION DSE'!$C$8:$C$80,SALES!$CA$2:$CA$171,"YES")</f>
        <v>0</v>
      </c>
      <c r="BF13" s="99">
        <f t="shared" si="71"/>
        <v>0</v>
      </c>
      <c r="BG13" s="148">
        <f>+SUMIFS(SALES!$BA$2:$BA$171,SALES!$S$2:$S$171,'CALCULATION DSE'!$C$8:$C$80)</f>
        <v>52316</v>
      </c>
      <c r="BH13" s="148">
        <f t="shared" si="72"/>
        <v>10463.200000000001</v>
      </c>
      <c r="BI13" s="153">
        <f t="shared" si="73"/>
        <v>0.4</v>
      </c>
      <c r="BJ13" s="147">
        <f t="shared" si="74"/>
        <v>4000</v>
      </c>
      <c r="BK13" s="147">
        <f t="shared" si="75"/>
        <v>11050</v>
      </c>
      <c r="BL13" s="147">
        <v>0</v>
      </c>
      <c r="BM13" s="147">
        <f t="shared" si="76"/>
        <v>0</v>
      </c>
      <c r="BN13" s="148">
        <f t="shared" si="77"/>
        <v>11050</v>
      </c>
      <c r="BO13" s="99">
        <f t="shared" si="78"/>
        <v>0</v>
      </c>
      <c r="BP13" s="147">
        <f t="shared" si="79"/>
        <v>0</v>
      </c>
      <c r="BQ13" s="147">
        <f t="shared" si="80"/>
        <v>0</v>
      </c>
      <c r="BR13" s="147">
        <f t="shared" si="81"/>
        <v>0</v>
      </c>
      <c r="BS13" s="147">
        <f t="shared" si="82"/>
        <v>0</v>
      </c>
      <c r="BT13" s="147">
        <f t="shared" si="83"/>
        <v>2</v>
      </c>
      <c r="BU13" s="147">
        <f t="shared" si="84"/>
        <v>2000</v>
      </c>
      <c r="BV13" s="154">
        <f t="shared" si="85"/>
        <v>13050</v>
      </c>
      <c r="BX13" s="160"/>
      <c r="CB13" s="155"/>
      <c r="CC13" s="155"/>
      <c r="CD13" s="156"/>
      <c r="CF13" s="157"/>
    </row>
    <row r="14" spans="1:84" customFormat="1" hidden="1" x14ac:dyDescent="0.3">
      <c r="A14" s="74" t="s">
        <v>3063</v>
      </c>
      <c r="B14" s="40" t="s">
        <v>986</v>
      </c>
      <c r="C14" s="40" t="s">
        <v>2619</v>
      </c>
      <c r="D14" s="40" t="s">
        <v>2463</v>
      </c>
      <c r="E14" s="73" t="s">
        <v>2879</v>
      </c>
      <c r="F14" s="79" t="str">
        <f>+VLOOKUP(C14,'EMP STATUS'!$D$3:$K$77,8,0)</f>
        <v>BUR259</v>
      </c>
      <c r="G14" s="39">
        <f>+COUNTIFS(SALES!$S$2:$S$171,'CALCULATION DSE'!$C$8:$C$80,SALES!$N$2:$N$171,'CALCULATION DSE'!$G$6:$U$6)</f>
        <v>0</v>
      </c>
      <c r="H14" s="39">
        <f>+COUNTIFS(SALES!$S$2:$S$171,'CALCULATION DSE'!$C$8:$C$80,SALES!$N$2:$N$171,'CALCULATION DSE'!$G$6:$U$6)</f>
        <v>0</v>
      </c>
      <c r="I14" s="39">
        <f>+COUNTIFS(SALES!$S$2:$S$171,'CALCULATION DSE'!$C$8:$C$80,SALES!$N$2:$N$171,'CALCULATION DSE'!$G$6:$U$6)</f>
        <v>0</v>
      </c>
      <c r="J14" s="39">
        <f>+COUNTIFS(SALES!$S$2:$S$171,'CALCULATION DSE'!$C$8:$C$80,SALES!$N$2:$N$171,'CALCULATION DSE'!$G$6:$U$6)</f>
        <v>0</v>
      </c>
      <c r="K14" s="39">
        <f>+COUNTIFS(SALES!$S$2:$S$171,'CALCULATION DSE'!$C$8:$C$80,SALES!$N$2:$N$171,'CALCULATION DSE'!$G$6:$U$6)</f>
        <v>0</v>
      </c>
      <c r="L14" s="39">
        <f>+COUNTIFS(SALES!$S$2:$S$171,'CALCULATION DSE'!$C$8:$C$80,SALES!$N$2:$N$171,'CALCULATION DSE'!$G$6:$U$6)</f>
        <v>0</v>
      </c>
      <c r="M14" s="39">
        <f>+COUNTIFS(SALES!$S$2:$S$171,'CALCULATION DSE'!$C$8:$C$80,SALES!$N$2:$N$171,'CALCULATION DSE'!$G$6:$U$6)</f>
        <v>0</v>
      </c>
      <c r="N14" s="39">
        <f>+COUNTIFS(SALES!$S$2:$S$171,'CALCULATION DSE'!$C$8:$C$80,SALES!$N$2:$N$171,'CALCULATION DSE'!$G$6:$U$6)</f>
        <v>0</v>
      </c>
      <c r="O14" s="39">
        <f>+COUNTIFS(SALES!$S$2:$S$171,'CALCULATION DSE'!$C$8:$C$80,SALES!$N$2:$N$171,'CALCULATION DSE'!$G$6:$U$6)</f>
        <v>0</v>
      </c>
      <c r="P14" s="39">
        <f>+COUNTIFS(SALES!$S$2:$S$171,'CALCULATION DSE'!$C$8:$C$80,SALES!$N$2:$N$171,'CALCULATION DSE'!$G$6:$U$6)</f>
        <v>0</v>
      </c>
      <c r="Q14" s="39">
        <f>+COUNTIFS(SALES!$S$2:$S$171,'CALCULATION DSE'!$C$8:$C$80,SALES!$N$2:$N$171,'CALCULATION DSE'!$G$6:$U$6)</f>
        <v>0</v>
      </c>
      <c r="R14" s="39">
        <f>+COUNTIFS(SALES!$S$2:$S$171,'CALCULATION DSE'!$C$8:$C$80,SALES!$N$2:$N$171,'CALCULATION DSE'!$G$6:$U$6)</f>
        <v>1</v>
      </c>
      <c r="S14" s="39">
        <f>+COUNTIFS(SALES!$S$2:$S$171,'CALCULATION DSE'!$C$8:$C$80,SALES!$N$2:$N$171,'CALCULATION DSE'!$G$6:$U$6)</f>
        <v>0</v>
      </c>
      <c r="T14" s="39">
        <f>+COUNTIFS(SALES!$S$2:$S$171,'CALCULATION DSE'!$C$8:$C$80,SALES!$N$2:$N$171,'CALCULATION DSE'!$G$6:$U$6)</f>
        <v>0</v>
      </c>
      <c r="U14" s="39">
        <f>+COUNTIFS(SALES!$S$2:$S$171,'CALCULATION DSE'!$C$8:$C$80,SALES!$N$2:$N$171,'CALCULATION DSE'!$G$6:$U$6)</f>
        <v>0</v>
      </c>
      <c r="V14" s="36">
        <f t="shared" si="43"/>
        <v>1</v>
      </c>
      <c r="W14" s="36">
        <f t="shared" si="44"/>
        <v>0</v>
      </c>
      <c r="X14" s="79">
        <f t="shared" si="45"/>
        <v>1</v>
      </c>
      <c r="Y14" s="79">
        <f t="shared" si="46"/>
        <v>0</v>
      </c>
      <c r="Z14" s="79">
        <f t="shared" si="47"/>
        <v>0</v>
      </c>
      <c r="AA14" s="79" t="str">
        <f>+VLOOKUP(C14,'EMP STATUS'!$D$3:$J$77,7,0)</f>
        <v>OLD</v>
      </c>
      <c r="AB14" s="72" t="str">
        <f t="shared" si="48"/>
        <v>YES</v>
      </c>
      <c r="AC14" s="72" t="str">
        <f t="shared" si="49"/>
        <v>NO</v>
      </c>
      <c r="AD14" s="64">
        <f t="shared" si="50"/>
        <v>0</v>
      </c>
      <c r="AE14" s="64">
        <f t="shared" si="51"/>
        <v>0</v>
      </c>
      <c r="AF14" s="64">
        <f t="shared" si="52"/>
        <v>0</v>
      </c>
      <c r="AG14" s="71">
        <f t="shared" si="53"/>
        <v>0</v>
      </c>
      <c r="AH14" s="68">
        <v>0</v>
      </c>
      <c r="AI14" s="68">
        <f t="shared" si="54"/>
        <v>0</v>
      </c>
      <c r="AJ14" s="64">
        <f t="shared" si="55"/>
        <v>0</v>
      </c>
      <c r="AK14" s="66">
        <f>+VLOOKUP(C14,'DSE WISE MGA SALE '!$B$5:$G$116,6,0)</f>
        <v>20201.369863013701</v>
      </c>
      <c r="AL14" s="67">
        <f t="shared" si="56"/>
        <v>20201.369863013701</v>
      </c>
      <c r="AM14" s="67">
        <f t="shared" si="57"/>
        <v>0</v>
      </c>
      <c r="AN14" s="70">
        <f>+COUNTIFS(SALES!$S$2:$S$171,'CALCULATION DSE'!$C$7:$C$80,SALES!$AH$2:$AH$171,"&gt;0")</f>
        <v>0</v>
      </c>
      <c r="AO14" s="68">
        <f t="shared" si="58"/>
        <v>0</v>
      </c>
      <c r="AP14" s="69">
        <f>+COUNTIFS(SALES!$S$2:$S$171,'CALCULATION DSE'!$C$8:$C$80,SALES!$BH$2:$BH$171,"MSSF")</f>
        <v>1</v>
      </c>
      <c r="AQ14" s="69">
        <f t="shared" si="59"/>
        <v>0</v>
      </c>
      <c r="AR14" s="98">
        <f t="shared" si="60"/>
        <v>1</v>
      </c>
      <c r="AS14" s="68">
        <f t="shared" si="61"/>
        <v>0</v>
      </c>
      <c r="AT14" s="68">
        <f t="shared" si="62"/>
        <v>0</v>
      </c>
      <c r="AU14" s="39">
        <f>+COUNTIFS(SALES!$S$2:$S$171,'CALCULATION DSE'!$C$8:$C$80,SALES!$Y$2:$Y$171,"&gt;0")</f>
        <v>1</v>
      </c>
      <c r="AV14" s="39">
        <f t="shared" si="63"/>
        <v>0</v>
      </c>
      <c r="AW14" s="65">
        <f t="shared" si="64"/>
        <v>1</v>
      </c>
      <c r="AX14" s="67">
        <f t="shared" si="65"/>
        <v>0</v>
      </c>
      <c r="AY14" s="67">
        <f t="shared" si="66"/>
        <v>0</v>
      </c>
      <c r="AZ14" s="39">
        <f>+COUNTIFS(SALES!$S$2:$S$171,'CALCULATION DSE'!$C$8:$C$80,SALES!$AC$2:$AC$171,"&gt;0")</f>
        <v>0</v>
      </c>
      <c r="BA14" s="39">
        <f t="shared" si="67"/>
        <v>1</v>
      </c>
      <c r="BB14" s="65">
        <f t="shared" si="68"/>
        <v>0</v>
      </c>
      <c r="BC14" s="66">
        <f t="shared" si="69"/>
        <v>0</v>
      </c>
      <c r="BD14" s="66">
        <f t="shared" si="70"/>
        <v>0</v>
      </c>
      <c r="BE14" s="99">
        <f>+COUNTIFS(SALES!$S$2:$S$171,'CALCULATION DSE'!$C$8:$C$80,SALES!$CA$2:$CA$171,"YES")</f>
        <v>0</v>
      </c>
      <c r="BF14" s="66">
        <f t="shared" si="71"/>
        <v>0</v>
      </c>
      <c r="BG14" s="37">
        <f>+SUMIFS(SALES!$BA$2:$BA$171,SALES!$S$2:$S$171,'CALCULATION DSE'!$C$8:$C$80)</f>
        <v>0</v>
      </c>
      <c r="BH14" s="37">
        <f t="shared" si="72"/>
        <v>0</v>
      </c>
      <c r="BI14" s="65">
        <f t="shared" si="73"/>
        <v>1.5</v>
      </c>
      <c r="BJ14" s="64">
        <f t="shared" si="74"/>
        <v>0</v>
      </c>
      <c r="BK14" s="64">
        <f t="shared" si="75"/>
        <v>0</v>
      </c>
      <c r="BL14" s="64">
        <v>0</v>
      </c>
      <c r="BM14" s="64">
        <f t="shared" si="76"/>
        <v>0</v>
      </c>
      <c r="BN14" s="37">
        <f t="shared" si="77"/>
        <v>0</v>
      </c>
      <c r="BO14" s="38">
        <f t="shared" si="78"/>
        <v>0</v>
      </c>
      <c r="BP14" s="64">
        <f t="shared" si="79"/>
        <v>0</v>
      </c>
      <c r="BQ14" s="64">
        <f t="shared" si="80"/>
        <v>0</v>
      </c>
      <c r="BR14" s="64">
        <f t="shared" si="81"/>
        <v>0</v>
      </c>
      <c r="BS14" s="64">
        <f t="shared" si="82"/>
        <v>0</v>
      </c>
      <c r="BT14" s="64">
        <f t="shared" si="83"/>
        <v>0</v>
      </c>
      <c r="BU14" s="64">
        <f t="shared" si="84"/>
        <v>0</v>
      </c>
      <c r="BV14" s="63">
        <f t="shared" si="85"/>
        <v>0</v>
      </c>
      <c r="BX14" s="76"/>
      <c r="CB14" s="50"/>
      <c r="CC14" s="50"/>
      <c r="CD14" s="62"/>
      <c r="CF14" s="46"/>
    </row>
    <row r="15" spans="1:84" hidden="1" x14ac:dyDescent="0.3">
      <c r="A15" s="72" t="s">
        <v>3064</v>
      </c>
      <c r="B15" s="145" t="s">
        <v>2299</v>
      </c>
      <c r="C15" s="145" t="s">
        <v>1503</v>
      </c>
      <c r="D15" s="145" t="s">
        <v>2299</v>
      </c>
      <c r="E15" s="145" t="s">
        <v>2875</v>
      </c>
      <c r="F15" s="79" t="str">
        <f>+VLOOKUP(C15,'EMP STATUS'!$D$3:$K$77,8,0)</f>
        <v>1601</v>
      </c>
      <c r="G15" s="72">
        <f>+COUNTIFS(SALES!$S$2:$S$171,'CALCULATION DSE'!$C$8:$C$80,SALES!$N$2:$N$171,'CALCULATION DSE'!$G$6:$U$6)</f>
        <v>0</v>
      </c>
      <c r="H15" s="72">
        <f>+COUNTIFS(SALES!$S$2:$S$171,'CALCULATION DSE'!$C$8:$C$80,SALES!$N$2:$N$171,'CALCULATION DSE'!$G$6:$U$6)</f>
        <v>0</v>
      </c>
      <c r="I15" s="72">
        <f>+COUNTIFS(SALES!$S$2:$S$171,'CALCULATION DSE'!$C$8:$C$80,SALES!$N$2:$N$171,'CALCULATION DSE'!$G$6:$U$6)</f>
        <v>0</v>
      </c>
      <c r="J15" s="72">
        <f>+COUNTIFS(SALES!$S$2:$S$171,'CALCULATION DSE'!$C$8:$C$80,SALES!$N$2:$N$171,'CALCULATION DSE'!$G$6:$U$6)</f>
        <v>0</v>
      </c>
      <c r="K15" s="72">
        <f>+COUNTIFS(SALES!$S$2:$S$171,'CALCULATION DSE'!$C$8:$C$80,SALES!$N$2:$N$171,'CALCULATION DSE'!$G$6:$U$6)</f>
        <v>0</v>
      </c>
      <c r="L15" s="72">
        <f>+COUNTIFS(SALES!$S$2:$S$171,'CALCULATION DSE'!$C$8:$C$80,SALES!$N$2:$N$171,'CALCULATION DSE'!$G$6:$U$6)</f>
        <v>1</v>
      </c>
      <c r="M15" s="72">
        <f>+COUNTIFS(SALES!$S$2:$S$171,'CALCULATION DSE'!$C$8:$C$80,SALES!$N$2:$N$171,'CALCULATION DSE'!$G$6:$U$6)</f>
        <v>0</v>
      </c>
      <c r="N15" s="72">
        <f>+COUNTIFS(SALES!$S$2:$S$171,'CALCULATION DSE'!$C$8:$C$80,SALES!$N$2:$N$171,'CALCULATION DSE'!$G$6:$U$6)</f>
        <v>0</v>
      </c>
      <c r="O15" s="72">
        <f>+COUNTIFS(SALES!$S$2:$S$171,'CALCULATION DSE'!$C$8:$C$80,SALES!$N$2:$N$171,'CALCULATION DSE'!$G$6:$U$6)</f>
        <v>0</v>
      </c>
      <c r="P15" s="72">
        <f>+COUNTIFS(SALES!$S$2:$S$171,'CALCULATION DSE'!$C$8:$C$80,SALES!$N$2:$N$171,'CALCULATION DSE'!$G$6:$U$6)</f>
        <v>0</v>
      </c>
      <c r="Q15" s="72">
        <f>+COUNTIFS(SALES!$S$2:$S$171,'CALCULATION DSE'!$C$8:$C$80,SALES!$N$2:$N$171,'CALCULATION DSE'!$G$6:$U$6)</f>
        <v>0</v>
      </c>
      <c r="R15" s="72">
        <f>+COUNTIFS(SALES!$S$2:$S$171,'CALCULATION DSE'!$C$8:$C$80,SALES!$N$2:$N$171,'CALCULATION DSE'!$G$6:$U$6)</f>
        <v>1</v>
      </c>
      <c r="S15" s="72">
        <f>+COUNTIFS(SALES!$S$2:$S$171,'CALCULATION DSE'!$C$8:$C$80,SALES!$N$2:$N$171,'CALCULATION DSE'!$G$6:$U$6)</f>
        <v>0</v>
      </c>
      <c r="T15" s="72">
        <f>+COUNTIFS(SALES!$S$2:$S$171,'CALCULATION DSE'!$C$8:$C$80,SALES!$N$2:$N$171,'CALCULATION DSE'!$G$6:$U$6)</f>
        <v>0</v>
      </c>
      <c r="U15" s="72">
        <f>+COUNTIFS(SALES!$S$2:$S$171,'CALCULATION DSE'!$C$8:$C$80,SALES!$N$2:$N$171,'CALCULATION DSE'!$G$6:$U$6)</f>
        <v>0</v>
      </c>
      <c r="V15" s="146">
        <f t="shared" si="43"/>
        <v>2</v>
      </c>
      <c r="W15" s="146">
        <f t="shared" si="44"/>
        <v>1</v>
      </c>
      <c r="X15" s="79">
        <f t="shared" si="45"/>
        <v>1</v>
      </c>
      <c r="Y15" s="79">
        <f t="shared" si="46"/>
        <v>0</v>
      </c>
      <c r="Z15" s="79">
        <f t="shared" si="47"/>
        <v>1</v>
      </c>
      <c r="AA15" s="79" t="str">
        <f>+VLOOKUP(C15,'EMP STATUS'!$D$3:$J$77,7,0)</f>
        <v>OLD</v>
      </c>
      <c r="AB15" s="72" t="str">
        <f t="shared" si="48"/>
        <v>YES</v>
      </c>
      <c r="AC15" s="72" t="str">
        <f t="shared" si="49"/>
        <v>YES</v>
      </c>
      <c r="AD15" s="147">
        <f t="shared" si="50"/>
        <v>0</v>
      </c>
      <c r="AE15" s="147">
        <f t="shared" si="51"/>
        <v>500</v>
      </c>
      <c r="AF15" s="147">
        <f t="shared" si="52"/>
        <v>500</v>
      </c>
      <c r="AG15" s="148">
        <f t="shared" si="53"/>
        <v>1000</v>
      </c>
      <c r="AH15" s="149">
        <v>0</v>
      </c>
      <c r="AI15" s="149">
        <f t="shared" si="54"/>
        <v>0</v>
      </c>
      <c r="AJ15" s="147">
        <f t="shared" si="55"/>
        <v>0</v>
      </c>
      <c r="AK15" s="99">
        <f>+VLOOKUP(C15,'DSE WISE MGA SALE '!$B$5:$G$116,6,0)</f>
        <v>39300.684931506854</v>
      </c>
      <c r="AL15" s="99">
        <f t="shared" si="56"/>
        <v>19650.342465753427</v>
      </c>
      <c r="AM15" s="99">
        <f t="shared" si="57"/>
        <v>1375.5239726027401</v>
      </c>
      <c r="AN15" s="150">
        <f>+COUNTIFS(SALES!$S$2:$S$171,'CALCULATION DSE'!$C$7:$C$80,SALES!$AH$2:$AH$171,"&gt;0")</f>
        <v>1</v>
      </c>
      <c r="AO15" s="149">
        <f t="shared" si="58"/>
        <v>400</v>
      </c>
      <c r="AP15" s="151">
        <f>+COUNTIFS(SALES!$S$2:$S$171,'CALCULATION DSE'!$C$8:$C$80,SALES!$BH$2:$BH$171,"MSSF")</f>
        <v>1</v>
      </c>
      <c r="AQ15" s="151">
        <f t="shared" si="59"/>
        <v>1</v>
      </c>
      <c r="AR15" s="152">
        <f t="shared" si="60"/>
        <v>0.5</v>
      </c>
      <c r="AS15" s="149">
        <f t="shared" si="61"/>
        <v>0</v>
      </c>
      <c r="AT15" s="149">
        <f t="shared" si="62"/>
        <v>250</v>
      </c>
      <c r="AU15" s="72">
        <f>+COUNTIFS(SALES!$S$2:$S$171,'CALCULATION DSE'!$C$8:$C$80,SALES!$Y$2:$Y$171,"&gt;0")</f>
        <v>2</v>
      </c>
      <c r="AV15" s="72">
        <f t="shared" si="63"/>
        <v>0</v>
      </c>
      <c r="AW15" s="153">
        <f t="shared" si="64"/>
        <v>1</v>
      </c>
      <c r="AX15" s="99">
        <f t="shared" si="65"/>
        <v>2000</v>
      </c>
      <c r="AY15" s="99">
        <f t="shared" si="66"/>
        <v>0</v>
      </c>
      <c r="AZ15" s="72">
        <f>+COUNTIFS(SALES!$S$2:$S$171,'CALCULATION DSE'!$C$8:$C$80,SALES!$AC$2:$AC$171,"&gt;0")</f>
        <v>2</v>
      </c>
      <c r="BA15" s="72">
        <f t="shared" si="67"/>
        <v>0</v>
      </c>
      <c r="BB15" s="153">
        <f t="shared" si="68"/>
        <v>1</v>
      </c>
      <c r="BC15" s="99">
        <f t="shared" si="69"/>
        <v>1500</v>
      </c>
      <c r="BD15" s="99">
        <f t="shared" si="70"/>
        <v>0</v>
      </c>
      <c r="BE15" s="99">
        <f>+COUNTIFS(SALES!$S$2:$S$171,'CALCULATION DSE'!$C$8:$C$80,SALES!$CA$2:$CA$171,"YES")</f>
        <v>0</v>
      </c>
      <c r="BF15" s="99">
        <f t="shared" si="71"/>
        <v>0</v>
      </c>
      <c r="BG15" s="148">
        <f>+SUMIFS(SALES!$BA$2:$BA$171,SALES!$S$2:$S$171,'CALCULATION DSE'!$C$8:$C$80)</f>
        <v>19811</v>
      </c>
      <c r="BH15" s="148">
        <f t="shared" si="72"/>
        <v>9905.5</v>
      </c>
      <c r="BI15" s="153">
        <f t="shared" si="73"/>
        <v>0.6</v>
      </c>
      <c r="BJ15" s="147">
        <f t="shared" si="74"/>
        <v>600</v>
      </c>
      <c r="BK15" s="147">
        <f t="shared" si="75"/>
        <v>5625.5239726027403</v>
      </c>
      <c r="BL15" s="147">
        <v>0</v>
      </c>
      <c r="BM15" s="147">
        <f t="shared" si="76"/>
        <v>0</v>
      </c>
      <c r="BN15" s="148">
        <f t="shared" si="77"/>
        <v>5625.5239726027403</v>
      </c>
      <c r="BO15" s="99">
        <f t="shared" si="78"/>
        <v>0</v>
      </c>
      <c r="BP15" s="147">
        <f t="shared" si="79"/>
        <v>0</v>
      </c>
      <c r="BQ15" s="147">
        <f t="shared" si="80"/>
        <v>0</v>
      </c>
      <c r="BR15" s="147">
        <f t="shared" si="81"/>
        <v>0</v>
      </c>
      <c r="BS15" s="147">
        <f t="shared" si="82"/>
        <v>0</v>
      </c>
      <c r="BT15" s="147">
        <f t="shared" si="83"/>
        <v>1</v>
      </c>
      <c r="BU15" s="147">
        <f t="shared" si="84"/>
        <v>1000</v>
      </c>
      <c r="BV15" s="154">
        <f t="shared" si="85"/>
        <v>6625.5239726027403</v>
      </c>
      <c r="BX15" s="72"/>
      <c r="CB15" s="155"/>
      <c r="CC15" s="155"/>
      <c r="CD15" s="156"/>
      <c r="CF15" s="157"/>
    </row>
    <row r="16" spans="1:84" customFormat="1" hidden="1" x14ac:dyDescent="0.3">
      <c r="A16" s="74" t="s">
        <v>3065</v>
      </c>
      <c r="B16" s="40" t="s">
        <v>2323</v>
      </c>
      <c r="C16" s="40" t="s">
        <v>2577</v>
      </c>
      <c r="D16" s="40" t="s">
        <v>2323</v>
      </c>
      <c r="E16" s="73" t="s">
        <v>2320</v>
      </c>
      <c r="F16" s="79" t="str">
        <f>+VLOOKUP(C16,'EMP STATUS'!$D$3:$K$77,8,0)</f>
        <v>0894</v>
      </c>
      <c r="G16" s="39">
        <f>+COUNTIFS(SALES!$S$2:$S$171,'CALCULATION DSE'!$C$8:$C$80,SALES!$N$2:$N$171,'CALCULATION DSE'!$G$6:$U$6)</f>
        <v>0</v>
      </c>
      <c r="H16" s="39">
        <f>+COUNTIFS(SALES!$S$2:$S$171,'CALCULATION DSE'!$C$8:$C$80,SALES!$N$2:$N$171,'CALCULATION DSE'!$G$6:$U$6)</f>
        <v>0</v>
      </c>
      <c r="I16" s="39">
        <f>+COUNTIFS(SALES!$S$2:$S$171,'CALCULATION DSE'!$C$8:$C$80,SALES!$N$2:$N$171,'CALCULATION DSE'!$G$6:$U$6)</f>
        <v>0</v>
      </c>
      <c r="J16" s="39">
        <f>+COUNTIFS(SALES!$S$2:$S$171,'CALCULATION DSE'!$C$8:$C$80,SALES!$N$2:$N$171,'CALCULATION DSE'!$G$6:$U$6)</f>
        <v>0</v>
      </c>
      <c r="K16" s="39">
        <f>+COUNTIFS(SALES!$S$2:$S$171,'CALCULATION DSE'!$C$8:$C$80,SALES!$N$2:$N$171,'CALCULATION DSE'!$G$6:$U$6)</f>
        <v>0</v>
      </c>
      <c r="L16" s="39">
        <f>+COUNTIFS(SALES!$S$2:$S$171,'CALCULATION DSE'!$C$8:$C$80,SALES!$N$2:$N$171,'CALCULATION DSE'!$G$6:$U$6)</f>
        <v>0</v>
      </c>
      <c r="M16" s="39">
        <f>+COUNTIFS(SALES!$S$2:$S$171,'CALCULATION DSE'!$C$8:$C$80,SALES!$N$2:$N$171,'CALCULATION DSE'!$G$6:$U$6)</f>
        <v>0</v>
      </c>
      <c r="N16" s="39">
        <f>+COUNTIFS(SALES!$S$2:$S$171,'CALCULATION DSE'!$C$8:$C$80,SALES!$N$2:$N$171,'CALCULATION DSE'!$G$6:$U$6)</f>
        <v>0</v>
      </c>
      <c r="O16" s="39">
        <f>+COUNTIFS(SALES!$S$2:$S$171,'CALCULATION DSE'!$C$8:$C$80,SALES!$N$2:$N$171,'CALCULATION DSE'!$G$6:$U$6)</f>
        <v>0</v>
      </c>
      <c r="P16" s="39">
        <f>+COUNTIFS(SALES!$S$2:$S$171,'CALCULATION DSE'!$C$8:$C$80,SALES!$N$2:$N$171,'CALCULATION DSE'!$G$6:$U$6)</f>
        <v>0</v>
      </c>
      <c r="Q16" s="39">
        <f>+COUNTIFS(SALES!$S$2:$S$171,'CALCULATION DSE'!$C$8:$C$80,SALES!$N$2:$N$171,'CALCULATION DSE'!$G$6:$U$6)</f>
        <v>2</v>
      </c>
      <c r="R16" s="39">
        <f>+COUNTIFS(SALES!$S$2:$S$171,'CALCULATION DSE'!$C$8:$C$80,SALES!$N$2:$N$171,'CALCULATION DSE'!$G$6:$U$6)</f>
        <v>1</v>
      </c>
      <c r="S16" s="39">
        <f>+COUNTIFS(SALES!$S$2:$S$171,'CALCULATION DSE'!$C$8:$C$80,SALES!$N$2:$N$171,'CALCULATION DSE'!$G$6:$U$6)</f>
        <v>0</v>
      </c>
      <c r="T16" s="39">
        <f>+COUNTIFS(SALES!$S$2:$S$171,'CALCULATION DSE'!$C$8:$C$80,SALES!$N$2:$N$171,'CALCULATION DSE'!$G$6:$U$6)</f>
        <v>0</v>
      </c>
      <c r="U16" s="39">
        <f>+COUNTIFS(SALES!$S$2:$S$171,'CALCULATION DSE'!$C$8:$C$80,SALES!$N$2:$N$171,'CALCULATION DSE'!$G$6:$U$6)</f>
        <v>0</v>
      </c>
      <c r="V16" s="36">
        <f t="shared" si="43"/>
        <v>3</v>
      </c>
      <c r="W16" s="36">
        <f t="shared" si="44"/>
        <v>2</v>
      </c>
      <c r="X16" s="79">
        <f t="shared" si="45"/>
        <v>1</v>
      </c>
      <c r="Y16" s="79">
        <f t="shared" si="46"/>
        <v>0</v>
      </c>
      <c r="Z16" s="79">
        <f t="shared" si="47"/>
        <v>0</v>
      </c>
      <c r="AA16" s="79" t="str">
        <f>+VLOOKUP(C16,'EMP STATUS'!$D$3:$J$77,7,0)</f>
        <v>OLD</v>
      </c>
      <c r="AB16" s="72" t="str">
        <f t="shared" si="48"/>
        <v>YES</v>
      </c>
      <c r="AC16" s="72" t="str">
        <f t="shared" si="49"/>
        <v>NO</v>
      </c>
      <c r="AD16" s="64">
        <f t="shared" si="50"/>
        <v>0</v>
      </c>
      <c r="AE16" s="64">
        <f t="shared" si="51"/>
        <v>0</v>
      </c>
      <c r="AF16" s="64">
        <f t="shared" si="52"/>
        <v>0</v>
      </c>
      <c r="AG16" s="71">
        <f t="shared" si="53"/>
        <v>0</v>
      </c>
      <c r="AH16" s="68">
        <v>0</v>
      </c>
      <c r="AI16" s="68">
        <f t="shared" si="54"/>
        <v>0</v>
      </c>
      <c r="AJ16" s="64">
        <f t="shared" si="55"/>
        <v>0</v>
      </c>
      <c r="AK16" s="66">
        <f>+VLOOKUP(C16,'DSE WISE MGA SALE '!$B$5:$G$116,6,0)</f>
        <v>70734.246575342462</v>
      </c>
      <c r="AL16" s="67">
        <f t="shared" si="56"/>
        <v>23578.082191780821</v>
      </c>
      <c r="AM16" s="67">
        <f t="shared" si="57"/>
        <v>3183.0410958904108</v>
      </c>
      <c r="AN16" s="70">
        <f>+COUNTIFS(SALES!$S$2:$S$171,'CALCULATION DSE'!$C$7:$C$80,SALES!$AH$2:$AH$171,"&gt;0")</f>
        <v>0</v>
      </c>
      <c r="AO16" s="68">
        <f t="shared" si="58"/>
        <v>0</v>
      </c>
      <c r="AP16" s="69">
        <f>+COUNTIFS(SALES!$S$2:$S$171,'CALCULATION DSE'!$C$8:$C$80,SALES!$BH$2:$BH$171,"MSSF")</f>
        <v>2</v>
      </c>
      <c r="AQ16" s="69">
        <f t="shared" si="59"/>
        <v>1</v>
      </c>
      <c r="AR16" s="98">
        <f t="shared" si="60"/>
        <v>0.66666666666666663</v>
      </c>
      <c r="AS16" s="68">
        <f t="shared" si="61"/>
        <v>0</v>
      </c>
      <c r="AT16" s="68">
        <f t="shared" si="62"/>
        <v>0</v>
      </c>
      <c r="AU16" s="39">
        <f>+COUNTIFS(SALES!$S$2:$S$171,'CALCULATION DSE'!$C$8:$C$80,SALES!$Y$2:$Y$171,"&gt;0")</f>
        <v>3</v>
      </c>
      <c r="AV16" s="39">
        <f t="shared" si="63"/>
        <v>0</v>
      </c>
      <c r="AW16" s="65">
        <f t="shared" si="64"/>
        <v>1</v>
      </c>
      <c r="AX16" s="67">
        <f t="shared" si="65"/>
        <v>3000</v>
      </c>
      <c r="AY16" s="67">
        <f t="shared" si="66"/>
        <v>0</v>
      </c>
      <c r="AZ16" s="39">
        <f>+COUNTIFS(SALES!$S$2:$S$171,'CALCULATION DSE'!$C$8:$C$80,SALES!$AC$2:$AC$171,"&gt;0")</f>
        <v>3</v>
      </c>
      <c r="BA16" s="39">
        <f t="shared" si="67"/>
        <v>0</v>
      </c>
      <c r="BB16" s="65">
        <f t="shared" si="68"/>
        <v>1</v>
      </c>
      <c r="BC16" s="66">
        <f t="shared" si="69"/>
        <v>2250</v>
      </c>
      <c r="BD16" s="66">
        <f t="shared" si="70"/>
        <v>0</v>
      </c>
      <c r="BE16" s="99">
        <f>+COUNTIFS(SALES!$S$2:$S$171,'CALCULATION DSE'!$C$8:$C$80,SALES!$CA$2:$CA$171,"YES")</f>
        <v>1</v>
      </c>
      <c r="BF16" s="66">
        <f t="shared" si="71"/>
        <v>3000</v>
      </c>
      <c r="BG16" s="37">
        <f>+SUMIFS(SALES!$BA$2:$BA$171,SALES!$S$2:$S$171,'CALCULATION DSE'!$C$8:$C$80)</f>
        <v>29854</v>
      </c>
      <c r="BH16" s="37">
        <f t="shared" si="72"/>
        <v>9951.3333333333339</v>
      </c>
      <c r="BI16" s="65">
        <f t="shared" si="73"/>
        <v>0.6</v>
      </c>
      <c r="BJ16" s="64">
        <f t="shared" si="74"/>
        <v>0</v>
      </c>
      <c r="BK16" s="64">
        <f t="shared" si="75"/>
        <v>11433.04109589041</v>
      </c>
      <c r="BL16" s="64">
        <v>0</v>
      </c>
      <c r="BM16" s="64">
        <f t="shared" si="76"/>
        <v>0</v>
      </c>
      <c r="BN16" s="37">
        <f t="shared" si="77"/>
        <v>11433.04109589041</v>
      </c>
      <c r="BO16" s="38">
        <f t="shared" si="78"/>
        <v>0</v>
      </c>
      <c r="BP16" s="64">
        <f t="shared" si="79"/>
        <v>0</v>
      </c>
      <c r="BQ16" s="64">
        <f t="shared" si="80"/>
        <v>0</v>
      </c>
      <c r="BR16" s="64">
        <f t="shared" si="81"/>
        <v>0</v>
      </c>
      <c r="BS16" s="64">
        <f t="shared" si="82"/>
        <v>0</v>
      </c>
      <c r="BT16" s="64">
        <f t="shared" si="83"/>
        <v>0</v>
      </c>
      <c r="BU16" s="64">
        <f t="shared" si="84"/>
        <v>0</v>
      </c>
      <c r="BV16" s="63">
        <f t="shared" si="85"/>
        <v>11433.04109589041</v>
      </c>
      <c r="BX16" s="76"/>
      <c r="CB16" s="50"/>
      <c r="CC16" s="50"/>
      <c r="CD16" s="62"/>
      <c r="CF16" s="46"/>
    </row>
    <row r="17" spans="1:84" customFormat="1" hidden="1" x14ac:dyDescent="0.3">
      <c r="A17" s="74" t="s">
        <v>3066</v>
      </c>
      <c r="B17" s="40" t="s">
        <v>2299</v>
      </c>
      <c r="C17" s="40" t="s">
        <v>2563</v>
      </c>
      <c r="D17" s="40" t="s">
        <v>2299</v>
      </c>
      <c r="E17" s="73" t="s">
        <v>2875</v>
      </c>
      <c r="F17" s="79" t="str">
        <f>+VLOOKUP(C17,'EMP STATUS'!$D$3:$K$77,8,0)</f>
        <v>0679</v>
      </c>
      <c r="G17" s="39">
        <f>+COUNTIFS(SALES!$S$2:$S$171,'CALCULATION DSE'!$C$8:$C$80,SALES!$N$2:$N$171,'CALCULATION DSE'!$G$6:$U$6)</f>
        <v>0</v>
      </c>
      <c r="H17" s="39">
        <f>+COUNTIFS(SALES!$S$2:$S$171,'CALCULATION DSE'!$C$8:$C$80,SALES!$N$2:$N$171,'CALCULATION DSE'!$G$6:$U$6)</f>
        <v>0</v>
      </c>
      <c r="I17" s="39">
        <f>+COUNTIFS(SALES!$S$2:$S$171,'CALCULATION DSE'!$C$8:$C$80,SALES!$N$2:$N$171,'CALCULATION DSE'!$G$6:$U$6)</f>
        <v>0</v>
      </c>
      <c r="J17" s="39">
        <f>+COUNTIFS(SALES!$S$2:$S$171,'CALCULATION DSE'!$C$8:$C$80,SALES!$N$2:$N$171,'CALCULATION DSE'!$G$6:$U$6)</f>
        <v>0</v>
      </c>
      <c r="K17" s="39">
        <f>+COUNTIFS(SALES!$S$2:$S$171,'CALCULATION DSE'!$C$8:$C$80,SALES!$N$2:$N$171,'CALCULATION DSE'!$G$6:$U$6)</f>
        <v>0</v>
      </c>
      <c r="L17" s="39">
        <f>+COUNTIFS(SALES!$S$2:$S$171,'CALCULATION DSE'!$C$8:$C$80,SALES!$N$2:$N$171,'CALCULATION DSE'!$G$6:$U$6)</f>
        <v>0</v>
      </c>
      <c r="M17" s="39">
        <f>+COUNTIFS(SALES!$S$2:$S$171,'CALCULATION DSE'!$C$8:$C$80,SALES!$N$2:$N$171,'CALCULATION DSE'!$G$6:$U$6)</f>
        <v>0</v>
      </c>
      <c r="N17" s="39">
        <f>+COUNTIFS(SALES!$S$2:$S$171,'CALCULATION DSE'!$C$8:$C$80,SALES!$N$2:$N$171,'CALCULATION DSE'!$G$6:$U$6)</f>
        <v>0</v>
      </c>
      <c r="O17" s="39">
        <f>+COUNTIFS(SALES!$S$2:$S$171,'CALCULATION DSE'!$C$8:$C$80,SALES!$N$2:$N$171,'CALCULATION DSE'!$G$6:$U$6)</f>
        <v>0</v>
      </c>
      <c r="P17" s="39">
        <f>+COUNTIFS(SALES!$S$2:$S$171,'CALCULATION DSE'!$C$8:$C$80,SALES!$N$2:$N$171,'CALCULATION DSE'!$G$6:$U$6)</f>
        <v>0</v>
      </c>
      <c r="Q17" s="39">
        <f>+COUNTIFS(SALES!$S$2:$S$171,'CALCULATION DSE'!$C$8:$C$80,SALES!$N$2:$N$171,'CALCULATION DSE'!$G$6:$U$6)</f>
        <v>0</v>
      </c>
      <c r="R17" s="39">
        <f>+COUNTIFS(SALES!$S$2:$S$171,'CALCULATION DSE'!$C$8:$C$80,SALES!$N$2:$N$171,'CALCULATION DSE'!$G$6:$U$6)</f>
        <v>1</v>
      </c>
      <c r="S17" s="39">
        <f>+COUNTIFS(SALES!$S$2:$S$171,'CALCULATION DSE'!$C$8:$C$80,SALES!$N$2:$N$171,'CALCULATION DSE'!$G$6:$U$6)</f>
        <v>0</v>
      </c>
      <c r="T17" s="39">
        <f>+COUNTIFS(SALES!$S$2:$S$171,'CALCULATION DSE'!$C$8:$C$80,SALES!$N$2:$N$171,'CALCULATION DSE'!$G$6:$U$6)</f>
        <v>0</v>
      </c>
      <c r="U17" s="39">
        <f>+COUNTIFS(SALES!$S$2:$S$171,'CALCULATION DSE'!$C$8:$C$80,SALES!$N$2:$N$171,'CALCULATION DSE'!$G$6:$U$6)</f>
        <v>0</v>
      </c>
      <c r="V17" s="36">
        <f t="shared" si="43"/>
        <v>1</v>
      </c>
      <c r="W17" s="36">
        <f t="shared" si="44"/>
        <v>0</v>
      </c>
      <c r="X17" s="79">
        <f t="shared" si="45"/>
        <v>1</v>
      </c>
      <c r="Y17" s="79">
        <f t="shared" si="46"/>
        <v>0</v>
      </c>
      <c r="Z17" s="79">
        <f t="shared" si="47"/>
        <v>0</v>
      </c>
      <c r="AA17" s="79" t="str">
        <f>+VLOOKUP(C17,'EMP STATUS'!$D$3:$J$77,7,0)</f>
        <v>OLD</v>
      </c>
      <c r="AB17" s="72" t="str">
        <f t="shared" si="48"/>
        <v>YES</v>
      </c>
      <c r="AC17" s="72" t="str">
        <f t="shared" si="49"/>
        <v>NO</v>
      </c>
      <c r="AD17" s="64">
        <f t="shared" si="50"/>
        <v>0</v>
      </c>
      <c r="AE17" s="64">
        <f t="shared" si="51"/>
        <v>0</v>
      </c>
      <c r="AF17" s="64">
        <f t="shared" si="52"/>
        <v>0</v>
      </c>
      <c r="AG17" s="71">
        <f t="shared" si="53"/>
        <v>0</v>
      </c>
      <c r="AH17" s="68">
        <v>150</v>
      </c>
      <c r="AI17" s="68">
        <f t="shared" si="54"/>
        <v>0</v>
      </c>
      <c r="AJ17" s="64">
        <f t="shared" si="55"/>
        <v>0</v>
      </c>
      <c r="AK17" s="66">
        <f>+VLOOKUP(C17,'DSE WISE MGA SALE '!$B$5:$G$116,6,0)</f>
        <v>19663.698630136987</v>
      </c>
      <c r="AL17" s="67">
        <f t="shared" si="56"/>
        <v>19663.698630136987</v>
      </c>
      <c r="AM17" s="67">
        <f t="shared" si="57"/>
        <v>0</v>
      </c>
      <c r="AN17" s="70">
        <f>+COUNTIFS(SALES!$S$2:$S$171,'CALCULATION DSE'!$C$7:$C$80,SALES!$AH$2:$AH$171,"&gt;0")</f>
        <v>0</v>
      </c>
      <c r="AO17" s="68">
        <f t="shared" si="58"/>
        <v>0</v>
      </c>
      <c r="AP17" s="69">
        <f>+COUNTIFS(SALES!$S$2:$S$171,'CALCULATION DSE'!$C$8:$C$80,SALES!$BH$2:$BH$171,"MSSF")</f>
        <v>1</v>
      </c>
      <c r="AQ17" s="69">
        <f t="shared" si="59"/>
        <v>0</v>
      </c>
      <c r="AR17" s="98">
        <f t="shared" si="60"/>
        <v>1</v>
      </c>
      <c r="AS17" s="68">
        <f t="shared" si="61"/>
        <v>0</v>
      </c>
      <c r="AT17" s="68">
        <f t="shared" si="62"/>
        <v>0</v>
      </c>
      <c r="AU17" s="39">
        <f>+COUNTIFS(SALES!$S$2:$S$171,'CALCULATION DSE'!$C$8:$C$80,SALES!$Y$2:$Y$171,"&gt;0")</f>
        <v>1</v>
      </c>
      <c r="AV17" s="39">
        <f t="shared" si="63"/>
        <v>0</v>
      </c>
      <c r="AW17" s="65">
        <f t="shared" si="64"/>
        <v>1</v>
      </c>
      <c r="AX17" s="67">
        <f t="shared" si="65"/>
        <v>0</v>
      </c>
      <c r="AY17" s="67">
        <f t="shared" si="66"/>
        <v>0</v>
      </c>
      <c r="AZ17" s="39">
        <f>+COUNTIFS(SALES!$S$2:$S$171,'CALCULATION DSE'!$C$8:$C$80,SALES!$AC$2:$AC$171,"&gt;0")</f>
        <v>0</v>
      </c>
      <c r="BA17" s="39">
        <f t="shared" si="67"/>
        <v>1</v>
      </c>
      <c r="BB17" s="65">
        <f t="shared" si="68"/>
        <v>0</v>
      </c>
      <c r="BC17" s="66">
        <f t="shared" si="69"/>
        <v>0</v>
      </c>
      <c r="BD17" s="66">
        <f t="shared" si="70"/>
        <v>0</v>
      </c>
      <c r="BE17" s="99">
        <f>+COUNTIFS(SALES!$S$2:$S$171,'CALCULATION DSE'!$C$8:$C$80,SALES!$CA$2:$CA$171,"YES")</f>
        <v>0</v>
      </c>
      <c r="BF17" s="66">
        <f t="shared" si="71"/>
        <v>0</v>
      </c>
      <c r="BG17" s="37">
        <f>+SUMIFS(SALES!$BA$2:$BA$171,SALES!$S$2:$S$171,'CALCULATION DSE'!$C$8:$C$80)</f>
        <v>5710</v>
      </c>
      <c r="BH17" s="37">
        <f t="shared" si="72"/>
        <v>5710</v>
      </c>
      <c r="BI17" s="65">
        <f t="shared" si="73"/>
        <v>1</v>
      </c>
      <c r="BJ17" s="64">
        <f t="shared" si="74"/>
        <v>0</v>
      </c>
      <c r="BK17" s="64">
        <f t="shared" si="75"/>
        <v>0</v>
      </c>
      <c r="BL17" s="64">
        <v>0</v>
      </c>
      <c r="BM17" s="64">
        <f t="shared" si="76"/>
        <v>0</v>
      </c>
      <c r="BN17" s="37">
        <f t="shared" si="77"/>
        <v>0</v>
      </c>
      <c r="BO17" s="38">
        <f t="shared" si="78"/>
        <v>0</v>
      </c>
      <c r="BP17" s="64">
        <f t="shared" si="79"/>
        <v>0</v>
      </c>
      <c r="BQ17" s="64">
        <f t="shared" si="80"/>
        <v>0</v>
      </c>
      <c r="BR17" s="64">
        <f t="shared" si="81"/>
        <v>0</v>
      </c>
      <c r="BS17" s="64">
        <f t="shared" si="82"/>
        <v>0</v>
      </c>
      <c r="BT17" s="64">
        <f t="shared" si="83"/>
        <v>0</v>
      </c>
      <c r="BU17" s="64">
        <f t="shared" si="84"/>
        <v>0</v>
      </c>
      <c r="BV17" s="63">
        <f t="shared" si="85"/>
        <v>0</v>
      </c>
      <c r="BX17" s="76"/>
      <c r="CB17" s="50"/>
      <c r="CC17" s="50"/>
      <c r="CD17" s="62"/>
      <c r="CF17" s="46"/>
    </row>
    <row r="18" spans="1:84" hidden="1" x14ac:dyDescent="0.3">
      <c r="A18" s="72" t="s">
        <v>3084</v>
      </c>
      <c r="B18" s="145" t="s">
        <v>2299</v>
      </c>
      <c r="C18" s="145" t="s">
        <v>1391</v>
      </c>
      <c r="D18" s="145" t="s">
        <v>2299</v>
      </c>
      <c r="E18" s="145" t="s">
        <v>2875</v>
      </c>
      <c r="F18" s="79" t="str">
        <f>+VLOOKUP(C18,'EMP STATUS'!$D$3:$K$77,8,0)</f>
        <v>1962</v>
      </c>
      <c r="G18" s="72">
        <f>+COUNTIFS(SALES!$S$2:$S$171,'CALCULATION DSE'!$C$8:$C$80,SALES!$N$2:$N$171,'CALCULATION DSE'!$G$6:$U$6)</f>
        <v>0</v>
      </c>
      <c r="H18" s="72">
        <f>+COUNTIFS(SALES!$S$2:$S$171,'CALCULATION DSE'!$C$8:$C$80,SALES!$N$2:$N$171,'CALCULATION DSE'!$G$6:$U$6)</f>
        <v>0</v>
      </c>
      <c r="I18" s="72">
        <f>+COUNTIFS(SALES!$S$2:$S$171,'CALCULATION DSE'!$C$8:$C$80,SALES!$N$2:$N$171,'CALCULATION DSE'!$G$6:$U$6)</f>
        <v>1</v>
      </c>
      <c r="J18" s="72">
        <f>+COUNTIFS(SALES!$S$2:$S$171,'CALCULATION DSE'!$C$8:$C$80,SALES!$N$2:$N$171,'CALCULATION DSE'!$G$6:$U$6)</f>
        <v>0</v>
      </c>
      <c r="K18" s="72">
        <f>+COUNTIFS(SALES!$S$2:$S$171,'CALCULATION DSE'!$C$8:$C$80,SALES!$N$2:$N$171,'CALCULATION DSE'!$G$6:$U$6)</f>
        <v>0</v>
      </c>
      <c r="L18" s="72">
        <f>+COUNTIFS(SALES!$S$2:$S$171,'CALCULATION DSE'!$C$8:$C$80,SALES!$N$2:$N$171,'CALCULATION DSE'!$G$6:$U$6)</f>
        <v>0</v>
      </c>
      <c r="M18" s="72">
        <f>+COUNTIFS(SALES!$S$2:$S$171,'CALCULATION DSE'!$C$8:$C$80,SALES!$N$2:$N$171,'CALCULATION DSE'!$G$6:$U$6)</f>
        <v>0</v>
      </c>
      <c r="N18" s="72">
        <f>+COUNTIFS(SALES!$S$2:$S$171,'CALCULATION DSE'!$C$8:$C$80,SALES!$N$2:$N$171,'CALCULATION DSE'!$G$6:$U$6)</f>
        <v>0</v>
      </c>
      <c r="O18" s="72">
        <f>+COUNTIFS(SALES!$S$2:$S$171,'CALCULATION DSE'!$C$8:$C$80,SALES!$N$2:$N$171,'CALCULATION DSE'!$G$6:$U$6)</f>
        <v>0</v>
      </c>
      <c r="P18" s="72">
        <f>+COUNTIFS(SALES!$S$2:$S$171,'CALCULATION DSE'!$C$8:$C$80,SALES!$N$2:$N$171,'CALCULATION DSE'!$G$6:$U$6)</f>
        <v>0</v>
      </c>
      <c r="Q18" s="72">
        <f>+COUNTIFS(SALES!$S$2:$S$171,'CALCULATION DSE'!$C$8:$C$80,SALES!$N$2:$N$171,'CALCULATION DSE'!$G$6:$U$6)</f>
        <v>3</v>
      </c>
      <c r="R18" s="72">
        <f>+COUNTIFS(SALES!$S$2:$S$171,'CALCULATION DSE'!$C$8:$C$80,SALES!$N$2:$N$171,'CALCULATION DSE'!$G$6:$U$6)</f>
        <v>0</v>
      </c>
      <c r="S18" s="72">
        <f>+COUNTIFS(SALES!$S$2:$S$171,'CALCULATION DSE'!$C$8:$C$80,SALES!$N$2:$N$171,'CALCULATION DSE'!$G$6:$U$6)</f>
        <v>0</v>
      </c>
      <c r="T18" s="72">
        <f>+COUNTIFS(SALES!$S$2:$S$171,'CALCULATION DSE'!$C$8:$C$80,SALES!$N$2:$N$171,'CALCULATION DSE'!$G$6:$U$6)</f>
        <v>0</v>
      </c>
      <c r="U18" s="72">
        <f>+COUNTIFS(SALES!$S$2:$S$171,'CALCULATION DSE'!$C$8:$C$80,SALES!$N$2:$N$171,'CALCULATION DSE'!$G$6:$U$6)</f>
        <v>0</v>
      </c>
      <c r="V18" s="146">
        <f t="shared" si="43"/>
        <v>4</v>
      </c>
      <c r="W18" s="146">
        <f t="shared" si="44"/>
        <v>4</v>
      </c>
      <c r="X18" s="79">
        <f t="shared" si="45"/>
        <v>0</v>
      </c>
      <c r="Y18" s="79">
        <f t="shared" si="46"/>
        <v>0</v>
      </c>
      <c r="Z18" s="79">
        <f t="shared" si="47"/>
        <v>1</v>
      </c>
      <c r="AA18" s="79" t="str">
        <f>+VLOOKUP(C18,'EMP STATUS'!$D$3:$J$77,7,0)</f>
        <v>OLD</v>
      </c>
      <c r="AB18" s="72" t="str">
        <f t="shared" si="48"/>
        <v>YES</v>
      </c>
      <c r="AC18" s="72" t="str">
        <f t="shared" si="49"/>
        <v>YES</v>
      </c>
      <c r="AD18" s="147">
        <f t="shared" si="50"/>
        <v>0</v>
      </c>
      <c r="AE18" s="147">
        <f t="shared" si="51"/>
        <v>6000</v>
      </c>
      <c r="AF18" s="147">
        <f t="shared" si="52"/>
        <v>0</v>
      </c>
      <c r="AG18" s="148">
        <f t="shared" si="53"/>
        <v>6000</v>
      </c>
      <c r="AH18" s="149">
        <v>0</v>
      </c>
      <c r="AI18" s="149">
        <f t="shared" si="54"/>
        <v>0</v>
      </c>
      <c r="AJ18" s="147">
        <f t="shared" si="55"/>
        <v>0</v>
      </c>
      <c r="AK18" s="99">
        <f>+VLOOKUP(C18,'DSE WISE MGA SALE '!$B$5:$G$116,6,0)</f>
        <v>77636.301369863009</v>
      </c>
      <c r="AL18" s="99">
        <f t="shared" si="56"/>
        <v>19409.075342465752</v>
      </c>
      <c r="AM18" s="99">
        <f t="shared" si="57"/>
        <v>2329.08904109589</v>
      </c>
      <c r="AN18" s="150">
        <f>+COUNTIFS(SALES!$S$2:$S$171,'CALCULATION DSE'!$C$7:$C$80,SALES!$AH$2:$AH$171,"&gt;0")</f>
        <v>0</v>
      </c>
      <c r="AO18" s="149">
        <f t="shared" si="58"/>
        <v>0</v>
      </c>
      <c r="AP18" s="151">
        <f>+COUNTIFS(SALES!$S$2:$S$171,'CALCULATION DSE'!$C$8:$C$80,SALES!$BH$2:$BH$171,"MSSF")</f>
        <v>3</v>
      </c>
      <c r="AQ18" s="151">
        <f t="shared" si="59"/>
        <v>1</v>
      </c>
      <c r="AR18" s="152">
        <f t="shared" si="60"/>
        <v>0.75</v>
      </c>
      <c r="AS18" s="149">
        <f t="shared" si="61"/>
        <v>750</v>
      </c>
      <c r="AT18" s="149">
        <f t="shared" si="62"/>
        <v>0</v>
      </c>
      <c r="AU18" s="72">
        <f>+COUNTIFS(SALES!$S$2:$S$171,'CALCULATION DSE'!$C$8:$C$80,SALES!$Y$2:$Y$171,"&gt;0")</f>
        <v>4</v>
      </c>
      <c r="AV18" s="72">
        <f t="shared" si="63"/>
        <v>0</v>
      </c>
      <c r="AW18" s="153">
        <f t="shared" si="64"/>
        <v>1</v>
      </c>
      <c r="AX18" s="99">
        <f t="shared" si="65"/>
        <v>4000</v>
      </c>
      <c r="AY18" s="99">
        <f t="shared" si="66"/>
        <v>0</v>
      </c>
      <c r="AZ18" s="72">
        <f>+COUNTIFS(SALES!$S$2:$S$171,'CALCULATION DSE'!$C$8:$C$80,SALES!$AC$2:$AC$171,"&gt;0")</f>
        <v>4</v>
      </c>
      <c r="BA18" s="72">
        <f t="shared" si="67"/>
        <v>0</v>
      </c>
      <c r="BB18" s="153">
        <f t="shared" si="68"/>
        <v>1</v>
      </c>
      <c r="BC18" s="99">
        <f t="shared" si="69"/>
        <v>3000</v>
      </c>
      <c r="BD18" s="99">
        <f t="shared" si="70"/>
        <v>0</v>
      </c>
      <c r="BE18" s="99">
        <f>+COUNTIFS(SALES!$S$2:$S$171,'CALCULATION DSE'!$C$8:$C$80,SALES!$CA$2:$CA$171,"YES")</f>
        <v>0</v>
      </c>
      <c r="BF18" s="99">
        <f t="shared" si="71"/>
        <v>0</v>
      </c>
      <c r="BG18" s="148">
        <f>+SUMIFS(SALES!$BA$2:$BA$171,SALES!$S$2:$S$171,'CALCULATION DSE'!$C$8:$C$80)</f>
        <v>19880</v>
      </c>
      <c r="BH18" s="148">
        <f t="shared" si="72"/>
        <v>4970</v>
      </c>
      <c r="BI18" s="153">
        <f t="shared" si="73"/>
        <v>1</v>
      </c>
      <c r="BJ18" s="147">
        <f t="shared" si="74"/>
        <v>6000</v>
      </c>
      <c r="BK18" s="147">
        <f t="shared" si="75"/>
        <v>16079.089041095889</v>
      </c>
      <c r="BL18" s="147">
        <v>0</v>
      </c>
      <c r="BM18" s="147">
        <f t="shared" si="76"/>
        <v>0</v>
      </c>
      <c r="BN18" s="148">
        <f t="shared" si="77"/>
        <v>16079.089041095889</v>
      </c>
      <c r="BO18" s="99">
        <f t="shared" si="78"/>
        <v>0</v>
      </c>
      <c r="BP18" s="147">
        <f t="shared" si="79"/>
        <v>0</v>
      </c>
      <c r="BQ18" s="147">
        <f t="shared" si="80"/>
        <v>0</v>
      </c>
      <c r="BR18" s="147">
        <f t="shared" si="81"/>
        <v>0</v>
      </c>
      <c r="BS18" s="147">
        <f t="shared" si="82"/>
        <v>0</v>
      </c>
      <c r="BT18" s="147">
        <f t="shared" si="83"/>
        <v>0</v>
      </c>
      <c r="BU18" s="147">
        <f t="shared" si="84"/>
        <v>0</v>
      </c>
      <c r="BV18" s="154">
        <f t="shared" si="85"/>
        <v>16079.089041095889</v>
      </c>
      <c r="BX18" s="160"/>
      <c r="CB18" s="155"/>
      <c r="CC18" s="155"/>
      <c r="CD18" s="156"/>
      <c r="CF18" s="157"/>
    </row>
    <row r="19" spans="1:84" x14ac:dyDescent="0.3">
      <c r="A19" s="72" t="s">
        <v>3070</v>
      </c>
      <c r="B19" s="145" t="s">
        <v>2408</v>
      </c>
      <c r="C19" s="145" t="s">
        <v>2781</v>
      </c>
      <c r="D19" s="145" t="s">
        <v>2407</v>
      </c>
      <c r="E19" s="145" t="s">
        <v>646</v>
      </c>
      <c r="F19" s="79" t="str">
        <f>+VLOOKUP(C19,'EMP STATUS'!$D$3:$K$77,8,0)</f>
        <v>BAD018</v>
      </c>
      <c r="G19" s="72">
        <f>+COUNTIFS(SALES!$S$2:$S$171,'CALCULATION DSE'!$C$8:$C$80,SALES!$N$2:$N$171,'CALCULATION DSE'!$G$6:$U$6)</f>
        <v>0</v>
      </c>
      <c r="H19" s="72">
        <f>+COUNTIFS(SALES!$S$2:$S$171,'CALCULATION DSE'!$C$8:$C$80,SALES!$N$2:$N$171,'CALCULATION DSE'!$G$6:$U$6)</f>
        <v>1</v>
      </c>
      <c r="I19" s="72">
        <f>+COUNTIFS(SALES!$S$2:$S$171,'CALCULATION DSE'!$C$8:$C$80,SALES!$N$2:$N$171,'CALCULATION DSE'!$G$6:$U$6)</f>
        <v>0</v>
      </c>
      <c r="J19" s="72">
        <f>+COUNTIFS(SALES!$S$2:$S$171,'CALCULATION DSE'!$C$8:$C$80,SALES!$N$2:$N$171,'CALCULATION DSE'!$G$6:$U$6)</f>
        <v>0</v>
      </c>
      <c r="K19" s="72">
        <f>+COUNTIFS(SALES!$S$2:$S$171,'CALCULATION DSE'!$C$8:$C$80,SALES!$N$2:$N$171,'CALCULATION DSE'!$G$6:$U$6)</f>
        <v>0</v>
      </c>
      <c r="L19" s="72">
        <f>+COUNTIFS(SALES!$S$2:$S$171,'CALCULATION DSE'!$C$8:$C$80,SALES!$N$2:$N$171,'CALCULATION DSE'!$G$6:$U$6)</f>
        <v>0</v>
      </c>
      <c r="M19" s="72">
        <f>+COUNTIFS(SALES!$S$2:$S$171,'CALCULATION DSE'!$C$8:$C$80,SALES!$N$2:$N$171,'CALCULATION DSE'!$G$6:$U$6)</f>
        <v>0</v>
      </c>
      <c r="N19" s="72">
        <f>+COUNTIFS(SALES!$S$2:$S$171,'CALCULATION DSE'!$C$8:$C$80,SALES!$N$2:$N$171,'CALCULATION DSE'!$G$6:$U$6)</f>
        <v>0</v>
      </c>
      <c r="O19" s="72">
        <f>+COUNTIFS(SALES!$S$2:$S$171,'CALCULATION DSE'!$C$8:$C$80,SALES!$N$2:$N$171,'CALCULATION DSE'!$G$6:$U$6)</f>
        <v>0</v>
      </c>
      <c r="P19" s="72">
        <f>+COUNTIFS(SALES!$S$2:$S$171,'CALCULATION DSE'!$C$8:$C$80,SALES!$N$2:$N$171,'CALCULATION DSE'!$G$6:$U$6)</f>
        <v>0</v>
      </c>
      <c r="Q19" s="72">
        <f>+COUNTIFS(SALES!$S$2:$S$171,'CALCULATION DSE'!$C$8:$C$80,SALES!$N$2:$N$171,'CALCULATION DSE'!$G$6:$U$6)</f>
        <v>0</v>
      </c>
      <c r="R19" s="72">
        <f>+COUNTIFS(SALES!$S$2:$S$171,'CALCULATION DSE'!$C$8:$C$80,SALES!$N$2:$N$171,'CALCULATION DSE'!$G$6:$U$6)</f>
        <v>1</v>
      </c>
      <c r="S19" s="72">
        <f>+COUNTIFS(SALES!$S$2:$S$171,'CALCULATION DSE'!$C$8:$C$80,SALES!$N$2:$N$171,'CALCULATION DSE'!$G$6:$U$6)</f>
        <v>0</v>
      </c>
      <c r="T19" s="72">
        <f>+COUNTIFS(SALES!$S$2:$S$171,'CALCULATION DSE'!$C$8:$C$80,SALES!$N$2:$N$171,'CALCULATION DSE'!$G$6:$U$6)</f>
        <v>0</v>
      </c>
      <c r="U19" s="72">
        <f>+COUNTIFS(SALES!$S$2:$S$171,'CALCULATION DSE'!$C$8:$C$80,SALES!$N$2:$N$171,'CALCULATION DSE'!$G$6:$U$6)</f>
        <v>0</v>
      </c>
      <c r="V19" s="146">
        <f t="shared" si="43"/>
        <v>2</v>
      </c>
      <c r="W19" s="146">
        <f t="shared" si="44"/>
        <v>1</v>
      </c>
      <c r="X19" s="79">
        <f t="shared" si="45"/>
        <v>1</v>
      </c>
      <c r="Y19" s="79">
        <f t="shared" si="46"/>
        <v>0</v>
      </c>
      <c r="Z19" s="79">
        <f t="shared" si="47"/>
        <v>1</v>
      </c>
      <c r="AA19" s="79" t="str">
        <f>+VLOOKUP(C19,'EMP STATUS'!$D$3:$J$77,7,0)</f>
        <v>OLD</v>
      </c>
      <c r="AB19" s="72" t="str">
        <f t="shared" si="48"/>
        <v>YES</v>
      </c>
      <c r="AC19" s="72" t="str">
        <f t="shared" si="49"/>
        <v>YES</v>
      </c>
      <c r="AD19" s="147">
        <f t="shared" si="50"/>
        <v>0</v>
      </c>
      <c r="AE19" s="147">
        <f t="shared" si="51"/>
        <v>500</v>
      </c>
      <c r="AF19" s="147">
        <f t="shared" si="52"/>
        <v>500</v>
      </c>
      <c r="AG19" s="148">
        <f t="shared" si="53"/>
        <v>1000</v>
      </c>
      <c r="AH19" s="149">
        <v>0</v>
      </c>
      <c r="AI19" s="149">
        <f t="shared" si="54"/>
        <v>0</v>
      </c>
      <c r="AJ19" s="147">
        <f t="shared" si="55"/>
        <v>0</v>
      </c>
      <c r="AK19" s="99">
        <f>+VLOOKUP(C19,'DSE WISE MGA SALE '!$B$5:$G$116,6,0)</f>
        <v>26966.438356164384</v>
      </c>
      <c r="AL19" s="99">
        <f t="shared" si="56"/>
        <v>13483.219178082192</v>
      </c>
      <c r="AM19" s="99">
        <f t="shared" si="57"/>
        <v>0</v>
      </c>
      <c r="AN19" s="150">
        <f>+COUNTIFS(SALES!$S$2:$S$171,'CALCULATION DSE'!$C$7:$C$80,SALES!$AH$2:$AH$171,"&gt;0")</f>
        <v>0</v>
      </c>
      <c r="AO19" s="149">
        <f t="shared" si="58"/>
        <v>0</v>
      </c>
      <c r="AP19" s="151">
        <f>+COUNTIFS(SALES!$S$2:$S$171,'CALCULATION DSE'!$C$8:$C$80,SALES!$BH$2:$BH$171,"MSSF")</f>
        <v>1</v>
      </c>
      <c r="AQ19" s="151">
        <f t="shared" si="59"/>
        <v>1</v>
      </c>
      <c r="AR19" s="152">
        <f t="shared" si="60"/>
        <v>0.5</v>
      </c>
      <c r="AS19" s="149">
        <f t="shared" si="61"/>
        <v>0</v>
      </c>
      <c r="AT19" s="149">
        <f t="shared" si="62"/>
        <v>250</v>
      </c>
      <c r="AU19" s="72">
        <f>+COUNTIFS(SALES!$S$2:$S$171,'CALCULATION DSE'!$C$8:$C$80,SALES!$Y$2:$Y$171,"&gt;0")</f>
        <v>2</v>
      </c>
      <c r="AV19" s="72">
        <f t="shared" si="63"/>
        <v>0</v>
      </c>
      <c r="AW19" s="153">
        <f t="shared" si="64"/>
        <v>1</v>
      </c>
      <c r="AX19" s="99">
        <f t="shared" si="65"/>
        <v>2000</v>
      </c>
      <c r="AY19" s="99">
        <f t="shared" si="66"/>
        <v>0</v>
      </c>
      <c r="AZ19" s="72">
        <f>+COUNTIFS(SALES!$S$2:$S$171,'CALCULATION DSE'!$C$8:$C$80,SALES!$AC$2:$AC$171,"&gt;0")</f>
        <v>2</v>
      </c>
      <c r="BA19" s="72">
        <f t="shared" si="67"/>
        <v>0</v>
      </c>
      <c r="BB19" s="153">
        <f t="shared" si="68"/>
        <v>1</v>
      </c>
      <c r="BC19" s="99">
        <f t="shared" si="69"/>
        <v>1500</v>
      </c>
      <c r="BD19" s="99">
        <f t="shared" si="70"/>
        <v>0</v>
      </c>
      <c r="BE19" s="99">
        <f>+COUNTIFS(SALES!$S$2:$S$171,'CALCULATION DSE'!$C$8:$C$80,SALES!$CA$2:$CA$171,"YES")</f>
        <v>1</v>
      </c>
      <c r="BF19" s="99">
        <f t="shared" si="71"/>
        <v>3000</v>
      </c>
      <c r="BG19" s="148">
        <f>+SUMIFS(SALES!$BA$2:$BA$171,SALES!$S$2:$S$171,'CALCULATION DSE'!$C$8:$C$80)</f>
        <v>3000</v>
      </c>
      <c r="BH19" s="148">
        <f t="shared" si="72"/>
        <v>1500</v>
      </c>
      <c r="BI19" s="153">
        <f t="shared" si="73"/>
        <v>1.3</v>
      </c>
      <c r="BJ19" s="147">
        <f t="shared" si="74"/>
        <v>1300</v>
      </c>
      <c r="BK19" s="147">
        <f t="shared" si="75"/>
        <v>7550</v>
      </c>
      <c r="BL19" s="147">
        <v>0</v>
      </c>
      <c r="BM19" s="147">
        <f t="shared" si="76"/>
        <v>0</v>
      </c>
      <c r="BN19" s="148">
        <f t="shared" si="77"/>
        <v>7550</v>
      </c>
      <c r="BO19" s="99">
        <f t="shared" si="78"/>
        <v>0</v>
      </c>
      <c r="BP19" s="147">
        <f t="shared" si="79"/>
        <v>0</v>
      </c>
      <c r="BQ19" s="147">
        <f t="shared" si="80"/>
        <v>0</v>
      </c>
      <c r="BR19" s="147">
        <f t="shared" si="81"/>
        <v>0</v>
      </c>
      <c r="BS19" s="147">
        <f t="shared" si="82"/>
        <v>0</v>
      </c>
      <c r="BT19" s="147">
        <f t="shared" si="83"/>
        <v>1</v>
      </c>
      <c r="BU19" s="147">
        <f t="shared" si="84"/>
        <v>1000</v>
      </c>
      <c r="BV19" s="154">
        <f t="shared" si="85"/>
        <v>8550</v>
      </c>
      <c r="CB19" s="155"/>
      <c r="CC19" s="155"/>
      <c r="CD19" s="156"/>
      <c r="CF19" s="157"/>
    </row>
    <row r="20" spans="1:84" customFormat="1" hidden="1" x14ac:dyDescent="0.3">
      <c r="A20" s="74" t="s">
        <v>3067</v>
      </c>
      <c r="B20" s="40" t="s">
        <v>2586</v>
      </c>
      <c r="C20" s="40" t="s">
        <v>2855</v>
      </c>
      <c r="D20" s="40" t="s">
        <v>2586</v>
      </c>
      <c r="E20" s="73" t="s">
        <v>1744</v>
      </c>
      <c r="F20" s="79" t="str">
        <f>+VLOOKUP(C20,'EMP STATUS'!$D$3:$K$77,8,0)</f>
        <v>1406</v>
      </c>
      <c r="G20" s="39">
        <f>+COUNTIFS(SALES!$S$2:$S$171,'CALCULATION DSE'!$C$8:$C$80,SALES!$N$2:$N$171,'CALCULATION DSE'!$G$6:$U$6)</f>
        <v>0</v>
      </c>
      <c r="H20" s="39">
        <f>+COUNTIFS(SALES!$S$2:$S$171,'CALCULATION DSE'!$C$8:$C$80,SALES!$N$2:$N$171,'CALCULATION DSE'!$G$6:$U$6)</f>
        <v>0</v>
      </c>
      <c r="I20" s="39">
        <f>+COUNTIFS(SALES!$S$2:$S$171,'CALCULATION DSE'!$C$8:$C$80,SALES!$N$2:$N$171,'CALCULATION DSE'!$G$6:$U$6)</f>
        <v>0</v>
      </c>
      <c r="J20" s="39">
        <f>+COUNTIFS(SALES!$S$2:$S$171,'CALCULATION DSE'!$C$8:$C$80,SALES!$N$2:$N$171,'CALCULATION DSE'!$G$6:$U$6)</f>
        <v>0</v>
      </c>
      <c r="K20" s="39">
        <f>+COUNTIFS(SALES!$S$2:$S$171,'CALCULATION DSE'!$C$8:$C$80,SALES!$N$2:$N$171,'CALCULATION DSE'!$G$6:$U$6)</f>
        <v>0</v>
      </c>
      <c r="L20" s="39">
        <f>+COUNTIFS(SALES!$S$2:$S$171,'CALCULATION DSE'!$C$8:$C$80,SALES!$N$2:$N$171,'CALCULATION DSE'!$G$6:$U$6)</f>
        <v>0</v>
      </c>
      <c r="M20" s="39">
        <f>+COUNTIFS(SALES!$S$2:$S$171,'CALCULATION DSE'!$C$8:$C$80,SALES!$N$2:$N$171,'CALCULATION DSE'!$G$6:$U$6)</f>
        <v>0</v>
      </c>
      <c r="N20" s="39">
        <f>+COUNTIFS(SALES!$S$2:$S$171,'CALCULATION DSE'!$C$8:$C$80,SALES!$N$2:$N$171,'CALCULATION DSE'!$G$6:$U$6)</f>
        <v>0</v>
      </c>
      <c r="O20" s="39">
        <f>+COUNTIFS(SALES!$S$2:$S$171,'CALCULATION DSE'!$C$8:$C$80,SALES!$N$2:$N$171,'CALCULATION DSE'!$G$6:$U$6)</f>
        <v>0</v>
      </c>
      <c r="P20" s="39">
        <f>+COUNTIFS(SALES!$S$2:$S$171,'CALCULATION DSE'!$C$8:$C$80,SALES!$N$2:$N$171,'CALCULATION DSE'!$G$6:$U$6)</f>
        <v>0</v>
      </c>
      <c r="Q20" s="39">
        <f>+COUNTIFS(SALES!$S$2:$S$171,'CALCULATION DSE'!$C$8:$C$80,SALES!$N$2:$N$171,'CALCULATION DSE'!$G$6:$U$6)</f>
        <v>0</v>
      </c>
      <c r="R20" s="39">
        <f>+COUNTIFS(SALES!$S$2:$S$171,'CALCULATION DSE'!$C$8:$C$80,SALES!$N$2:$N$171,'CALCULATION DSE'!$G$6:$U$6)</f>
        <v>0</v>
      </c>
      <c r="S20" s="39">
        <f>+COUNTIFS(SALES!$S$2:$S$171,'CALCULATION DSE'!$C$8:$C$80,SALES!$N$2:$N$171,'CALCULATION DSE'!$G$6:$U$6)</f>
        <v>0</v>
      </c>
      <c r="T20" s="39">
        <f>+COUNTIFS(SALES!$S$2:$S$171,'CALCULATION DSE'!$C$8:$C$80,SALES!$N$2:$N$171,'CALCULATION DSE'!$G$6:$U$6)</f>
        <v>0</v>
      </c>
      <c r="U20" s="39">
        <f>+COUNTIFS(SALES!$S$2:$S$171,'CALCULATION DSE'!$C$8:$C$80,SALES!$N$2:$N$171,'CALCULATION DSE'!$G$6:$U$6)</f>
        <v>0</v>
      </c>
      <c r="V20" s="36">
        <f t="shared" si="43"/>
        <v>0</v>
      </c>
      <c r="W20" s="36">
        <f t="shared" si="44"/>
        <v>0</v>
      </c>
      <c r="X20" s="79">
        <f t="shared" si="45"/>
        <v>0</v>
      </c>
      <c r="Y20" s="79">
        <f t="shared" si="46"/>
        <v>0</v>
      </c>
      <c r="Z20" s="79">
        <f t="shared" si="47"/>
        <v>0</v>
      </c>
      <c r="AA20" s="79" t="str">
        <f>+VLOOKUP(C20,'EMP STATUS'!$D$3:$J$77,7,0)</f>
        <v>OLD</v>
      </c>
      <c r="AB20" s="72" t="str">
        <f t="shared" si="48"/>
        <v>YES</v>
      </c>
      <c r="AC20" s="72" t="str">
        <f t="shared" si="49"/>
        <v>NO</v>
      </c>
      <c r="AD20" s="64">
        <f t="shared" si="50"/>
        <v>0</v>
      </c>
      <c r="AE20" s="64">
        <f t="shared" si="51"/>
        <v>0</v>
      </c>
      <c r="AF20" s="64">
        <f t="shared" si="52"/>
        <v>0</v>
      </c>
      <c r="AG20" s="71">
        <f t="shared" si="53"/>
        <v>0</v>
      </c>
      <c r="AH20" s="68">
        <v>0</v>
      </c>
      <c r="AI20" s="68">
        <f t="shared" si="54"/>
        <v>0</v>
      </c>
      <c r="AJ20" s="64">
        <f t="shared" si="55"/>
        <v>0</v>
      </c>
      <c r="AK20" s="66">
        <f>+VLOOKUP(C20,'DSE WISE MGA SALE '!$B$5:$G$116,6,0)</f>
        <v>0</v>
      </c>
      <c r="AL20" s="67">
        <f t="shared" si="56"/>
        <v>0</v>
      </c>
      <c r="AM20" s="67">
        <f t="shared" si="57"/>
        <v>0</v>
      </c>
      <c r="AN20" s="70">
        <f>+COUNTIFS(SALES!$S$2:$S$171,'CALCULATION DSE'!$C$7:$C$80,SALES!$AH$2:$AH$171,"&gt;0")</f>
        <v>0</v>
      </c>
      <c r="AO20" s="68">
        <f t="shared" si="58"/>
        <v>0</v>
      </c>
      <c r="AP20" s="69">
        <f>+COUNTIFS(SALES!$S$2:$S$171,'CALCULATION DSE'!$C$8:$C$80,SALES!$BH$2:$BH$171,"MSSF")</f>
        <v>0</v>
      </c>
      <c r="AQ20" s="69">
        <f t="shared" si="59"/>
        <v>0</v>
      </c>
      <c r="AR20" s="98">
        <f t="shared" si="60"/>
        <v>0</v>
      </c>
      <c r="AS20" s="68">
        <f t="shared" si="61"/>
        <v>0</v>
      </c>
      <c r="AT20" s="68">
        <f t="shared" si="62"/>
        <v>0</v>
      </c>
      <c r="AU20" s="39">
        <f>+COUNTIFS(SALES!$S$2:$S$171,'CALCULATION DSE'!$C$8:$C$80,SALES!$Y$2:$Y$171,"&gt;0")</f>
        <v>0</v>
      </c>
      <c r="AV20" s="39">
        <f t="shared" si="63"/>
        <v>0</v>
      </c>
      <c r="AW20" s="65">
        <f t="shared" si="64"/>
        <v>0</v>
      </c>
      <c r="AX20" s="67">
        <f t="shared" si="65"/>
        <v>0</v>
      </c>
      <c r="AY20" s="67">
        <f t="shared" si="66"/>
        <v>0</v>
      </c>
      <c r="AZ20" s="39">
        <f>+COUNTIFS(SALES!$S$2:$S$171,'CALCULATION DSE'!$C$8:$C$80,SALES!$AC$2:$AC$171,"&gt;0")</f>
        <v>0</v>
      </c>
      <c r="BA20" s="39">
        <f t="shared" si="67"/>
        <v>0</v>
      </c>
      <c r="BB20" s="65">
        <f t="shared" si="68"/>
        <v>0</v>
      </c>
      <c r="BC20" s="66">
        <f t="shared" si="69"/>
        <v>0</v>
      </c>
      <c r="BD20" s="66">
        <f t="shared" si="70"/>
        <v>0</v>
      </c>
      <c r="BE20" s="99">
        <f>+COUNTIFS(SALES!$S$2:$S$171,'CALCULATION DSE'!$C$8:$C$80,SALES!$CA$2:$CA$171,"YES")</f>
        <v>0</v>
      </c>
      <c r="BF20" s="66">
        <f t="shared" si="71"/>
        <v>0</v>
      </c>
      <c r="BG20" s="37">
        <f>+SUMIFS(SALES!$BA$2:$BA$171,SALES!$S$2:$S$171,'CALCULATION DSE'!$C$8:$C$80)</f>
        <v>0</v>
      </c>
      <c r="BH20" s="37">
        <f t="shared" si="72"/>
        <v>0</v>
      </c>
      <c r="BI20" s="65">
        <f t="shared" si="73"/>
        <v>1.5</v>
      </c>
      <c r="BJ20" s="64">
        <f t="shared" si="74"/>
        <v>0</v>
      </c>
      <c r="BK20" s="64">
        <f t="shared" si="75"/>
        <v>0</v>
      </c>
      <c r="BL20" s="64">
        <v>0</v>
      </c>
      <c r="BM20" s="64">
        <f t="shared" si="76"/>
        <v>0</v>
      </c>
      <c r="BN20" s="37">
        <f t="shared" si="77"/>
        <v>0</v>
      </c>
      <c r="BO20" s="38">
        <f t="shared" si="78"/>
        <v>0</v>
      </c>
      <c r="BP20" s="64">
        <f t="shared" si="79"/>
        <v>0</v>
      </c>
      <c r="BQ20" s="64">
        <f t="shared" si="80"/>
        <v>0</v>
      </c>
      <c r="BR20" s="64">
        <f t="shared" si="81"/>
        <v>0</v>
      </c>
      <c r="BS20" s="64">
        <f t="shared" si="82"/>
        <v>0</v>
      </c>
      <c r="BT20" s="64">
        <f t="shared" si="83"/>
        <v>0</v>
      </c>
      <c r="BU20" s="64">
        <f t="shared" si="84"/>
        <v>0</v>
      </c>
      <c r="BV20" s="63">
        <f t="shared" si="85"/>
        <v>0</v>
      </c>
      <c r="CB20" s="50"/>
      <c r="CC20" s="50"/>
      <c r="CD20" s="62"/>
      <c r="CF20" s="46"/>
    </row>
    <row r="21" spans="1:84" customFormat="1" hidden="1" x14ac:dyDescent="0.3">
      <c r="A21" s="74" t="s">
        <v>3068</v>
      </c>
      <c r="B21" s="40" t="s">
        <v>2523</v>
      </c>
      <c r="C21" s="40" t="s">
        <v>2860</v>
      </c>
      <c r="D21" s="40" t="s">
        <v>2767</v>
      </c>
      <c r="E21" s="73" t="s">
        <v>2521</v>
      </c>
      <c r="F21" s="79" t="str">
        <f>+VLOOKUP(C21,'EMP STATUS'!$D$3:$K$77,8,0)</f>
        <v>2122</v>
      </c>
      <c r="G21" s="39">
        <f>+COUNTIFS(SALES!$S$2:$S$171,'CALCULATION DSE'!$C$8:$C$80,SALES!$N$2:$N$171,'CALCULATION DSE'!$G$6:$U$6)</f>
        <v>0</v>
      </c>
      <c r="H21" s="39">
        <f>+COUNTIFS(SALES!$S$2:$S$171,'CALCULATION DSE'!$C$8:$C$80,SALES!$N$2:$N$171,'CALCULATION DSE'!$G$6:$U$6)</f>
        <v>0</v>
      </c>
      <c r="I21" s="39">
        <f>+COUNTIFS(SALES!$S$2:$S$171,'CALCULATION DSE'!$C$8:$C$80,SALES!$N$2:$N$171,'CALCULATION DSE'!$G$6:$U$6)</f>
        <v>0</v>
      </c>
      <c r="J21" s="39">
        <f>+COUNTIFS(SALES!$S$2:$S$171,'CALCULATION DSE'!$C$8:$C$80,SALES!$N$2:$N$171,'CALCULATION DSE'!$G$6:$U$6)</f>
        <v>0</v>
      </c>
      <c r="K21" s="39">
        <f>+COUNTIFS(SALES!$S$2:$S$171,'CALCULATION DSE'!$C$8:$C$80,SALES!$N$2:$N$171,'CALCULATION DSE'!$G$6:$U$6)</f>
        <v>0</v>
      </c>
      <c r="L21" s="39">
        <f>+COUNTIFS(SALES!$S$2:$S$171,'CALCULATION DSE'!$C$8:$C$80,SALES!$N$2:$N$171,'CALCULATION DSE'!$G$6:$U$6)</f>
        <v>0</v>
      </c>
      <c r="M21" s="39">
        <f>+COUNTIFS(SALES!$S$2:$S$171,'CALCULATION DSE'!$C$8:$C$80,SALES!$N$2:$N$171,'CALCULATION DSE'!$G$6:$U$6)</f>
        <v>0</v>
      </c>
      <c r="N21" s="39">
        <f>+COUNTIFS(SALES!$S$2:$S$171,'CALCULATION DSE'!$C$8:$C$80,SALES!$N$2:$N$171,'CALCULATION DSE'!$G$6:$U$6)</f>
        <v>0</v>
      </c>
      <c r="O21" s="39">
        <f>+COUNTIFS(SALES!$S$2:$S$171,'CALCULATION DSE'!$C$8:$C$80,SALES!$N$2:$N$171,'CALCULATION DSE'!$G$6:$U$6)</f>
        <v>0</v>
      </c>
      <c r="P21" s="39">
        <f>+COUNTIFS(SALES!$S$2:$S$171,'CALCULATION DSE'!$C$8:$C$80,SALES!$N$2:$N$171,'CALCULATION DSE'!$G$6:$U$6)</f>
        <v>0</v>
      </c>
      <c r="Q21" s="39">
        <f>+COUNTIFS(SALES!$S$2:$S$171,'CALCULATION DSE'!$C$8:$C$80,SALES!$N$2:$N$171,'CALCULATION DSE'!$G$6:$U$6)</f>
        <v>0</v>
      </c>
      <c r="R21" s="39">
        <f>+COUNTIFS(SALES!$S$2:$S$171,'CALCULATION DSE'!$C$8:$C$80,SALES!$N$2:$N$171,'CALCULATION DSE'!$G$6:$U$6)</f>
        <v>0</v>
      </c>
      <c r="S21" s="39">
        <f>+COUNTIFS(SALES!$S$2:$S$171,'CALCULATION DSE'!$C$8:$C$80,SALES!$N$2:$N$171,'CALCULATION DSE'!$G$6:$U$6)</f>
        <v>0</v>
      </c>
      <c r="T21" s="39">
        <f>+COUNTIFS(SALES!$S$2:$S$171,'CALCULATION DSE'!$C$8:$C$80,SALES!$N$2:$N$171,'CALCULATION DSE'!$G$6:$U$6)</f>
        <v>0</v>
      </c>
      <c r="U21" s="39">
        <f>+COUNTIFS(SALES!$S$2:$S$171,'CALCULATION DSE'!$C$8:$C$80,SALES!$N$2:$N$171,'CALCULATION DSE'!$G$6:$U$6)</f>
        <v>0</v>
      </c>
      <c r="V21" s="36">
        <f t="shared" si="43"/>
        <v>0</v>
      </c>
      <c r="W21" s="36">
        <f t="shared" si="44"/>
        <v>0</v>
      </c>
      <c r="X21" s="79">
        <f t="shared" si="45"/>
        <v>0</v>
      </c>
      <c r="Y21" s="79">
        <f t="shared" si="46"/>
        <v>0</v>
      </c>
      <c r="Z21" s="79">
        <f t="shared" si="47"/>
        <v>0</v>
      </c>
      <c r="AA21" s="79" t="str">
        <f>+VLOOKUP(C21,'EMP STATUS'!$D$3:$J$77,7,0)</f>
        <v>OLD</v>
      </c>
      <c r="AB21" s="72" t="str">
        <f t="shared" si="48"/>
        <v>YES</v>
      </c>
      <c r="AC21" s="72" t="str">
        <f t="shared" si="49"/>
        <v>NO</v>
      </c>
      <c r="AD21" s="64">
        <f t="shared" si="50"/>
        <v>0</v>
      </c>
      <c r="AE21" s="64">
        <f t="shared" si="51"/>
        <v>0</v>
      </c>
      <c r="AF21" s="64">
        <f t="shared" si="52"/>
        <v>0</v>
      </c>
      <c r="AG21" s="71">
        <f t="shared" si="53"/>
        <v>0</v>
      </c>
      <c r="AH21" s="68">
        <v>0</v>
      </c>
      <c r="AI21" s="68">
        <f t="shared" si="54"/>
        <v>0</v>
      </c>
      <c r="AJ21" s="64">
        <f t="shared" si="55"/>
        <v>0</v>
      </c>
      <c r="AK21" s="66" t="e">
        <f>+VLOOKUP(C21,'DSE WISE MGA SALE '!$B$5:$G$116,6,0)</f>
        <v>#N/A</v>
      </c>
      <c r="AL21" s="67">
        <f t="shared" si="56"/>
        <v>0</v>
      </c>
      <c r="AM21" s="67">
        <f t="shared" si="57"/>
        <v>0</v>
      </c>
      <c r="AN21" s="70">
        <f>+COUNTIFS(SALES!$S$2:$S$171,'CALCULATION DSE'!$C$7:$C$80,SALES!$AH$2:$AH$171,"&gt;0")</f>
        <v>0</v>
      </c>
      <c r="AO21" s="68">
        <f t="shared" si="58"/>
        <v>0</v>
      </c>
      <c r="AP21" s="69">
        <f>+COUNTIFS(SALES!$S$2:$S$171,'CALCULATION DSE'!$C$8:$C$80,SALES!$BH$2:$BH$171,"MSSF")</f>
        <v>0</v>
      </c>
      <c r="AQ21" s="69">
        <f t="shared" si="59"/>
        <v>0</v>
      </c>
      <c r="AR21" s="98">
        <f t="shared" si="60"/>
        <v>0</v>
      </c>
      <c r="AS21" s="68">
        <f t="shared" si="61"/>
        <v>0</v>
      </c>
      <c r="AT21" s="68">
        <f t="shared" si="62"/>
        <v>0</v>
      </c>
      <c r="AU21" s="39">
        <f>+COUNTIFS(SALES!$S$2:$S$171,'CALCULATION DSE'!$C$8:$C$80,SALES!$Y$2:$Y$171,"&gt;0")</f>
        <v>0</v>
      </c>
      <c r="AV21" s="39">
        <f t="shared" si="63"/>
        <v>0</v>
      </c>
      <c r="AW21" s="65">
        <f t="shared" si="64"/>
        <v>0</v>
      </c>
      <c r="AX21" s="67">
        <f t="shared" si="65"/>
        <v>0</v>
      </c>
      <c r="AY21" s="67">
        <f t="shared" si="66"/>
        <v>0</v>
      </c>
      <c r="AZ21" s="39">
        <f>+COUNTIFS(SALES!$S$2:$S$171,'CALCULATION DSE'!$C$8:$C$80,SALES!$AC$2:$AC$171,"&gt;0")</f>
        <v>0</v>
      </c>
      <c r="BA21" s="39">
        <f t="shared" si="67"/>
        <v>0</v>
      </c>
      <c r="BB21" s="65">
        <f t="shared" si="68"/>
        <v>0</v>
      </c>
      <c r="BC21" s="66">
        <f t="shared" si="69"/>
        <v>0</v>
      </c>
      <c r="BD21" s="66">
        <f t="shared" si="70"/>
        <v>0</v>
      </c>
      <c r="BE21" s="99">
        <f>+COUNTIFS(SALES!$S$2:$S$171,'CALCULATION DSE'!$C$8:$C$80,SALES!$CA$2:$CA$171,"YES")</f>
        <v>0</v>
      </c>
      <c r="BF21" s="66">
        <f t="shared" si="71"/>
        <v>0</v>
      </c>
      <c r="BG21" s="37">
        <f>+SUMIFS(SALES!$BA$2:$BA$171,SALES!$S$2:$S$171,'CALCULATION DSE'!$C$8:$C$80)</f>
        <v>0</v>
      </c>
      <c r="BH21" s="37">
        <f t="shared" si="72"/>
        <v>0</v>
      </c>
      <c r="BI21" s="65">
        <f t="shared" si="73"/>
        <v>1.5</v>
      </c>
      <c r="BJ21" s="64">
        <f t="shared" si="74"/>
        <v>0</v>
      </c>
      <c r="BK21" s="64">
        <f t="shared" si="75"/>
        <v>0</v>
      </c>
      <c r="BL21" s="64">
        <v>0</v>
      </c>
      <c r="BM21" s="64">
        <f t="shared" si="76"/>
        <v>0</v>
      </c>
      <c r="BN21" s="37">
        <f t="shared" si="77"/>
        <v>0</v>
      </c>
      <c r="BO21" s="38">
        <f t="shared" si="78"/>
        <v>0</v>
      </c>
      <c r="BP21" s="64">
        <f t="shared" si="79"/>
        <v>0</v>
      </c>
      <c r="BQ21" s="64">
        <f t="shared" si="80"/>
        <v>0</v>
      </c>
      <c r="BR21" s="64">
        <f t="shared" si="81"/>
        <v>0</v>
      </c>
      <c r="BS21" s="64">
        <f t="shared" si="82"/>
        <v>0</v>
      </c>
      <c r="BT21" s="64">
        <f t="shared" si="83"/>
        <v>0</v>
      </c>
      <c r="BU21" s="64">
        <f t="shared" si="84"/>
        <v>0</v>
      </c>
      <c r="BV21" s="63">
        <f t="shared" si="85"/>
        <v>0</v>
      </c>
      <c r="CB21" s="50"/>
      <c r="CC21" s="50"/>
      <c r="CD21" s="62"/>
      <c r="CF21" s="46"/>
    </row>
    <row r="22" spans="1:84" customFormat="1" hidden="1" x14ac:dyDescent="0.3">
      <c r="A22" s="74" t="s">
        <v>3069</v>
      </c>
      <c r="B22" s="40" t="s">
        <v>2586</v>
      </c>
      <c r="C22" s="40" t="s">
        <v>2858</v>
      </c>
      <c r="D22" s="40" t="s">
        <v>2586</v>
      </c>
      <c r="E22" s="73" t="s">
        <v>1744</v>
      </c>
      <c r="F22" s="79" t="str">
        <f>+VLOOKUP(C22,'EMP STATUS'!$D$3:$K$77,8,0)</f>
        <v>SEN148</v>
      </c>
      <c r="G22" s="39">
        <f>+COUNTIFS(SALES!$S$2:$S$171,'CALCULATION DSE'!$C$8:$C$80,SALES!$N$2:$N$171,'CALCULATION DSE'!$G$6:$U$6)</f>
        <v>0</v>
      </c>
      <c r="H22" s="39">
        <f>+COUNTIFS(SALES!$S$2:$S$171,'CALCULATION DSE'!$C$8:$C$80,SALES!$N$2:$N$171,'CALCULATION DSE'!$G$6:$U$6)</f>
        <v>0</v>
      </c>
      <c r="I22" s="39">
        <f>+COUNTIFS(SALES!$S$2:$S$171,'CALCULATION DSE'!$C$8:$C$80,SALES!$N$2:$N$171,'CALCULATION DSE'!$G$6:$U$6)</f>
        <v>0</v>
      </c>
      <c r="J22" s="39">
        <f>+COUNTIFS(SALES!$S$2:$S$171,'CALCULATION DSE'!$C$8:$C$80,SALES!$N$2:$N$171,'CALCULATION DSE'!$G$6:$U$6)</f>
        <v>0</v>
      </c>
      <c r="K22" s="39">
        <f>+COUNTIFS(SALES!$S$2:$S$171,'CALCULATION DSE'!$C$8:$C$80,SALES!$N$2:$N$171,'CALCULATION DSE'!$G$6:$U$6)</f>
        <v>0</v>
      </c>
      <c r="L22" s="39">
        <f>+COUNTIFS(SALES!$S$2:$S$171,'CALCULATION DSE'!$C$8:$C$80,SALES!$N$2:$N$171,'CALCULATION DSE'!$G$6:$U$6)</f>
        <v>0</v>
      </c>
      <c r="M22" s="39">
        <f>+COUNTIFS(SALES!$S$2:$S$171,'CALCULATION DSE'!$C$8:$C$80,SALES!$N$2:$N$171,'CALCULATION DSE'!$G$6:$U$6)</f>
        <v>0</v>
      </c>
      <c r="N22" s="39">
        <f>+COUNTIFS(SALES!$S$2:$S$171,'CALCULATION DSE'!$C$8:$C$80,SALES!$N$2:$N$171,'CALCULATION DSE'!$G$6:$U$6)</f>
        <v>0</v>
      </c>
      <c r="O22" s="39">
        <f>+COUNTIFS(SALES!$S$2:$S$171,'CALCULATION DSE'!$C$8:$C$80,SALES!$N$2:$N$171,'CALCULATION DSE'!$G$6:$U$6)</f>
        <v>0</v>
      </c>
      <c r="P22" s="39">
        <f>+COUNTIFS(SALES!$S$2:$S$171,'CALCULATION DSE'!$C$8:$C$80,SALES!$N$2:$N$171,'CALCULATION DSE'!$G$6:$U$6)</f>
        <v>0</v>
      </c>
      <c r="Q22" s="39">
        <f>+COUNTIFS(SALES!$S$2:$S$171,'CALCULATION DSE'!$C$8:$C$80,SALES!$N$2:$N$171,'CALCULATION DSE'!$G$6:$U$6)</f>
        <v>0</v>
      </c>
      <c r="R22" s="39">
        <f>+COUNTIFS(SALES!$S$2:$S$171,'CALCULATION DSE'!$C$8:$C$80,SALES!$N$2:$N$171,'CALCULATION DSE'!$G$6:$U$6)</f>
        <v>0</v>
      </c>
      <c r="S22" s="39">
        <f>+COUNTIFS(SALES!$S$2:$S$171,'CALCULATION DSE'!$C$8:$C$80,SALES!$N$2:$N$171,'CALCULATION DSE'!$G$6:$U$6)</f>
        <v>0</v>
      </c>
      <c r="T22" s="39">
        <f>+COUNTIFS(SALES!$S$2:$S$171,'CALCULATION DSE'!$C$8:$C$80,SALES!$N$2:$N$171,'CALCULATION DSE'!$G$6:$U$6)</f>
        <v>0</v>
      </c>
      <c r="U22" s="39">
        <f>+COUNTIFS(SALES!$S$2:$S$171,'CALCULATION DSE'!$C$8:$C$80,SALES!$N$2:$N$171,'CALCULATION DSE'!$G$6:$U$6)</f>
        <v>0</v>
      </c>
      <c r="V22" s="36">
        <f t="shared" si="43"/>
        <v>0</v>
      </c>
      <c r="W22" s="36">
        <f t="shared" si="44"/>
        <v>0</v>
      </c>
      <c r="X22" s="79">
        <f t="shared" si="45"/>
        <v>0</v>
      </c>
      <c r="Y22" s="79">
        <f t="shared" si="46"/>
        <v>0</v>
      </c>
      <c r="Z22" s="79">
        <f t="shared" si="47"/>
        <v>0</v>
      </c>
      <c r="AA22" s="79" t="str">
        <f>+VLOOKUP(C22,'EMP STATUS'!$D$3:$J$77,7,0)</f>
        <v>OLD</v>
      </c>
      <c r="AB22" s="72" t="str">
        <f t="shared" si="48"/>
        <v>YES</v>
      </c>
      <c r="AC22" s="72" t="str">
        <f t="shared" si="49"/>
        <v>NO</v>
      </c>
      <c r="AD22" s="64">
        <f t="shared" si="50"/>
        <v>0</v>
      </c>
      <c r="AE22" s="64">
        <f t="shared" si="51"/>
        <v>0</v>
      </c>
      <c r="AF22" s="64">
        <f t="shared" si="52"/>
        <v>0</v>
      </c>
      <c r="AG22" s="71">
        <f t="shared" si="53"/>
        <v>0</v>
      </c>
      <c r="AH22" s="68">
        <v>0</v>
      </c>
      <c r="AI22" s="68">
        <f t="shared" si="54"/>
        <v>0</v>
      </c>
      <c r="AJ22" s="64">
        <f t="shared" si="55"/>
        <v>0</v>
      </c>
      <c r="AK22" s="66">
        <f>+VLOOKUP(C22,'DSE WISE MGA SALE '!$B$5:$G$116,6,0)</f>
        <v>2599.3150684931506</v>
      </c>
      <c r="AL22" s="67">
        <f t="shared" si="56"/>
        <v>0</v>
      </c>
      <c r="AM22" s="67">
        <f t="shared" si="57"/>
        <v>0</v>
      </c>
      <c r="AN22" s="70">
        <f>+COUNTIFS(SALES!$S$2:$S$171,'CALCULATION DSE'!$C$7:$C$80,SALES!$AH$2:$AH$171,"&gt;0")</f>
        <v>0</v>
      </c>
      <c r="AO22" s="68">
        <f t="shared" si="58"/>
        <v>0</v>
      </c>
      <c r="AP22" s="69">
        <f>+COUNTIFS(SALES!$S$2:$S$171,'CALCULATION DSE'!$C$8:$C$80,SALES!$BH$2:$BH$171,"MSSF")</f>
        <v>0</v>
      </c>
      <c r="AQ22" s="69">
        <f t="shared" si="59"/>
        <v>0</v>
      </c>
      <c r="AR22" s="98">
        <f t="shared" si="60"/>
        <v>0</v>
      </c>
      <c r="AS22" s="68">
        <f t="shared" si="61"/>
        <v>0</v>
      </c>
      <c r="AT22" s="68">
        <f t="shared" si="62"/>
        <v>0</v>
      </c>
      <c r="AU22" s="39">
        <f>+COUNTIFS(SALES!$S$2:$S$171,'CALCULATION DSE'!$C$8:$C$80,SALES!$Y$2:$Y$171,"&gt;0")</f>
        <v>0</v>
      </c>
      <c r="AV22" s="39">
        <f t="shared" si="63"/>
        <v>0</v>
      </c>
      <c r="AW22" s="65">
        <f t="shared" si="64"/>
        <v>0</v>
      </c>
      <c r="AX22" s="67">
        <f t="shared" si="65"/>
        <v>0</v>
      </c>
      <c r="AY22" s="67">
        <f t="shared" si="66"/>
        <v>0</v>
      </c>
      <c r="AZ22" s="39">
        <f>+COUNTIFS(SALES!$S$2:$S$171,'CALCULATION DSE'!$C$8:$C$80,SALES!$AC$2:$AC$171,"&gt;0")</f>
        <v>0</v>
      </c>
      <c r="BA22" s="39">
        <f t="shared" si="67"/>
        <v>0</v>
      </c>
      <c r="BB22" s="65">
        <f t="shared" si="68"/>
        <v>0</v>
      </c>
      <c r="BC22" s="66">
        <f t="shared" si="69"/>
        <v>0</v>
      </c>
      <c r="BD22" s="66">
        <f t="shared" si="70"/>
        <v>0</v>
      </c>
      <c r="BE22" s="99">
        <f>+COUNTIFS(SALES!$S$2:$S$171,'CALCULATION DSE'!$C$8:$C$80,SALES!$CA$2:$CA$171,"YES")</f>
        <v>0</v>
      </c>
      <c r="BF22" s="66">
        <f t="shared" si="71"/>
        <v>0</v>
      </c>
      <c r="BG22" s="37">
        <f>+SUMIFS(SALES!$BA$2:$BA$171,SALES!$S$2:$S$171,'CALCULATION DSE'!$C$8:$C$80)</f>
        <v>0</v>
      </c>
      <c r="BH22" s="37">
        <f t="shared" si="72"/>
        <v>0</v>
      </c>
      <c r="BI22" s="65">
        <f t="shared" si="73"/>
        <v>1.5</v>
      </c>
      <c r="BJ22" s="64">
        <f t="shared" si="74"/>
        <v>0</v>
      </c>
      <c r="BK22" s="64">
        <f t="shared" si="75"/>
        <v>0</v>
      </c>
      <c r="BL22" s="64">
        <v>0</v>
      </c>
      <c r="BM22" s="64">
        <f t="shared" si="76"/>
        <v>0</v>
      </c>
      <c r="BN22" s="37">
        <f t="shared" si="77"/>
        <v>0</v>
      </c>
      <c r="BO22" s="38">
        <f t="shared" si="78"/>
        <v>0</v>
      </c>
      <c r="BP22" s="64">
        <f t="shared" si="79"/>
        <v>0</v>
      </c>
      <c r="BQ22" s="64">
        <f t="shared" si="80"/>
        <v>0</v>
      </c>
      <c r="BR22" s="64">
        <f t="shared" si="81"/>
        <v>0</v>
      </c>
      <c r="BS22" s="64">
        <f t="shared" si="82"/>
        <v>0</v>
      </c>
      <c r="BT22" s="64">
        <f t="shared" si="83"/>
        <v>0</v>
      </c>
      <c r="BU22" s="64">
        <f t="shared" si="84"/>
        <v>0</v>
      </c>
      <c r="BV22" s="63">
        <f t="shared" si="85"/>
        <v>0</v>
      </c>
      <c r="CB22" s="50"/>
      <c r="CC22" s="50"/>
      <c r="CD22" s="62"/>
      <c r="CF22" s="46"/>
    </row>
    <row r="23" spans="1:84" hidden="1" x14ac:dyDescent="0.3">
      <c r="A23" s="72" t="s">
        <v>3070</v>
      </c>
      <c r="B23" s="145" t="s">
        <v>2351</v>
      </c>
      <c r="C23" s="145" t="s">
        <v>2351</v>
      </c>
      <c r="D23" s="145" t="s">
        <v>2312</v>
      </c>
      <c r="E23" s="145" t="s">
        <v>393</v>
      </c>
      <c r="F23" s="79" t="str">
        <f>+VLOOKUP(C23,'EMP STATUS'!$D$3:$K$77,8,0)</f>
        <v>BAD018</v>
      </c>
      <c r="G23" s="72">
        <f>+COUNTIFS(SALES!$S$2:$S$171,'CALCULATION DSE'!$C$8:$C$80,SALES!$N$2:$N$171,'CALCULATION DSE'!$G$6:$U$6)</f>
        <v>0</v>
      </c>
      <c r="H23" s="72">
        <f>+COUNTIFS(SALES!$S$2:$S$171,'CALCULATION DSE'!$C$8:$C$80,SALES!$N$2:$N$171,'CALCULATION DSE'!$G$6:$U$6)</f>
        <v>0</v>
      </c>
      <c r="I23" s="72">
        <f>+COUNTIFS(SALES!$S$2:$S$171,'CALCULATION DSE'!$C$8:$C$80,SALES!$N$2:$N$171,'CALCULATION DSE'!$G$6:$U$6)</f>
        <v>0</v>
      </c>
      <c r="J23" s="72">
        <f>+COUNTIFS(SALES!$S$2:$S$171,'CALCULATION DSE'!$C$8:$C$80,SALES!$N$2:$N$171,'CALCULATION DSE'!$G$6:$U$6)</f>
        <v>0</v>
      </c>
      <c r="K23" s="72">
        <f>+COUNTIFS(SALES!$S$2:$S$171,'CALCULATION DSE'!$C$8:$C$80,SALES!$N$2:$N$171,'CALCULATION DSE'!$G$6:$U$6)</f>
        <v>0</v>
      </c>
      <c r="L23" s="72">
        <f>+COUNTIFS(SALES!$S$2:$S$171,'CALCULATION DSE'!$C$8:$C$80,SALES!$N$2:$N$171,'CALCULATION DSE'!$G$6:$U$6)</f>
        <v>0</v>
      </c>
      <c r="M23" s="72">
        <f>+COUNTIFS(SALES!$S$2:$S$171,'CALCULATION DSE'!$C$8:$C$80,SALES!$N$2:$N$171,'CALCULATION DSE'!$G$6:$U$6)</f>
        <v>1</v>
      </c>
      <c r="N23" s="72">
        <f>+COUNTIFS(SALES!$S$2:$S$171,'CALCULATION DSE'!$C$8:$C$80,SALES!$N$2:$N$171,'CALCULATION DSE'!$G$6:$U$6)</f>
        <v>0</v>
      </c>
      <c r="O23" s="72">
        <f>+COUNTIFS(SALES!$S$2:$S$171,'CALCULATION DSE'!$C$8:$C$80,SALES!$N$2:$N$171,'CALCULATION DSE'!$G$6:$U$6)</f>
        <v>2</v>
      </c>
      <c r="P23" s="72">
        <f>+COUNTIFS(SALES!$S$2:$S$171,'CALCULATION DSE'!$C$8:$C$80,SALES!$N$2:$N$171,'CALCULATION DSE'!$G$6:$U$6)</f>
        <v>0</v>
      </c>
      <c r="Q23" s="72">
        <f>+COUNTIFS(SALES!$S$2:$S$171,'CALCULATION DSE'!$C$8:$C$80,SALES!$N$2:$N$171,'CALCULATION DSE'!$G$6:$U$6)</f>
        <v>3</v>
      </c>
      <c r="R23" s="72">
        <f>+COUNTIFS(SALES!$S$2:$S$171,'CALCULATION DSE'!$C$8:$C$80,SALES!$N$2:$N$171,'CALCULATION DSE'!$G$6:$U$6)</f>
        <v>0</v>
      </c>
      <c r="S23" s="72">
        <f>+COUNTIFS(SALES!$S$2:$S$171,'CALCULATION DSE'!$C$8:$C$80,SALES!$N$2:$N$171,'CALCULATION DSE'!$G$6:$U$6)</f>
        <v>0</v>
      </c>
      <c r="T23" s="72">
        <f>+COUNTIFS(SALES!$S$2:$S$171,'CALCULATION DSE'!$C$8:$C$80,SALES!$N$2:$N$171,'CALCULATION DSE'!$G$6:$U$6)</f>
        <v>0</v>
      </c>
      <c r="U23" s="72">
        <f>+COUNTIFS(SALES!$S$2:$S$171,'CALCULATION DSE'!$C$8:$C$80,SALES!$N$2:$N$171,'CALCULATION DSE'!$G$6:$U$6)</f>
        <v>0</v>
      </c>
      <c r="V23" s="146">
        <f t="shared" si="43"/>
        <v>6</v>
      </c>
      <c r="W23" s="146">
        <f t="shared" si="44"/>
        <v>6</v>
      </c>
      <c r="X23" s="79">
        <f t="shared" si="45"/>
        <v>0</v>
      </c>
      <c r="Y23" s="79">
        <f t="shared" si="46"/>
        <v>0</v>
      </c>
      <c r="Z23" s="79">
        <f t="shared" si="47"/>
        <v>1</v>
      </c>
      <c r="AA23" s="79" t="str">
        <f>+VLOOKUP(C23,'EMP STATUS'!$D$3:$J$77,7,0)</f>
        <v>OLD</v>
      </c>
      <c r="AB23" s="72" t="str">
        <f t="shared" si="48"/>
        <v>YES</v>
      </c>
      <c r="AC23" s="72" t="str">
        <f t="shared" si="49"/>
        <v>YES</v>
      </c>
      <c r="AD23" s="147">
        <f t="shared" si="50"/>
        <v>0</v>
      </c>
      <c r="AE23" s="147">
        <f t="shared" si="51"/>
        <v>15000</v>
      </c>
      <c r="AF23" s="147">
        <f t="shared" si="52"/>
        <v>0</v>
      </c>
      <c r="AG23" s="148">
        <f t="shared" si="53"/>
        <v>15000</v>
      </c>
      <c r="AH23" s="149">
        <v>0</v>
      </c>
      <c r="AI23" s="149">
        <f t="shared" si="54"/>
        <v>0</v>
      </c>
      <c r="AJ23" s="147">
        <f t="shared" si="55"/>
        <v>0</v>
      </c>
      <c r="AK23" s="99">
        <f>+VLOOKUP(C23,'DSE WISE MGA SALE '!$B$5:$G$116,6,0)</f>
        <v>150077.39726027398</v>
      </c>
      <c r="AL23" s="99">
        <f t="shared" si="56"/>
        <v>25012.899543378997</v>
      </c>
      <c r="AM23" s="99">
        <f t="shared" si="57"/>
        <v>7503.8698630136996</v>
      </c>
      <c r="AN23" s="150">
        <f>+COUNTIFS(SALES!$S$2:$S$171,'CALCULATION DSE'!$C$7:$C$80,SALES!$AH$2:$AH$171,"&gt;0")</f>
        <v>1</v>
      </c>
      <c r="AO23" s="149">
        <f t="shared" si="58"/>
        <v>400</v>
      </c>
      <c r="AP23" s="151">
        <f>+COUNTIFS(SALES!$S$2:$S$171,'CALCULATION DSE'!$C$8:$C$80,SALES!$BH$2:$BH$171,"MSSF")</f>
        <v>4</v>
      </c>
      <c r="AQ23" s="151">
        <f t="shared" si="59"/>
        <v>2</v>
      </c>
      <c r="AR23" s="152">
        <f t="shared" si="60"/>
        <v>0.66666666666666663</v>
      </c>
      <c r="AS23" s="149">
        <f t="shared" si="61"/>
        <v>0</v>
      </c>
      <c r="AT23" s="149">
        <f t="shared" si="62"/>
        <v>500</v>
      </c>
      <c r="AU23" s="72">
        <f>+COUNTIFS(SALES!$S$2:$S$171,'CALCULATION DSE'!$C$8:$C$80,SALES!$Y$2:$Y$171,"&gt;0")</f>
        <v>6</v>
      </c>
      <c r="AV23" s="72">
        <f t="shared" si="63"/>
        <v>0</v>
      </c>
      <c r="AW23" s="153">
        <f t="shared" si="64"/>
        <v>1</v>
      </c>
      <c r="AX23" s="99">
        <f t="shared" si="65"/>
        <v>6000</v>
      </c>
      <c r="AY23" s="99">
        <f t="shared" si="66"/>
        <v>0</v>
      </c>
      <c r="AZ23" s="72">
        <f>+COUNTIFS(SALES!$S$2:$S$171,'CALCULATION DSE'!$C$8:$C$80,SALES!$AC$2:$AC$171,"&gt;0")</f>
        <v>3</v>
      </c>
      <c r="BA23" s="72">
        <f t="shared" si="67"/>
        <v>3</v>
      </c>
      <c r="BB23" s="153">
        <f t="shared" si="68"/>
        <v>0.5</v>
      </c>
      <c r="BC23" s="99">
        <f t="shared" si="69"/>
        <v>0</v>
      </c>
      <c r="BD23" s="99">
        <f t="shared" si="70"/>
        <v>750</v>
      </c>
      <c r="BE23" s="99">
        <f>+COUNTIFS(SALES!$S$2:$S$171,'CALCULATION DSE'!$C$8:$C$80,SALES!$CA$2:$CA$171,"YES")</f>
        <v>0</v>
      </c>
      <c r="BF23" s="99">
        <f t="shared" si="71"/>
        <v>0</v>
      </c>
      <c r="BG23" s="148">
        <f>+SUMIFS(SALES!$BA$2:$BA$171,SALES!$S$2:$S$171,'CALCULATION DSE'!$C$8:$C$80)</f>
        <v>113877</v>
      </c>
      <c r="BH23" s="148">
        <f t="shared" si="72"/>
        <v>18979.5</v>
      </c>
      <c r="BI23" s="153">
        <f t="shared" si="73"/>
        <v>0</v>
      </c>
      <c r="BJ23" s="147">
        <f t="shared" si="74"/>
        <v>0</v>
      </c>
      <c r="BK23" s="147">
        <f t="shared" si="75"/>
        <v>12653.869863013701</v>
      </c>
      <c r="BL23" s="147">
        <v>0</v>
      </c>
      <c r="BM23" s="147">
        <f t="shared" si="76"/>
        <v>0</v>
      </c>
      <c r="BN23" s="148">
        <f t="shared" si="77"/>
        <v>12653.869863013701</v>
      </c>
      <c r="BO23" s="99">
        <f t="shared" si="78"/>
        <v>0</v>
      </c>
      <c r="BP23" s="147">
        <f t="shared" si="79"/>
        <v>0</v>
      </c>
      <c r="BQ23" s="147">
        <f t="shared" si="80"/>
        <v>0</v>
      </c>
      <c r="BR23" s="147">
        <f t="shared" si="81"/>
        <v>2</v>
      </c>
      <c r="BS23" s="147">
        <f t="shared" si="82"/>
        <v>4000</v>
      </c>
      <c r="BT23" s="147">
        <f t="shared" si="83"/>
        <v>1</v>
      </c>
      <c r="BU23" s="147">
        <f t="shared" si="84"/>
        <v>1000</v>
      </c>
      <c r="BV23" s="154">
        <f t="shared" si="85"/>
        <v>17653.869863013701</v>
      </c>
      <c r="CB23" s="155"/>
      <c r="CC23" s="155"/>
      <c r="CD23" s="156"/>
      <c r="CF23" s="157"/>
    </row>
    <row r="24" spans="1:84" hidden="1" x14ac:dyDescent="0.3">
      <c r="A24" s="72" t="s">
        <v>237</v>
      </c>
      <c r="B24" s="145" t="s">
        <v>2323</v>
      </c>
      <c r="C24" s="145" t="s">
        <v>2322</v>
      </c>
      <c r="D24" s="145" t="s">
        <v>2323</v>
      </c>
      <c r="E24" s="145" t="s">
        <v>2320</v>
      </c>
      <c r="F24" s="79" t="str">
        <f>+VLOOKUP(C24,'EMP STATUS'!$D$3:$K$77,8,0)</f>
        <v>BAD055</v>
      </c>
      <c r="G24" s="72">
        <f>+COUNTIFS(SALES!$S$2:$S$171,'CALCULATION DSE'!$C$8:$C$80,SALES!$N$2:$N$171,'CALCULATION DSE'!$G$6:$U$6)</f>
        <v>0</v>
      </c>
      <c r="H24" s="72">
        <f>+COUNTIFS(SALES!$S$2:$S$171,'CALCULATION DSE'!$C$8:$C$80,SALES!$N$2:$N$171,'CALCULATION DSE'!$G$6:$U$6)</f>
        <v>0</v>
      </c>
      <c r="I24" s="72">
        <f>+COUNTIFS(SALES!$S$2:$S$171,'CALCULATION DSE'!$C$8:$C$80,SALES!$N$2:$N$171,'CALCULATION DSE'!$G$6:$U$6)</f>
        <v>0</v>
      </c>
      <c r="J24" s="72">
        <f>+COUNTIFS(SALES!$S$2:$S$171,'CALCULATION DSE'!$C$8:$C$80,SALES!$N$2:$N$171,'CALCULATION DSE'!$G$6:$U$6)</f>
        <v>0</v>
      </c>
      <c r="K24" s="72">
        <f>+COUNTIFS(SALES!$S$2:$S$171,'CALCULATION DSE'!$C$8:$C$80,SALES!$N$2:$N$171,'CALCULATION DSE'!$G$6:$U$6)</f>
        <v>0</v>
      </c>
      <c r="L24" s="72">
        <f>+COUNTIFS(SALES!$S$2:$S$171,'CALCULATION DSE'!$C$8:$C$80,SALES!$N$2:$N$171,'CALCULATION DSE'!$G$6:$U$6)</f>
        <v>0</v>
      </c>
      <c r="M24" s="72">
        <f>+COUNTIFS(SALES!$S$2:$S$171,'CALCULATION DSE'!$C$8:$C$80,SALES!$N$2:$N$171,'CALCULATION DSE'!$G$6:$U$6)</f>
        <v>2</v>
      </c>
      <c r="N24" s="72">
        <f>+COUNTIFS(SALES!$S$2:$S$171,'CALCULATION DSE'!$C$8:$C$80,SALES!$N$2:$N$171,'CALCULATION DSE'!$G$6:$U$6)</f>
        <v>0</v>
      </c>
      <c r="O24" s="72">
        <f>+COUNTIFS(SALES!$S$2:$S$171,'CALCULATION DSE'!$C$8:$C$80,SALES!$N$2:$N$171,'CALCULATION DSE'!$G$6:$U$6)</f>
        <v>1</v>
      </c>
      <c r="P24" s="72">
        <f>+COUNTIFS(SALES!$S$2:$S$171,'CALCULATION DSE'!$C$8:$C$80,SALES!$N$2:$N$171,'CALCULATION DSE'!$G$6:$U$6)</f>
        <v>3</v>
      </c>
      <c r="Q24" s="72">
        <f>+COUNTIFS(SALES!$S$2:$S$171,'CALCULATION DSE'!$C$8:$C$80,SALES!$N$2:$N$171,'CALCULATION DSE'!$G$6:$U$6)</f>
        <v>0</v>
      </c>
      <c r="R24" s="72">
        <f>+COUNTIFS(SALES!$S$2:$S$171,'CALCULATION DSE'!$C$8:$C$80,SALES!$N$2:$N$171,'CALCULATION DSE'!$G$6:$U$6)</f>
        <v>0</v>
      </c>
      <c r="S24" s="72">
        <f>+COUNTIFS(SALES!$S$2:$S$171,'CALCULATION DSE'!$C$8:$C$80,SALES!$N$2:$N$171,'CALCULATION DSE'!$G$6:$U$6)</f>
        <v>1</v>
      </c>
      <c r="T24" s="72">
        <f>+COUNTIFS(SALES!$S$2:$S$171,'CALCULATION DSE'!$C$8:$C$80,SALES!$N$2:$N$171,'CALCULATION DSE'!$G$6:$U$6)</f>
        <v>0</v>
      </c>
      <c r="U24" s="72">
        <f>+COUNTIFS(SALES!$S$2:$S$171,'CALCULATION DSE'!$C$8:$C$80,SALES!$N$2:$N$171,'CALCULATION DSE'!$G$6:$U$6)</f>
        <v>0</v>
      </c>
      <c r="V24" s="146">
        <f t="shared" si="43"/>
        <v>7</v>
      </c>
      <c r="W24" s="146">
        <f t="shared" si="44"/>
        <v>7</v>
      </c>
      <c r="X24" s="79">
        <f t="shared" si="45"/>
        <v>0</v>
      </c>
      <c r="Y24" s="79">
        <f t="shared" si="46"/>
        <v>0</v>
      </c>
      <c r="Z24" s="79">
        <f t="shared" si="47"/>
        <v>2</v>
      </c>
      <c r="AA24" s="79" t="str">
        <f>+VLOOKUP(C24,'EMP STATUS'!$D$3:$J$77,7,0)</f>
        <v>OLD</v>
      </c>
      <c r="AB24" s="72" t="str">
        <f t="shared" si="48"/>
        <v>YES</v>
      </c>
      <c r="AC24" s="72" t="str">
        <f t="shared" si="49"/>
        <v>YES</v>
      </c>
      <c r="AD24" s="147">
        <f t="shared" si="50"/>
        <v>0</v>
      </c>
      <c r="AE24" s="147">
        <f t="shared" si="51"/>
        <v>17500</v>
      </c>
      <c r="AF24" s="147">
        <f t="shared" si="52"/>
        <v>0</v>
      </c>
      <c r="AG24" s="148">
        <f t="shared" si="53"/>
        <v>17500</v>
      </c>
      <c r="AH24" s="149">
        <v>0</v>
      </c>
      <c r="AI24" s="149">
        <f t="shared" si="54"/>
        <v>0</v>
      </c>
      <c r="AJ24" s="147">
        <f t="shared" si="55"/>
        <v>0</v>
      </c>
      <c r="AK24" s="99">
        <f>+VLOOKUP(C24,'DSE WISE MGA SALE '!$B$5:$G$116,6,0)</f>
        <v>142905.4794520548</v>
      </c>
      <c r="AL24" s="99">
        <f t="shared" si="56"/>
        <v>20415.068493150688</v>
      </c>
      <c r="AM24" s="99">
        <f t="shared" si="57"/>
        <v>5001.6917808219187</v>
      </c>
      <c r="AN24" s="150">
        <f>+COUNTIFS(SALES!$S$2:$S$171,'CALCULATION DSE'!$C$7:$C$80,SALES!$AH$2:$AH$171,"&gt;0")</f>
        <v>0</v>
      </c>
      <c r="AO24" s="149">
        <f t="shared" si="58"/>
        <v>0</v>
      </c>
      <c r="AP24" s="151">
        <f>+COUNTIFS(SALES!$S$2:$S$171,'CALCULATION DSE'!$C$8:$C$80,SALES!$BH$2:$BH$171,"MSSF")</f>
        <v>5</v>
      </c>
      <c r="AQ24" s="151">
        <f t="shared" si="59"/>
        <v>2</v>
      </c>
      <c r="AR24" s="152">
        <f t="shared" si="60"/>
        <v>0.7142857142857143</v>
      </c>
      <c r="AS24" s="149">
        <f t="shared" si="61"/>
        <v>1250</v>
      </c>
      <c r="AT24" s="149">
        <f t="shared" si="62"/>
        <v>0</v>
      </c>
      <c r="AU24" s="72">
        <f>+COUNTIFS(SALES!$S$2:$S$171,'CALCULATION DSE'!$C$8:$C$80,SALES!$Y$2:$Y$171,"&gt;0")</f>
        <v>7</v>
      </c>
      <c r="AV24" s="72">
        <f t="shared" si="63"/>
        <v>0</v>
      </c>
      <c r="AW24" s="153">
        <f t="shared" si="64"/>
        <v>1</v>
      </c>
      <c r="AX24" s="99">
        <f t="shared" si="65"/>
        <v>7000</v>
      </c>
      <c r="AY24" s="99">
        <f t="shared" si="66"/>
        <v>0</v>
      </c>
      <c r="AZ24" s="72">
        <f>+COUNTIFS(SALES!$S$2:$S$171,'CALCULATION DSE'!$C$8:$C$80,SALES!$AC$2:$AC$171,"&gt;0")</f>
        <v>7</v>
      </c>
      <c r="BA24" s="72">
        <f t="shared" si="67"/>
        <v>0</v>
      </c>
      <c r="BB24" s="153">
        <f t="shared" si="68"/>
        <v>1</v>
      </c>
      <c r="BC24" s="99">
        <f t="shared" si="69"/>
        <v>5250</v>
      </c>
      <c r="BD24" s="99">
        <f t="shared" si="70"/>
        <v>0</v>
      </c>
      <c r="BE24" s="99">
        <f>+COUNTIFS(SALES!$S$2:$S$171,'CALCULATION DSE'!$C$8:$C$80,SALES!$CA$2:$CA$171,"YES")</f>
        <v>0</v>
      </c>
      <c r="BF24" s="99">
        <f t="shared" si="71"/>
        <v>0</v>
      </c>
      <c r="BG24" s="148">
        <f>+SUMIFS(SALES!$BA$2:$BA$171,SALES!$S$2:$S$171,'CALCULATION DSE'!$C$8:$C$80)</f>
        <v>67469</v>
      </c>
      <c r="BH24" s="148">
        <f t="shared" si="72"/>
        <v>9638.4285714285706</v>
      </c>
      <c r="BI24" s="153">
        <f t="shared" si="73"/>
        <v>0.6</v>
      </c>
      <c r="BJ24" s="147">
        <f t="shared" si="74"/>
        <v>10500</v>
      </c>
      <c r="BK24" s="147">
        <f t="shared" si="75"/>
        <v>29001.691780821919</v>
      </c>
      <c r="BL24" s="147">
        <v>0</v>
      </c>
      <c r="BM24" s="147">
        <f t="shared" si="76"/>
        <v>0</v>
      </c>
      <c r="BN24" s="148">
        <f t="shared" si="77"/>
        <v>29001.691780821919</v>
      </c>
      <c r="BO24" s="99">
        <f t="shared" si="78"/>
        <v>0</v>
      </c>
      <c r="BP24" s="147">
        <f t="shared" si="79"/>
        <v>0</v>
      </c>
      <c r="BQ24" s="147">
        <f t="shared" si="80"/>
        <v>0</v>
      </c>
      <c r="BR24" s="147">
        <f t="shared" si="81"/>
        <v>1</v>
      </c>
      <c r="BS24" s="147">
        <f t="shared" si="82"/>
        <v>2000</v>
      </c>
      <c r="BT24" s="147">
        <f t="shared" si="83"/>
        <v>2</v>
      </c>
      <c r="BU24" s="147">
        <f t="shared" si="84"/>
        <v>2000</v>
      </c>
      <c r="BV24" s="154">
        <f t="shared" si="85"/>
        <v>33001.691780821915</v>
      </c>
      <c r="CB24" s="155"/>
      <c r="CC24" s="155"/>
      <c r="CD24" s="156"/>
      <c r="CF24" s="157"/>
    </row>
    <row r="25" spans="1:84" customFormat="1" hidden="1" x14ac:dyDescent="0.3">
      <c r="A25" s="74" t="s">
        <v>1274</v>
      </c>
      <c r="B25" s="40" t="s">
        <v>2280</v>
      </c>
      <c r="C25" s="40" t="s">
        <v>2831</v>
      </c>
      <c r="D25" s="40" t="s">
        <v>2280</v>
      </c>
      <c r="E25" s="73" t="s">
        <v>2877</v>
      </c>
      <c r="F25" s="79" t="str">
        <f>+VLOOKUP(C25,'EMP STATUS'!$D$3:$K$77,8,0)</f>
        <v>KNW0188</v>
      </c>
      <c r="G25" s="39">
        <f>+COUNTIFS(SALES!$S$2:$S$171,'CALCULATION DSE'!$C$8:$C$80,SALES!$N$2:$N$171,'CALCULATION DSE'!$G$6:$U$6)</f>
        <v>0</v>
      </c>
      <c r="H25" s="39">
        <f>+COUNTIFS(SALES!$S$2:$S$171,'CALCULATION DSE'!$C$8:$C$80,SALES!$N$2:$N$171,'CALCULATION DSE'!$G$6:$U$6)</f>
        <v>0</v>
      </c>
      <c r="I25" s="39">
        <f>+COUNTIFS(SALES!$S$2:$S$171,'CALCULATION DSE'!$C$8:$C$80,SALES!$N$2:$N$171,'CALCULATION DSE'!$G$6:$U$6)</f>
        <v>0</v>
      </c>
      <c r="J25" s="39">
        <f>+COUNTIFS(SALES!$S$2:$S$171,'CALCULATION DSE'!$C$8:$C$80,SALES!$N$2:$N$171,'CALCULATION DSE'!$G$6:$U$6)</f>
        <v>0</v>
      </c>
      <c r="K25" s="39">
        <f>+COUNTIFS(SALES!$S$2:$S$171,'CALCULATION DSE'!$C$8:$C$80,SALES!$N$2:$N$171,'CALCULATION DSE'!$G$6:$U$6)</f>
        <v>0</v>
      </c>
      <c r="L25" s="39">
        <f>+COUNTIFS(SALES!$S$2:$S$171,'CALCULATION DSE'!$C$8:$C$80,SALES!$N$2:$N$171,'CALCULATION DSE'!$G$6:$U$6)</f>
        <v>0</v>
      </c>
      <c r="M25" s="39">
        <f>+COUNTIFS(SALES!$S$2:$S$171,'CALCULATION DSE'!$C$8:$C$80,SALES!$N$2:$N$171,'CALCULATION DSE'!$G$6:$U$6)</f>
        <v>0</v>
      </c>
      <c r="N25" s="39">
        <f>+COUNTIFS(SALES!$S$2:$S$171,'CALCULATION DSE'!$C$8:$C$80,SALES!$N$2:$N$171,'CALCULATION DSE'!$G$6:$U$6)</f>
        <v>0</v>
      </c>
      <c r="O25" s="39">
        <f>+COUNTIFS(SALES!$S$2:$S$171,'CALCULATION DSE'!$C$8:$C$80,SALES!$N$2:$N$171,'CALCULATION DSE'!$G$6:$U$6)</f>
        <v>0</v>
      </c>
      <c r="P25" s="39">
        <f>+COUNTIFS(SALES!$S$2:$S$171,'CALCULATION DSE'!$C$8:$C$80,SALES!$N$2:$N$171,'CALCULATION DSE'!$G$6:$U$6)</f>
        <v>0</v>
      </c>
      <c r="Q25" s="39">
        <f>+COUNTIFS(SALES!$S$2:$S$171,'CALCULATION DSE'!$C$8:$C$80,SALES!$N$2:$N$171,'CALCULATION DSE'!$G$6:$U$6)</f>
        <v>1</v>
      </c>
      <c r="R25" s="39">
        <f>+COUNTIFS(SALES!$S$2:$S$171,'CALCULATION DSE'!$C$8:$C$80,SALES!$N$2:$N$171,'CALCULATION DSE'!$G$6:$U$6)</f>
        <v>0</v>
      </c>
      <c r="S25" s="39">
        <f>+COUNTIFS(SALES!$S$2:$S$171,'CALCULATION DSE'!$C$8:$C$80,SALES!$N$2:$N$171,'CALCULATION DSE'!$G$6:$U$6)</f>
        <v>0</v>
      </c>
      <c r="T25" s="39">
        <f>+COUNTIFS(SALES!$S$2:$S$171,'CALCULATION DSE'!$C$8:$C$80,SALES!$N$2:$N$171,'CALCULATION DSE'!$G$6:$U$6)</f>
        <v>0</v>
      </c>
      <c r="U25" s="39">
        <f>+COUNTIFS(SALES!$S$2:$S$171,'CALCULATION DSE'!$C$8:$C$80,SALES!$N$2:$N$171,'CALCULATION DSE'!$G$6:$U$6)</f>
        <v>0</v>
      </c>
      <c r="V25" s="36">
        <f t="shared" si="43"/>
        <v>1</v>
      </c>
      <c r="W25" s="36">
        <f t="shared" si="44"/>
        <v>1</v>
      </c>
      <c r="X25" s="79">
        <f t="shared" si="45"/>
        <v>0</v>
      </c>
      <c r="Y25" s="79">
        <f t="shared" si="46"/>
        <v>0</v>
      </c>
      <c r="Z25" s="79">
        <f t="shared" si="47"/>
        <v>0</v>
      </c>
      <c r="AA25" s="79" t="str">
        <f>+VLOOKUP(C25,'EMP STATUS'!$D$3:$J$77,7,0)</f>
        <v>OLD</v>
      </c>
      <c r="AB25" s="72" t="str">
        <f t="shared" si="48"/>
        <v>YES</v>
      </c>
      <c r="AC25" s="72" t="str">
        <f t="shared" si="49"/>
        <v>NO</v>
      </c>
      <c r="AD25" s="64">
        <f t="shared" si="50"/>
        <v>0</v>
      </c>
      <c r="AE25" s="64">
        <f t="shared" si="51"/>
        <v>0</v>
      </c>
      <c r="AF25" s="64">
        <f t="shared" si="52"/>
        <v>0</v>
      </c>
      <c r="AG25" s="71">
        <f t="shared" si="53"/>
        <v>0</v>
      </c>
      <c r="AH25" s="68">
        <v>0</v>
      </c>
      <c r="AI25" s="68">
        <f t="shared" si="54"/>
        <v>0</v>
      </c>
      <c r="AJ25" s="64">
        <f t="shared" si="55"/>
        <v>0</v>
      </c>
      <c r="AK25" s="66">
        <f>+VLOOKUP(C25,'DSE WISE MGA SALE '!$B$5:$G$116,6,0)</f>
        <v>0</v>
      </c>
      <c r="AL25" s="67">
        <f t="shared" si="56"/>
        <v>0</v>
      </c>
      <c r="AM25" s="67">
        <f t="shared" si="57"/>
        <v>0</v>
      </c>
      <c r="AN25" s="70">
        <f>+COUNTIFS(SALES!$S$2:$S$171,'CALCULATION DSE'!$C$7:$C$80,SALES!$AH$2:$AH$171,"&gt;0")</f>
        <v>0</v>
      </c>
      <c r="AO25" s="68">
        <f t="shared" si="58"/>
        <v>0</v>
      </c>
      <c r="AP25" s="69">
        <f>+COUNTIFS(SALES!$S$2:$S$171,'CALCULATION DSE'!$C$8:$C$80,SALES!$BH$2:$BH$171,"MSSF")</f>
        <v>1</v>
      </c>
      <c r="AQ25" s="69">
        <f t="shared" si="59"/>
        <v>0</v>
      </c>
      <c r="AR25" s="98">
        <f t="shared" si="60"/>
        <v>1</v>
      </c>
      <c r="AS25" s="68">
        <f t="shared" si="61"/>
        <v>0</v>
      </c>
      <c r="AT25" s="68">
        <f t="shared" si="62"/>
        <v>0</v>
      </c>
      <c r="AU25" s="39">
        <f>+COUNTIFS(SALES!$S$2:$S$171,'CALCULATION DSE'!$C$8:$C$80,SALES!$Y$2:$Y$171,"&gt;0")</f>
        <v>0</v>
      </c>
      <c r="AV25" s="39">
        <f t="shared" si="63"/>
        <v>1</v>
      </c>
      <c r="AW25" s="65">
        <f t="shared" si="64"/>
        <v>0</v>
      </c>
      <c r="AX25" s="67">
        <f t="shared" si="65"/>
        <v>0</v>
      </c>
      <c r="AY25" s="67">
        <f t="shared" si="66"/>
        <v>0</v>
      </c>
      <c r="AZ25" s="39">
        <f>+COUNTIFS(SALES!$S$2:$S$171,'CALCULATION DSE'!$C$8:$C$80,SALES!$AC$2:$AC$171,"&gt;0")</f>
        <v>0</v>
      </c>
      <c r="BA25" s="39">
        <f t="shared" si="67"/>
        <v>1</v>
      </c>
      <c r="BB25" s="65">
        <f t="shared" si="68"/>
        <v>0</v>
      </c>
      <c r="BC25" s="66">
        <f t="shared" si="69"/>
        <v>0</v>
      </c>
      <c r="BD25" s="66">
        <f t="shared" si="70"/>
        <v>0</v>
      </c>
      <c r="BE25" s="99">
        <f>+COUNTIFS(SALES!$S$2:$S$171,'CALCULATION DSE'!$C$8:$C$80,SALES!$CA$2:$CA$171,"YES")</f>
        <v>0</v>
      </c>
      <c r="BF25" s="66">
        <f t="shared" si="71"/>
        <v>0</v>
      </c>
      <c r="BG25" s="37">
        <f>+SUMIFS(SALES!$BA$2:$BA$171,SALES!$S$2:$S$171,'CALCULATION DSE'!$C$8:$C$80)</f>
        <v>13236</v>
      </c>
      <c r="BH25" s="37">
        <f t="shared" si="72"/>
        <v>13236</v>
      </c>
      <c r="BI25" s="65">
        <f t="shared" si="73"/>
        <v>0.3</v>
      </c>
      <c r="BJ25" s="64">
        <f t="shared" si="74"/>
        <v>0</v>
      </c>
      <c r="BK25" s="64">
        <f t="shared" si="75"/>
        <v>0</v>
      </c>
      <c r="BL25" s="64">
        <v>0</v>
      </c>
      <c r="BM25" s="64">
        <f t="shared" si="76"/>
        <v>0</v>
      </c>
      <c r="BN25" s="37">
        <f t="shared" si="77"/>
        <v>0</v>
      </c>
      <c r="BO25" s="38">
        <f t="shared" si="78"/>
        <v>0</v>
      </c>
      <c r="BP25" s="64">
        <f t="shared" si="79"/>
        <v>0</v>
      </c>
      <c r="BQ25" s="64">
        <f t="shared" si="80"/>
        <v>0</v>
      </c>
      <c r="BR25" s="64">
        <f t="shared" si="81"/>
        <v>0</v>
      </c>
      <c r="BS25" s="64">
        <f t="shared" si="82"/>
        <v>0</v>
      </c>
      <c r="BT25" s="64">
        <f t="shared" si="83"/>
        <v>0</v>
      </c>
      <c r="BU25" s="64">
        <f t="shared" si="84"/>
        <v>0</v>
      </c>
      <c r="BV25" s="63">
        <f t="shared" si="85"/>
        <v>0</v>
      </c>
      <c r="CB25" s="50"/>
      <c r="CC25" s="50"/>
      <c r="CD25" s="62"/>
      <c r="CF25" s="46"/>
    </row>
    <row r="26" spans="1:84" hidden="1" x14ac:dyDescent="0.3">
      <c r="A26" s="72" t="s">
        <v>215</v>
      </c>
      <c r="B26" s="145" t="s">
        <v>2323</v>
      </c>
      <c r="C26" s="145" t="s">
        <v>2323</v>
      </c>
      <c r="D26" s="145" t="s">
        <v>2323</v>
      </c>
      <c r="E26" s="145" t="s">
        <v>2320</v>
      </c>
      <c r="F26" s="79" t="str">
        <f>+VLOOKUP(C26,'EMP STATUS'!$D$3:$K$77,8,0)</f>
        <v>BAD099</v>
      </c>
      <c r="G26" s="72">
        <f>+COUNTIFS(SALES!$S$2:$S$171,'CALCULATION DSE'!$C$8:$C$80,SALES!$N$2:$N$171,'CALCULATION DSE'!$G$6:$U$6)</f>
        <v>0</v>
      </c>
      <c r="H26" s="72">
        <f>+COUNTIFS(SALES!$S$2:$S$171,'CALCULATION DSE'!$C$8:$C$80,SALES!$N$2:$N$171,'CALCULATION DSE'!$G$6:$U$6)</f>
        <v>1</v>
      </c>
      <c r="I26" s="72">
        <f>+COUNTIFS(SALES!$S$2:$S$171,'CALCULATION DSE'!$C$8:$C$80,SALES!$N$2:$N$171,'CALCULATION DSE'!$G$6:$U$6)</f>
        <v>0</v>
      </c>
      <c r="J26" s="72">
        <f>+COUNTIFS(SALES!$S$2:$S$171,'CALCULATION DSE'!$C$8:$C$80,SALES!$N$2:$N$171,'CALCULATION DSE'!$G$6:$U$6)</f>
        <v>0</v>
      </c>
      <c r="K26" s="72">
        <f>+COUNTIFS(SALES!$S$2:$S$171,'CALCULATION DSE'!$C$8:$C$80,SALES!$N$2:$N$171,'CALCULATION DSE'!$G$6:$U$6)</f>
        <v>0</v>
      </c>
      <c r="L26" s="72">
        <f>+COUNTIFS(SALES!$S$2:$S$171,'CALCULATION DSE'!$C$8:$C$80,SALES!$N$2:$N$171,'CALCULATION DSE'!$G$6:$U$6)</f>
        <v>0</v>
      </c>
      <c r="M26" s="72">
        <f>+COUNTIFS(SALES!$S$2:$S$171,'CALCULATION DSE'!$C$8:$C$80,SALES!$N$2:$N$171,'CALCULATION DSE'!$G$6:$U$6)</f>
        <v>0</v>
      </c>
      <c r="N26" s="72">
        <f>+COUNTIFS(SALES!$S$2:$S$171,'CALCULATION DSE'!$C$8:$C$80,SALES!$N$2:$N$171,'CALCULATION DSE'!$G$6:$U$6)</f>
        <v>0</v>
      </c>
      <c r="O26" s="72">
        <f>+COUNTIFS(SALES!$S$2:$S$171,'CALCULATION DSE'!$C$8:$C$80,SALES!$N$2:$N$171,'CALCULATION DSE'!$G$6:$U$6)</f>
        <v>0</v>
      </c>
      <c r="P26" s="72">
        <f>+COUNTIFS(SALES!$S$2:$S$171,'CALCULATION DSE'!$C$8:$C$80,SALES!$N$2:$N$171,'CALCULATION DSE'!$G$6:$U$6)</f>
        <v>1</v>
      </c>
      <c r="Q26" s="72">
        <f>+COUNTIFS(SALES!$S$2:$S$171,'CALCULATION DSE'!$C$8:$C$80,SALES!$N$2:$N$171,'CALCULATION DSE'!$G$6:$U$6)</f>
        <v>0</v>
      </c>
      <c r="R26" s="72">
        <f>+COUNTIFS(SALES!$S$2:$S$171,'CALCULATION DSE'!$C$8:$C$80,SALES!$N$2:$N$171,'CALCULATION DSE'!$G$6:$U$6)</f>
        <v>0</v>
      </c>
      <c r="S26" s="72">
        <f>+COUNTIFS(SALES!$S$2:$S$171,'CALCULATION DSE'!$C$8:$C$80,SALES!$N$2:$N$171,'CALCULATION DSE'!$G$6:$U$6)</f>
        <v>0</v>
      </c>
      <c r="T26" s="72">
        <f>+COUNTIFS(SALES!$S$2:$S$171,'CALCULATION DSE'!$C$8:$C$80,SALES!$N$2:$N$171,'CALCULATION DSE'!$G$6:$U$6)</f>
        <v>0</v>
      </c>
      <c r="U26" s="72">
        <f>+COUNTIFS(SALES!$S$2:$S$171,'CALCULATION DSE'!$C$8:$C$80,SALES!$N$2:$N$171,'CALCULATION DSE'!$G$6:$U$6)</f>
        <v>0</v>
      </c>
      <c r="V26" s="146">
        <f t="shared" si="43"/>
        <v>2</v>
      </c>
      <c r="W26" s="146">
        <f t="shared" si="44"/>
        <v>2</v>
      </c>
      <c r="X26" s="79">
        <f t="shared" si="45"/>
        <v>0</v>
      </c>
      <c r="Y26" s="79">
        <f t="shared" si="46"/>
        <v>0</v>
      </c>
      <c r="Z26" s="79">
        <f t="shared" si="47"/>
        <v>1</v>
      </c>
      <c r="AA26" s="79" t="str">
        <f>+VLOOKUP(C26,'EMP STATUS'!$D$3:$J$77,7,0)</f>
        <v>OLD</v>
      </c>
      <c r="AB26" s="72" t="str">
        <f t="shared" si="48"/>
        <v>YES</v>
      </c>
      <c r="AC26" s="72" t="str">
        <f t="shared" si="49"/>
        <v>YES</v>
      </c>
      <c r="AD26" s="147">
        <f t="shared" si="50"/>
        <v>0</v>
      </c>
      <c r="AE26" s="147">
        <f t="shared" si="51"/>
        <v>1000</v>
      </c>
      <c r="AF26" s="147">
        <f t="shared" si="52"/>
        <v>0</v>
      </c>
      <c r="AG26" s="148">
        <f t="shared" si="53"/>
        <v>1000</v>
      </c>
      <c r="AH26" s="149">
        <v>0</v>
      </c>
      <c r="AI26" s="149">
        <f t="shared" si="54"/>
        <v>0</v>
      </c>
      <c r="AJ26" s="147">
        <f t="shared" si="55"/>
        <v>0</v>
      </c>
      <c r="AK26" s="99">
        <f>+VLOOKUP(C26,'DSE WISE MGA SALE '!$B$5:$G$116,6,0)</f>
        <v>22247.260273972603</v>
      </c>
      <c r="AL26" s="99">
        <f t="shared" si="56"/>
        <v>11123.630136986301</v>
      </c>
      <c r="AM26" s="99">
        <f t="shared" si="57"/>
        <v>0</v>
      </c>
      <c r="AN26" s="150">
        <f>+COUNTIFS(SALES!$S$2:$S$171,'CALCULATION DSE'!$C$7:$C$80,SALES!$AH$2:$AH$171,"&gt;0")</f>
        <v>0</v>
      </c>
      <c r="AO26" s="149">
        <f t="shared" si="58"/>
        <v>0</v>
      </c>
      <c r="AP26" s="151">
        <f>+COUNTIFS(SALES!$S$2:$S$171,'CALCULATION DSE'!$C$8:$C$80,SALES!$BH$2:$BH$171,"MSSF")</f>
        <v>2</v>
      </c>
      <c r="AQ26" s="151">
        <f t="shared" si="59"/>
        <v>0</v>
      </c>
      <c r="AR26" s="152">
        <f t="shared" si="60"/>
        <v>1</v>
      </c>
      <c r="AS26" s="149">
        <f t="shared" si="61"/>
        <v>500</v>
      </c>
      <c r="AT26" s="149">
        <f t="shared" si="62"/>
        <v>0</v>
      </c>
      <c r="AU26" s="72">
        <f>+COUNTIFS(SALES!$S$2:$S$171,'CALCULATION DSE'!$C$8:$C$80,SALES!$Y$2:$Y$171,"&gt;0")</f>
        <v>2</v>
      </c>
      <c r="AV26" s="72">
        <f t="shared" si="63"/>
        <v>0</v>
      </c>
      <c r="AW26" s="153">
        <f t="shared" si="64"/>
        <v>1</v>
      </c>
      <c r="AX26" s="99">
        <f t="shared" si="65"/>
        <v>2000</v>
      </c>
      <c r="AY26" s="99">
        <f t="shared" si="66"/>
        <v>0</v>
      </c>
      <c r="AZ26" s="72">
        <f>+COUNTIFS(SALES!$S$2:$S$171,'CALCULATION DSE'!$C$8:$C$80,SALES!$AC$2:$AC$171,"&gt;0")</f>
        <v>2</v>
      </c>
      <c r="BA26" s="72">
        <f t="shared" si="67"/>
        <v>0</v>
      </c>
      <c r="BB26" s="153">
        <f t="shared" si="68"/>
        <v>1</v>
      </c>
      <c r="BC26" s="99">
        <f t="shared" si="69"/>
        <v>1500</v>
      </c>
      <c r="BD26" s="99">
        <f t="shared" si="70"/>
        <v>0</v>
      </c>
      <c r="BE26" s="99">
        <f>+COUNTIFS(SALES!$S$2:$S$171,'CALCULATION DSE'!$C$8:$C$80,SALES!$CA$2:$CA$171,"YES")</f>
        <v>0</v>
      </c>
      <c r="BF26" s="99">
        <f t="shared" si="71"/>
        <v>0</v>
      </c>
      <c r="BG26" s="148">
        <f>+SUMIFS(SALES!$BA$2:$BA$171,SALES!$S$2:$S$171,'CALCULATION DSE'!$C$8:$C$80)</f>
        <v>17633</v>
      </c>
      <c r="BH26" s="148">
        <f t="shared" si="72"/>
        <v>8816.5</v>
      </c>
      <c r="BI26" s="153">
        <f t="shared" si="73"/>
        <v>0.6</v>
      </c>
      <c r="BJ26" s="147">
        <f t="shared" si="74"/>
        <v>600</v>
      </c>
      <c r="BK26" s="147">
        <f t="shared" si="75"/>
        <v>4600</v>
      </c>
      <c r="BL26" s="147">
        <v>0</v>
      </c>
      <c r="BM26" s="147">
        <f t="shared" si="76"/>
        <v>0</v>
      </c>
      <c r="BN26" s="148">
        <f t="shared" si="77"/>
        <v>4600</v>
      </c>
      <c r="BO26" s="99">
        <f t="shared" si="78"/>
        <v>20542.366438356163</v>
      </c>
      <c r="BP26" s="147">
        <f t="shared" si="79"/>
        <v>0</v>
      </c>
      <c r="BQ26" s="147">
        <f t="shared" si="80"/>
        <v>0</v>
      </c>
      <c r="BR26" s="147">
        <f t="shared" si="81"/>
        <v>0</v>
      </c>
      <c r="BS26" s="147">
        <f t="shared" si="82"/>
        <v>0</v>
      </c>
      <c r="BT26" s="147">
        <f t="shared" si="83"/>
        <v>1</v>
      </c>
      <c r="BU26" s="147">
        <f t="shared" si="84"/>
        <v>1000</v>
      </c>
      <c r="BV26" s="154">
        <f t="shared" si="85"/>
        <v>26142.366438356163</v>
      </c>
      <c r="BX26" s="87"/>
      <c r="CB26" s="155"/>
      <c r="CC26" s="155"/>
      <c r="CD26" s="156"/>
      <c r="CF26" s="157"/>
    </row>
    <row r="27" spans="1:84" hidden="1" x14ac:dyDescent="0.3">
      <c r="A27" s="72" t="s">
        <v>3071</v>
      </c>
      <c r="B27" s="145" t="s">
        <v>2351</v>
      </c>
      <c r="C27" s="145" t="s">
        <v>2412</v>
      </c>
      <c r="D27" s="145" t="s">
        <v>2312</v>
      </c>
      <c r="E27" s="145" t="s">
        <v>393</v>
      </c>
      <c r="F27" s="79" t="str">
        <f>+VLOOKUP(C27,'EMP STATUS'!$D$3:$K$77,8,0)</f>
        <v>BAD146</v>
      </c>
      <c r="G27" s="72">
        <f>+COUNTIFS(SALES!$S$2:$S$171,'CALCULATION DSE'!$C$8:$C$80,SALES!$N$2:$N$171,'CALCULATION DSE'!$G$6:$U$6)</f>
        <v>0</v>
      </c>
      <c r="H27" s="72">
        <f>+COUNTIFS(SALES!$S$2:$S$171,'CALCULATION DSE'!$C$8:$C$80,SALES!$N$2:$N$171,'CALCULATION DSE'!$G$6:$U$6)</f>
        <v>0</v>
      </c>
      <c r="I27" s="72">
        <f>+COUNTIFS(SALES!$S$2:$S$171,'CALCULATION DSE'!$C$8:$C$80,SALES!$N$2:$N$171,'CALCULATION DSE'!$G$6:$U$6)</f>
        <v>0</v>
      </c>
      <c r="J27" s="72">
        <f>+COUNTIFS(SALES!$S$2:$S$171,'CALCULATION DSE'!$C$8:$C$80,SALES!$N$2:$N$171,'CALCULATION DSE'!$G$6:$U$6)</f>
        <v>0</v>
      </c>
      <c r="K27" s="72">
        <f>+COUNTIFS(SALES!$S$2:$S$171,'CALCULATION DSE'!$C$8:$C$80,SALES!$N$2:$N$171,'CALCULATION DSE'!$G$6:$U$6)</f>
        <v>0</v>
      </c>
      <c r="L27" s="72">
        <f>+COUNTIFS(SALES!$S$2:$S$171,'CALCULATION DSE'!$C$8:$C$80,SALES!$N$2:$N$171,'CALCULATION DSE'!$G$6:$U$6)</f>
        <v>0</v>
      </c>
      <c r="M27" s="72">
        <f>+COUNTIFS(SALES!$S$2:$S$171,'CALCULATION DSE'!$C$8:$C$80,SALES!$N$2:$N$171,'CALCULATION DSE'!$G$6:$U$6)</f>
        <v>1</v>
      </c>
      <c r="N27" s="72">
        <f>+COUNTIFS(SALES!$S$2:$S$171,'CALCULATION DSE'!$C$8:$C$80,SALES!$N$2:$N$171,'CALCULATION DSE'!$G$6:$U$6)</f>
        <v>0</v>
      </c>
      <c r="O27" s="72">
        <f>+COUNTIFS(SALES!$S$2:$S$171,'CALCULATION DSE'!$C$8:$C$80,SALES!$N$2:$N$171,'CALCULATION DSE'!$G$6:$U$6)</f>
        <v>0</v>
      </c>
      <c r="P27" s="72">
        <f>+COUNTIFS(SALES!$S$2:$S$171,'CALCULATION DSE'!$C$8:$C$80,SALES!$N$2:$N$171,'CALCULATION DSE'!$G$6:$U$6)</f>
        <v>0</v>
      </c>
      <c r="Q27" s="72">
        <f>+COUNTIFS(SALES!$S$2:$S$171,'CALCULATION DSE'!$C$8:$C$80,SALES!$N$2:$N$171,'CALCULATION DSE'!$G$6:$U$6)</f>
        <v>0</v>
      </c>
      <c r="R27" s="72">
        <f>+COUNTIFS(SALES!$S$2:$S$171,'CALCULATION DSE'!$C$8:$C$80,SALES!$N$2:$N$171,'CALCULATION DSE'!$G$6:$U$6)</f>
        <v>1</v>
      </c>
      <c r="S27" s="72">
        <f>+COUNTIFS(SALES!$S$2:$S$171,'CALCULATION DSE'!$C$8:$C$80,SALES!$N$2:$N$171,'CALCULATION DSE'!$G$6:$U$6)</f>
        <v>0</v>
      </c>
      <c r="T27" s="72">
        <f>+COUNTIFS(SALES!$S$2:$S$171,'CALCULATION DSE'!$C$8:$C$80,SALES!$N$2:$N$171,'CALCULATION DSE'!$G$6:$U$6)</f>
        <v>0</v>
      </c>
      <c r="U27" s="72">
        <f>+COUNTIFS(SALES!$S$2:$S$171,'CALCULATION DSE'!$C$8:$C$80,SALES!$N$2:$N$171,'CALCULATION DSE'!$G$6:$U$6)</f>
        <v>0</v>
      </c>
      <c r="V27" s="146">
        <f t="shared" si="43"/>
        <v>2</v>
      </c>
      <c r="W27" s="146">
        <f t="shared" si="44"/>
        <v>1</v>
      </c>
      <c r="X27" s="79">
        <f t="shared" si="45"/>
        <v>1</v>
      </c>
      <c r="Y27" s="79">
        <f t="shared" si="46"/>
        <v>0</v>
      </c>
      <c r="Z27" s="79">
        <f t="shared" si="47"/>
        <v>1</v>
      </c>
      <c r="AA27" s="79" t="str">
        <f>+VLOOKUP(C27,'EMP STATUS'!$D$3:$J$77,7,0)</f>
        <v>OLD</v>
      </c>
      <c r="AB27" s="72" t="str">
        <f t="shared" si="48"/>
        <v>YES</v>
      </c>
      <c r="AC27" s="72" t="str">
        <f t="shared" si="49"/>
        <v>YES</v>
      </c>
      <c r="AD27" s="147">
        <f t="shared" si="50"/>
        <v>0</v>
      </c>
      <c r="AE27" s="147">
        <f t="shared" si="51"/>
        <v>500</v>
      </c>
      <c r="AF27" s="147">
        <f t="shared" si="52"/>
        <v>500</v>
      </c>
      <c r="AG27" s="148">
        <f t="shared" si="53"/>
        <v>1000</v>
      </c>
      <c r="AH27" s="149">
        <v>0</v>
      </c>
      <c r="AI27" s="149">
        <f t="shared" si="54"/>
        <v>0</v>
      </c>
      <c r="AJ27" s="147">
        <f t="shared" si="55"/>
        <v>0</v>
      </c>
      <c r="AK27" s="99">
        <f>+VLOOKUP(C27,'DSE WISE MGA SALE '!$B$5:$G$116,6,0)</f>
        <v>24951.369863013701</v>
      </c>
      <c r="AL27" s="99">
        <f t="shared" si="56"/>
        <v>12475.68493150685</v>
      </c>
      <c r="AM27" s="99">
        <f t="shared" si="57"/>
        <v>0</v>
      </c>
      <c r="AN27" s="150">
        <f>+COUNTIFS(SALES!$S$2:$S$171,'CALCULATION DSE'!$C$7:$C$80,SALES!$AH$2:$AH$171,"&gt;0")</f>
        <v>1</v>
      </c>
      <c r="AO27" s="149">
        <f t="shared" si="58"/>
        <v>400</v>
      </c>
      <c r="AP27" s="151">
        <f>+COUNTIFS(SALES!$S$2:$S$171,'CALCULATION DSE'!$C$8:$C$80,SALES!$BH$2:$BH$171,"MSSF")</f>
        <v>2</v>
      </c>
      <c r="AQ27" s="151">
        <f t="shared" si="59"/>
        <v>0</v>
      </c>
      <c r="AR27" s="152">
        <f t="shared" si="60"/>
        <v>1</v>
      </c>
      <c r="AS27" s="149">
        <f t="shared" si="61"/>
        <v>500</v>
      </c>
      <c r="AT27" s="149">
        <f t="shared" si="62"/>
        <v>0</v>
      </c>
      <c r="AU27" s="72">
        <f>+COUNTIFS(SALES!$S$2:$S$171,'CALCULATION DSE'!$C$8:$C$80,SALES!$Y$2:$Y$171,"&gt;0")</f>
        <v>2</v>
      </c>
      <c r="AV27" s="72">
        <f t="shared" si="63"/>
        <v>0</v>
      </c>
      <c r="AW27" s="153">
        <f t="shared" si="64"/>
        <v>1</v>
      </c>
      <c r="AX27" s="99">
        <f t="shared" si="65"/>
        <v>2000</v>
      </c>
      <c r="AY27" s="99">
        <f t="shared" si="66"/>
        <v>0</v>
      </c>
      <c r="AZ27" s="72">
        <f>+COUNTIFS(SALES!$S$2:$S$171,'CALCULATION DSE'!$C$8:$C$80,SALES!$AC$2:$AC$171,"&gt;0")</f>
        <v>0</v>
      </c>
      <c r="BA27" s="72">
        <f t="shared" si="67"/>
        <v>2</v>
      </c>
      <c r="BB27" s="153">
        <f t="shared" si="68"/>
        <v>0</v>
      </c>
      <c r="BC27" s="99">
        <f t="shared" si="69"/>
        <v>0</v>
      </c>
      <c r="BD27" s="99">
        <f t="shared" si="70"/>
        <v>500</v>
      </c>
      <c r="BE27" s="99">
        <f>+COUNTIFS(SALES!$S$2:$S$171,'CALCULATION DSE'!$C$8:$C$80,SALES!$CA$2:$CA$171,"YES")</f>
        <v>0</v>
      </c>
      <c r="BF27" s="99">
        <f t="shared" si="71"/>
        <v>0</v>
      </c>
      <c r="BG27" s="148">
        <f>+SUMIFS(SALES!$BA$2:$BA$171,SALES!$S$2:$S$171,'CALCULATION DSE'!$C$8:$C$80)</f>
        <v>13762</v>
      </c>
      <c r="BH27" s="148">
        <f t="shared" si="72"/>
        <v>6881</v>
      </c>
      <c r="BI27" s="153">
        <f t="shared" si="73"/>
        <v>0.8</v>
      </c>
      <c r="BJ27" s="147">
        <f t="shared" si="74"/>
        <v>800</v>
      </c>
      <c r="BK27" s="147">
        <f t="shared" si="75"/>
        <v>3200</v>
      </c>
      <c r="BL27" s="147">
        <v>0</v>
      </c>
      <c r="BM27" s="147">
        <f t="shared" si="76"/>
        <v>0</v>
      </c>
      <c r="BN27" s="148">
        <f t="shared" si="77"/>
        <v>3200</v>
      </c>
      <c r="BO27" s="99">
        <f t="shared" si="78"/>
        <v>0</v>
      </c>
      <c r="BP27" s="147">
        <f t="shared" si="79"/>
        <v>0</v>
      </c>
      <c r="BQ27" s="147">
        <f t="shared" si="80"/>
        <v>0</v>
      </c>
      <c r="BR27" s="147">
        <f t="shared" si="81"/>
        <v>0</v>
      </c>
      <c r="BS27" s="147">
        <f t="shared" si="82"/>
        <v>0</v>
      </c>
      <c r="BT27" s="147">
        <f t="shared" si="83"/>
        <v>1</v>
      </c>
      <c r="BU27" s="147">
        <f t="shared" si="84"/>
        <v>1000</v>
      </c>
      <c r="BV27" s="154">
        <f t="shared" si="85"/>
        <v>4200</v>
      </c>
      <c r="CB27" s="155"/>
      <c r="CC27" s="155"/>
      <c r="CD27" s="156"/>
      <c r="CF27" s="157"/>
    </row>
    <row r="28" spans="1:84" customFormat="1" hidden="1" x14ac:dyDescent="0.3">
      <c r="A28" s="74" t="s">
        <v>3072</v>
      </c>
      <c r="B28" s="40" t="s">
        <v>2862</v>
      </c>
      <c r="C28" s="40" t="s">
        <v>2553</v>
      </c>
      <c r="D28" s="40" t="s">
        <v>2862</v>
      </c>
      <c r="E28" s="73" t="s">
        <v>2878</v>
      </c>
      <c r="F28" s="79" t="str">
        <f>+VLOOKUP(C28,'EMP STATUS'!$D$3:$K$77,8,0)</f>
        <v>2257</v>
      </c>
      <c r="G28" s="39">
        <f>+COUNTIFS(SALES!$S$2:$S$171,'CALCULATION DSE'!$C$8:$C$80,SALES!$N$2:$N$171,'CALCULATION DSE'!$G$6:$U$6)</f>
        <v>0</v>
      </c>
      <c r="H28" s="39">
        <f>+COUNTIFS(SALES!$S$2:$S$171,'CALCULATION DSE'!$C$8:$C$80,SALES!$N$2:$N$171,'CALCULATION DSE'!$G$6:$U$6)</f>
        <v>0</v>
      </c>
      <c r="I28" s="39">
        <f>+COUNTIFS(SALES!$S$2:$S$171,'CALCULATION DSE'!$C$8:$C$80,SALES!$N$2:$N$171,'CALCULATION DSE'!$G$6:$U$6)</f>
        <v>0</v>
      </c>
      <c r="J28" s="39">
        <f>+COUNTIFS(SALES!$S$2:$S$171,'CALCULATION DSE'!$C$8:$C$80,SALES!$N$2:$N$171,'CALCULATION DSE'!$G$6:$U$6)</f>
        <v>0</v>
      </c>
      <c r="K28" s="39">
        <f>+COUNTIFS(SALES!$S$2:$S$171,'CALCULATION DSE'!$C$8:$C$80,SALES!$N$2:$N$171,'CALCULATION DSE'!$G$6:$U$6)</f>
        <v>0</v>
      </c>
      <c r="L28" s="39">
        <f>+COUNTIFS(SALES!$S$2:$S$171,'CALCULATION DSE'!$C$8:$C$80,SALES!$N$2:$N$171,'CALCULATION DSE'!$G$6:$U$6)</f>
        <v>0</v>
      </c>
      <c r="M28" s="39">
        <f>+COUNTIFS(SALES!$S$2:$S$171,'CALCULATION DSE'!$C$8:$C$80,SALES!$N$2:$N$171,'CALCULATION DSE'!$G$6:$U$6)</f>
        <v>0</v>
      </c>
      <c r="N28" s="39">
        <f>+COUNTIFS(SALES!$S$2:$S$171,'CALCULATION DSE'!$C$8:$C$80,SALES!$N$2:$N$171,'CALCULATION DSE'!$G$6:$U$6)</f>
        <v>0</v>
      </c>
      <c r="O28" s="39">
        <f>+COUNTIFS(SALES!$S$2:$S$171,'CALCULATION DSE'!$C$8:$C$80,SALES!$N$2:$N$171,'CALCULATION DSE'!$G$6:$U$6)</f>
        <v>0</v>
      </c>
      <c r="P28" s="39">
        <f>+COUNTIFS(SALES!$S$2:$S$171,'CALCULATION DSE'!$C$8:$C$80,SALES!$N$2:$N$171,'CALCULATION DSE'!$G$6:$U$6)</f>
        <v>0</v>
      </c>
      <c r="Q28" s="39">
        <f>+COUNTIFS(SALES!$S$2:$S$171,'CALCULATION DSE'!$C$8:$C$80,SALES!$N$2:$N$171,'CALCULATION DSE'!$G$6:$U$6)</f>
        <v>1</v>
      </c>
      <c r="R28" s="39">
        <f>+COUNTIFS(SALES!$S$2:$S$171,'CALCULATION DSE'!$C$8:$C$80,SALES!$N$2:$N$171,'CALCULATION DSE'!$G$6:$U$6)</f>
        <v>0</v>
      </c>
      <c r="S28" s="39">
        <f>+COUNTIFS(SALES!$S$2:$S$171,'CALCULATION DSE'!$C$8:$C$80,SALES!$N$2:$N$171,'CALCULATION DSE'!$G$6:$U$6)</f>
        <v>0</v>
      </c>
      <c r="T28" s="39">
        <f>+COUNTIFS(SALES!$S$2:$S$171,'CALCULATION DSE'!$C$8:$C$80,SALES!$N$2:$N$171,'CALCULATION DSE'!$G$6:$U$6)</f>
        <v>0</v>
      </c>
      <c r="U28" s="39">
        <f>+COUNTIFS(SALES!$S$2:$S$171,'CALCULATION DSE'!$C$8:$C$80,SALES!$N$2:$N$171,'CALCULATION DSE'!$G$6:$U$6)</f>
        <v>0</v>
      </c>
      <c r="V28" s="36">
        <f t="shared" si="43"/>
        <v>1</v>
      </c>
      <c r="W28" s="36">
        <f t="shared" si="44"/>
        <v>1</v>
      </c>
      <c r="X28" s="79">
        <f t="shared" si="45"/>
        <v>0</v>
      </c>
      <c r="Y28" s="79">
        <f t="shared" si="46"/>
        <v>0</v>
      </c>
      <c r="Z28" s="79">
        <f t="shared" si="47"/>
        <v>0</v>
      </c>
      <c r="AA28" s="79" t="s">
        <v>3005</v>
      </c>
      <c r="AB28" s="72" t="str">
        <f t="shared" si="48"/>
        <v>NO</v>
      </c>
      <c r="AC28" s="72" t="str">
        <f t="shared" si="49"/>
        <v>YES</v>
      </c>
      <c r="AD28" s="64">
        <f t="shared" si="50"/>
        <v>500</v>
      </c>
      <c r="AE28" s="64">
        <f t="shared" si="51"/>
        <v>0</v>
      </c>
      <c r="AF28" s="64">
        <f t="shared" si="52"/>
        <v>0</v>
      </c>
      <c r="AG28" s="71">
        <f t="shared" si="53"/>
        <v>500</v>
      </c>
      <c r="AH28" s="68">
        <v>0</v>
      </c>
      <c r="AI28" s="68">
        <f t="shared" si="54"/>
        <v>0</v>
      </c>
      <c r="AJ28" s="64">
        <f t="shared" si="55"/>
        <v>0</v>
      </c>
      <c r="AK28" s="66">
        <f>+VLOOKUP(C28,'DSE WISE MGA SALE '!$B$5:$G$116,6,0)</f>
        <v>18965.753424657534</v>
      </c>
      <c r="AL28" s="67">
        <f t="shared" si="56"/>
        <v>18965.753424657534</v>
      </c>
      <c r="AM28" s="67">
        <f t="shared" si="57"/>
        <v>568.97260273972597</v>
      </c>
      <c r="AN28" s="70">
        <f>+COUNTIFS(SALES!$S$2:$S$171,'CALCULATION DSE'!$C$7:$C$80,SALES!$AH$2:$AH$171,"&gt;0")</f>
        <v>0</v>
      </c>
      <c r="AO28" s="68">
        <f t="shared" si="58"/>
        <v>0</v>
      </c>
      <c r="AP28" s="69">
        <f>+COUNTIFS(SALES!$S$2:$S$171,'CALCULATION DSE'!$C$8:$C$80,SALES!$BH$2:$BH$171,"MSSF")</f>
        <v>1</v>
      </c>
      <c r="AQ28" s="69">
        <f t="shared" si="59"/>
        <v>0</v>
      </c>
      <c r="AR28" s="98">
        <f t="shared" si="60"/>
        <v>1</v>
      </c>
      <c r="AS28" s="68">
        <f t="shared" si="61"/>
        <v>250</v>
      </c>
      <c r="AT28" s="68">
        <f t="shared" si="62"/>
        <v>0</v>
      </c>
      <c r="AU28" s="39">
        <f>+COUNTIFS(SALES!$S$2:$S$171,'CALCULATION DSE'!$C$8:$C$80,SALES!$Y$2:$Y$171,"&gt;0")</f>
        <v>1</v>
      </c>
      <c r="AV28" s="39">
        <f t="shared" si="63"/>
        <v>0</v>
      </c>
      <c r="AW28" s="65">
        <f t="shared" si="64"/>
        <v>1</v>
      </c>
      <c r="AX28" s="67">
        <f t="shared" si="65"/>
        <v>1000</v>
      </c>
      <c r="AY28" s="67">
        <f t="shared" si="66"/>
        <v>0</v>
      </c>
      <c r="AZ28" s="39">
        <f>+COUNTIFS(SALES!$S$2:$S$171,'CALCULATION DSE'!$C$8:$C$80,SALES!$AC$2:$AC$171,"&gt;0")</f>
        <v>0</v>
      </c>
      <c r="BA28" s="39">
        <f t="shared" si="67"/>
        <v>1</v>
      </c>
      <c r="BB28" s="65">
        <f t="shared" si="68"/>
        <v>0</v>
      </c>
      <c r="BC28" s="66">
        <f t="shared" si="69"/>
        <v>0</v>
      </c>
      <c r="BD28" s="66">
        <f t="shared" si="70"/>
        <v>250</v>
      </c>
      <c r="BE28" s="99">
        <f>+COUNTIFS(SALES!$S$2:$S$171,'CALCULATION DSE'!$C$8:$C$80,SALES!$CA$2:$CA$171,"YES")</f>
        <v>0</v>
      </c>
      <c r="BF28" s="66">
        <f t="shared" si="71"/>
        <v>0</v>
      </c>
      <c r="BG28" s="37">
        <f>+SUMIFS(SALES!$BA$2:$BA$171,SALES!$S$2:$S$171,'CALCULATION DSE'!$C$8:$C$80)</f>
        <v>11590</v>
      </c>
      <c r="BH28" s="37">
        <f t="shared" si="72"/>
        <v>11590</v>
      </c>
      <c r="BI28" s="65">
        <f t="shared" si="73"/>
        <v>0.4</v>
      </c>
      <c r="BJ28" s="64">
        <f t="shared" si="74"/>
        <v>200</v>
      </c>
      <c r="BK28" s="64">
        <f t="shared" si="75"/>
        <v>1768.972602739726</v>
      </c>
      <c r="BL28" s="64">
        <v>0</v>
      </c>
      <c r="BM28" s="64">
        <f t="shared" si="76"/>
        <v>0</v>
      </c>
      <c r="BN28" s="37">
        <f t="shared" si="77"/>
        <v>1768.972602739726</v>
      </c>
      <c r="BO28" s="38">
        <f t="shared" si="78"/>
        <v>0</v>
      </c>
      <c r="BP28" s="64">
        <f t="shared" si="79"/>
        <v>0</v>
      </c>
      <c r="BQ28" s="64">
        <f t="shared" si="80"/>
        <v>0</v>
      </c>
      <c r="BR28" s="64">
        <f t="shared" si="81"/>
        <v>0</v>
      </c>
      <c r="BS28" s="64">
        <f t="shared" si="82"/>
        <v>0</v>
      </c>
      <c r="BT28" s="64">
        <f t="shared" si="83"/>
        <v>0</v>
      </c>
      <c r="BU28" s="64">
        <f t="shared" si="84"/>
        <v>0</v>
      </c>
      <c r="BV28" s="63">
        <f t="shared" si="85"/>
        <v>1768.972602739726</v>
      </c>
      <c r="CB28" s="50"/>
      <c r="CC28" s="50"/>
      <c r="CD28" s="62"/>
      <c r="CF28" s="46"/>
    </row>
    <row r="29" spans="1:84" hidden="1" x14ac:dyDescent="0.3">
      <c r="A29" s="72" t="s">
        <v>3086</v>
      </c>
      <c r="B29" s="145" t="s">
        <v>871</v>
      </c>
      <c r="C29" s="145" t="s">
        <v>2315</v>
      </c>
      <c r="D29" s="145" t="s">
        <v>871</v>
      </c>
      <c r="E29" s="145" t="s">
        <v>871</v>
      </c>
      <c r="F29" s="79" t="str">
        <f>+VLOOKUP(C29,'EMP STATUS'!$D$3:$K$77,8,0)</f>
        <v>BAD183</v>
      </c>
      <c r="G29" s="72">
        <f>+COUNTIFS(SALES!$S$2:$S$171,'CALCULATION DSE'!$C$8:$C$80,SALES!$N$2:$N$171,'CALCULATION DSE'!$G$6:$U$6)</f>
        <v>0</v>
      </c>
      <c r="H29" s="72">
        <f>+COUNTIFS(SALES!$S$2:$S$171,'CALCULATION DSE'!$C$8:$C$80,SALES!$N$2:$N$171,'CALCULATION DSE'!$G$6:$U$6)</f>
        <v>0</v>
      </c>
      <c r="I29" s="72">
        <f>+COUNTIFS(SALES!$S$2:$S$171,'CALCULATION DSE'!$C$8:$C$80,SALES!$N$2:$N$171,'CALCULATION DSE'!$G$6:$U$6)</f>
        <v>0</v>
      </c>
      <c r="J29" s="72">
        <f>+COUNTIFS(SALES!$S$2:$S$171,'CALCULATION DSE'!$C$8:$C$80,SALES!$N$2:$N$171,'CALCULATION DSE'!$G$6:$U$6)</f>
        <v>0</v>
      </c>
      <c r="K29" s="72">
        <f>+COUNTIFS(SALES!$S$2:$S$171,'CALCULATION DSE'!$C$8:$C$80,SALES!$N$2:$N$171,'CALCULATION DSE'!$G$6:$U$6)</f>
        <v>1</v>
      </c>
      <c r="L29" s="72">
        <f>+COUNTIFS(SALES!$S$2:$S$171,'CALCULATION DSE'!$C$8:$C$80,SALES!$N$2:$N$171,'CALCULATION DSE'!$G$6:$U$6)</f>
        <v>0</v>
      </c>
      <c r="M29" s="72">
        <f>+COUNTIFS(SALES!$S$2:$S$171,'CALCULATION DSE'!$C$8:$C$80,SALES!$N$2:$N$171,'CALCULATION DSE'!$G$6:$U$6)</f>
        <v>0</v>
      </c>
      <c r="N29" s="72">
        <f>+COUNTIFS(SALES!$S$2:$S$171,'CALCULATION DSE'!$C$8:$C$80,SALES!$N$2:$N$171,'CALCULATION DSE'!$G$6:$U$6)</f>
        <v>0</v>
      </c>
      <c r="O29" s="72">
        <f>+COUNTIFS(SALES!$S$2:$S$171,'CALCULATION DSE'!$C$8:$C$80,SALES!$N$2:$N$171,'CALCULATION DSE'!$G$6:$U$6)</f>
        <v>0</v>
      </c>
      <c r="P29" s="72">
        <f>+COUNTIFS(SALES!$S$2:$S$171,'CALCULATION DSE'!$C$8:$C$80,SALES!$N$2:$N$171,'CALCULATION DSE'!$G$6:$U$6)</f>
        <v>0</v>
      </c>
      <c r="Q29" s="72">
        <f>+COUNTIFS(SALES!$S$2:$S$171,'CALCULATION DSE'!$C$8:$C$80,SALES!$N$2:$N$171,'CALCULATION DSE'!$G$6:$U$6)</f>
        <v>1</v>
      </c>
      <c r="R29" s="72">
        <f>+COUNTIFS(SALES!$S$2:$S$171,'CALCULATION DSE'!$C$8:$C$80,SALES!$N$2:$N$171,'CALCULATION DSE'!$G$6:$U$6)</f>
        <v>0</v>
      </c>
      <c r="S29" s="72">
        <f>+COUNTIFS(SALES!$S$2:$S$171,'CALCULATION DSE'!$C$8:$C$80,SALES!$N$2:$N$171,'CALCULATION DSE'!$G$6:$U$6)</f>
        <v>0</v>
      </c>
      <c r="T29" s="72">
        <f>+COUNTIFS(SALES!$S$2:$S$171,'CALCULATION DSE'!$C$8:$C$80,SALES!$N$2:$N$171,'CALCULATION DSE'!$G$6:$U$6)</f>
        <v>0</v>
      </c>
      <c r="U29" s="72">
        <f>+COUNTIFS(SALES!$S$2:$S$171,'CALCULATION DSE'!$C$8:$C$80,SALES!$N$2:$N$171,'CALCULATION DSE'!$G$6:$U$6)</f>
        <v>0</v>
      </c>
      <c r="V29" s="146">
        <f t="shared" si="43"/>
        <v>2</v>
      </c>
      <c r="W29" s="146">
        <f t="shared" si="44"/>
        <v>2</v>
      </c>
      <c r="X29" s="79">
        <f t="shared" si="45"/>
        <v>0</v>
      </c>
      <c r="Y29" s="79">
        <f t="shared" si="46"/>
        <v>0</v>
      </c>
      <c r="Z29" s="79">
        <f t="shared" si="47"/>
        <v>1</v>
      </c>
      <c r="AA29" s="79" t="str">
        <f>+VLOOKUP(C29,'EMP STATUS'!$D$3:$J$77,7,0)</f>
        <v>OLD</v>
      </c>
      <c r="AB29" s="72" t="str">
        <f t="shared" si="48"/>
        <v>YES</v>
      </c>
      <c r="AC29" s="72" t="str">
        <f t="shared" si="49"/>
        <v>YES</v>
      </c>
      <c r="AD29" s="147">
        <f t="shared" si="50"/>
        <v>0</v>
      </c>
      <c r="AE29" s="147">
        <f t="shared" si="51"/>
        <v>1000</v>
      </c>
      <c r="AF29" s="147">
        <f t="shared" si="52"/>
        <v>0</v>
      </c>
      <c r="AG29" s="148">
        <f t="shared" si="53"/>
        <v>1000</v>
      </c>
      <c r="AH29" s="149">
        <v>0</v>
      </c>
      <c r="AI29" s="149">
        <f t="shared" si="54"/>
        <v>0</v>
      </c>
      <c r="AJ29" s="147">
        <f t="shared" si="55"/>
        <v>0</v>
      </c>
      <c r="AK29" s="99">
        <f>+VLOOKUP(C29,'DSE WISE MGA SALE '!$B$5:$G$116,6,0)</f>
        <v>76752.054794520547</v>
      </c>
      <c r="AL29" s="99">
        <f t="shared" si="56"/>
        <v>38376.027397260274</v>
      </c>
      <c r="AM29" s="99">
        <f t="shared" si="57"/>
        <v>3837.6027397260277</v>
      </c>
      <c r="AN29" s="150">
        <f>+COUNTIFS(SALES!$S$2:$S$171,'CALCULATION DSE'!$C$7:$C$80,SALES!$AH$2:$AH$171,"&gt;0")</f>
        <v>0</v>
      </c>
      <c r="AO29" s="149">
        <f t="shared" si="58"/>
        <v>0</v>
      </c>
      <c r="AP29" s="151">
        <f>+COUNTIFS(SALES!$S$2:$S$171,'CALCULATION DSE'!$C$8:$C$80,SALES!$BH$2:$BH$171,"MSSF")</f>
        <v>1</v>
      </c>
      <c r="AQ29" s="151">
        <f t="shared" si="59"/>
        <v>1</v>
      </c>
      <c r="AR29" s="152">
        <f t="shared" si="60"/>
        <v>0.5</v>
      </c>
      <c r="AS29" s="149">
        <f t="shared" si="61"/>
        <v>0</v>
      </c>
      <c r="AT29" s="149">
        <f t="shared" si="62"/>
        <v>250</v>
      </c>
      <c r="AU29" s="72">
        <f>+COUNTIFS(SALES!$S$2:$S$171,'CALCULATION DSE'!$C$8:$C$80,SALES!$Y$2:$Y$171,"&gt;0")</f>
        <v>0</v>
      </c>
      <c r="AV29" s="72">
        <f t="shared" si="63"/>
        <v>2</v>
      </c>
      <c r="AW29" s="153">
        <f t="shared" si="64"/>
        <v>0</v>
      </c>
      <c r="AX29" s="99">
        <f t="shared" si="65"/>
        <v>0</v>
      </c>
      <c r="AY29" s="99">
        <f t="shared" si="66"/>
        <v>800</v>
      </c>
      <c r="AZ29" s="72">
        <f>+COUNTIFS(SALES!$S$2:$S$171,'CALCULATION DSE'!$C$8:$C$80,SALES!$AC$2:$AC$171,"&gt;0")</f>
        <v>0</v>
      </c>
      <c r="BA29" s="72">
        <f t="shared" si="67"/>
        <v>2</v>
      </c>
      <c r="BB29" s="153">
        <f t="shared" si="68"/>
        <v>0</v>
      </c>
      <c r="BC29" s="99">
        <f t="shared" si="69"/>
        <v>0</v>
      </c>
      <c r="BD29" s="99">
        <f t="shared" si="70"/>
        <v>500</v>
      </c>
      <c r="BE29" s="99">
        <f>+COUNTIFS(SALES!$S$2:$S$171,'CALCULATION DSE'!$C$8:$C$80,SALES!$CA$2:$CA$171,"YES")</f>
        <v>0</v>
      </c>
      <c r="BF29" s="99">
        <f t="shared" si="71"/>
        <v>0</v>
      </c>
      <c r="BG29" s="148">
        <f>+SUMIFS(SALES!$BA$2:$BA$171,SALES!$S$2:$S$171,'CALCULATION DSE'!$C$8:$C$80)</f>
        <v>24000</v>
      </c>
      <c r="BH29" s="148">
        <f t="shared" si="72"/>
        <v>12000</v>
      </c>
      <c r="BI29" s="153">
        <f t="shared" si="73"/>
        <v>0.4</v>
      </c>
      <c r="BJ29" s="147">
        <f t="shared" si="74"/>
        <v>400</v>
      </c>
      <c r="BK29" s="147">
        <f t="shared" si="75"/>
        <v>2687.6027397260277</v>
      </c>
      <c r="BL29" s="147">
        <v>0</v>
      </c>
      <c r="BM29" s="147">
        <f t="shared" si="76"/>
        <v>0</v>
      </c>
      <c r="BN29" s="148">
        <f t="shared" si="77"/>
        <v>2687.6027397260277</v>
      </c>
      <c r="BO29" s="99">
        <f t="shared" si="78"/>
        <v>0</v>
      </c>
      <c r="BP29" s="147">
        <f t="shared" si="79"/>
        <v>0</v>
      </c>
      <c r="BQ29" s="147">
        <f t="shared" si="80"/>
        <v>0</v>
      </c>
      <c r="BR29" s="147">
        <f t="shared" si="81"/>
        <v>0</v>
      </c>
      <c r="BS29" s="147">
        <f t="shared" si="82"/>
        <v>0</v>
      </c>
      <c r="BT29" s="147">
        <f t="shared" si="83"/>
        <v>0</v>
      </c>
      <c r="BU29" s="147">
        <f t="shared" si="84"/>
        <v>0</v>
      </c>
      <c r="BV29" s="154">
        <f t="shared" si="85"/>
        <v>2687.6027397260277</v>
      </c>
      <c r="CB29" s="155"/>
      <c r="CC29" s="155"/>
      <c r="CD29" s="156"/>
      <c r="CF29" s="157"/>
    </row>
    <row r="30" spans="1:84" customFormat="1" hidden="1" x14ac:dyDescent="0.3">
      <c r="A30" s="74" t="s">
        <v>3074</v>
      </c>
      <c r="B30" s="40" t="s">
        <v>2252</v>
      </c>
      <c r="C30" s="40" t="s">
        <v>2252</v>
      </c>
      <c r="D30" s="40" t="s">
        <v>2252</v>
      </c>
      <c r="E30" s="73" t="s">
        <v>2874</v>
      </c>
      <c r="F30" s="79" t="str">
        <f>+VLOOKUP(C30,'EMP STATUS'!$D$3:$K$77,8,0)</f>
        <v>0366</v>
      </c>
      <c r="G30" s="39">
        <f>+COUNTIFS(SALES!$S$2:$S$171,'CALCULATION DSE'!$C$8:$C$80,SALES!$N$2:$N$171,'CALCULATION DSE'!$G$6:$U$6)</f>
        <v>0</v>
      </c>
      <c r="H30" s="39">
        <f>+COUNTIFS(SALES!$S$2:$S$171,'CALCULATION DSE'!$C$8:$C$80,SALES!$N$2:$N$171,'CALCULATION DSE'!$G$6:$U$6)</f>
        <v>0</v>
      </c>
      <c r="I30" s="39">
        <f>+COUNTIFS(SALES!$S$2:$S$171,'CALCULATION DSE'!$C$8:$C$80,SALES!$N$2:$N$171,'CALCULATION DSE'!$G$6:$U$6)</f>
        <v>0</v>
      </c>
      <c r="J30" s="39">
        <f>+COUNTIFS(SALES!$S$2:$S$171,'CALCULATION DSE'!$C$8:$C$80,SALES!$N$2:$N$171,'CALCULATION DSE'!$G$6:$U$6)</f>
        <v>0</v>
      </c>
      <c r="K30" s="39">
        <f>+COUNTIFS(SALES!$S$2:$S$171,'CALCULATION DSE'!$C$8:$C$80,SALES!$N$2:$N$171,'CALCULATION DSE'!$G$6:$U$6)</f>
        <v>0</v>
      </c>
      <c r="L30" s="39">
        <f>+COUNTIFS(SALES!$S$2:$S$171,'CALCULATION DSE'!$C$8:$C$80,SALES!$N$2:$N$171,'CALCULATION DSE'!$G$6:$U$6)</f>
        <v>0</v>
      </c>
      <c r="M30" s="39">
        <f>+COUNTIFS(SALES!$S$2:$S$171,'CALCULATION DSE'!$C$8:$C$80,SALES!$N$2:$N$171,'CALCULATION DSE'!$G$6:$U$6)</f>
        <v>0</v>
      </c>
      <c r="N30" s="39">
        <f>+COUNTIFS(SALES!$S$2:$S$171,'CALCULATION DSE'!$C$8:$C$80,SALES!$N$2:$N$171,'CALCULATION DSE'!$G$6:$U$6)</f>
        <v>0</v>
      </c>
      <c r="O30" s="39">
        <f>+COUNTIFS(SALES!$S$2:$S$171,'CALCULATION DSE'!$C$8:$C$80,SALES!$N$2:$N$171,'CALCULATION DSE'!$G$6:$U$6)</f>
        <v>0</v>
      </c>
      <c r="P30" s="39">
        <f>+COUNTIFS(SALES!$S$2:$S$171,'CALCULATION DSE'!$C$8:$C$80,SALES!$N$2:$N$171,'CALCULATION DSE'!$G$6:$U$6)</f>
        <v>0</v>
      </c>
      <c r="Q30" s="39">
        <f>+COUNTIFS(SALES!$S$2:$S$171,'CALCULATION DSE'!$C$8:$C$80,SALES!$N$2:$N$171,'CALCULATION DSE'!$G$6:$U$6)</f>
        <v>0</v>
      </c>
      <c r="R30" s="39">
        <f>+COUNTIFS(SALES!$S$2:$S$171,'CALCULATION DSE'!$C$8:$C$80,SALES!$N$2:$N$171,'CALCULATION DSE'!$G$6:$U$6)</f>
        <v>2</v>
      </c>
      <c r="S30" s="39">
        <f>+COUNTIFS(SALES!$S$2:$S$171,'CALCULATION DSE'!$C$8:$C$80,SALES!$N$2:$N$171,'CALCULATION DSE'!$G$6:$U$6)</f>
        <v>0</v>
      </c>
      <c r="T30" s="39">
        <f>+COUNTIFS(SALES!$S$2:$S$171,'CALCULATION DSE'!$C$8:$C$80,SALES!$N$2:$N$171,'CALCULATION DSE'!$G$6:$U$6)</f>
        <v>0</v>
      </c>
      <c r="U30" s="39">
        <f>+COUNTIFS(SALES!$S$2:$S$171,'CALCULATION DSE'!$C$8:$C$80,SALES!$N$2:$N$171,'CALCULATION DSE'!$G$6:$U$6)</f>
        <v>0</v>
      </c>
      <c r="V30" s="36">
        <f t="shared" si="43"/>
        <v>2</v>
      </c>
      <c r="W30" s="36">
        <f t="shared" si="44"/>
        <v>0</v>
      </c>
      <c r="X30" s="79">
        <f t="shared" si="45"/>
        <v>2</v>
      </c>
      <c r="Y30" s="79">
        <f t="shared" si="46"/>
        <v>0</v>
      </c>
      <c r="Z30" s="79">
        <f t="shared" si="47"/>
        <v>0</v>
      </c>
      <c r="AA30" s="79" t="str">
        <f>+VLOOKUP(C30,'EMP STATUS'!$D$3:$J$77,7,0)</f>
        <v>OLD</v>
      </c>
      <c r="AB30" s="72" t="str">
        <f t="shared" si="48"/>
        <v>YES</v>
      </c>
      <c r="AC30" s="72" t="str">
        <f t="shared" si="49"/>
        <v>NO</v>
      </c>
      <c r="AD30" s="64">
        <f t="shared" si="50"/>
        <v>0</v>
      </c>
      <c r="AE30" s="64">
        <f t="shared" si="51"/>
        <v>0</v>
      </c>
      <c r="AF30" s="64">
        <f t="shared" si="52"/>
        <v>0</v>
      </c>
      <c r="AG30" s="71">
        <f t="shared" si="53"/>
        <v>0</v>
      </c>
      <c r="AH30" s="68">
        <v>0</v>
      </c>
      <c r="AI30" s="68">
        <f t="shared" si="54"/>
        <v>0</v>
      </c>
      <c r="AJ30" s="64">
        <f t="shared" si="55"/>
        <v>0</v>
      </c>
      <c r="AK30" s="66">
        <f>+VLOOKUP(C30,'DSE WISE MGA SALE '!$B$5:$G$116,6,0)</f>
        <v>35526.027397260274</v>
      </c>
      <c r="AL30" s="67">
        <f t="shared" si="56"/>
        <v>17763.013698630137</v>
      </c>
      <c r="AM30" s="67">
        <f t="shared" si="57"/>
        <v>1065.7808219178082</v>
      </c>
      <c r="AN30" s="70">
        <f>+COUNTIFS(SALES!$S$2:$S$171,'CALCULATION DSE'!$C$7:$C$80,SALES!$AH$2:$AH$171,"&gt;0")</f>
        <v>0</v>
      </c>
      <c r="AO30" s="68">
        <f t="shared" si="58"/>
        <v>0</v>
      </c>
      <c r="AP30" s="69">
        <f>+COUNTIFS(SALES!$S$2:$S$171,'CALCULATION DSE'!$C$8:$C$80,SALES!$BH$2:$BH$171,"MSSF")</f>
        <v>0</v>
      </c>
      <c r="AQ30" s="69">
        <f t="shared" si="59"/>
        <v>2</v>
      </c>
      <c r="AR30" s="98">
        <f t="shared" si="60"/>
        <v>0</v>
      </c>
      <c r="AS30" s="68">
        <f t="shared" si="61"/>
        <v>0</v>
      </c>
      <c r="AT30" s="68">
        <f t="shared" si="62"/>
        <v>0</v>
      </c>
      <c r="AU30" s="39">
        <f>+COUNTIFS(SALES!$S$2:$S$171,'CALCULATION DSE'!$C$8:$C$80,SALES!$Y$2:$Y$171,"&gt;0")</f>
        <v>1</v>
      </c>
      <c r="AV30" s="39">
        <f t="shared" si="63"/>
        <v>1</v>
      </c>
      <c r="AW30" s="65">
        <f t="shared" si="64"/>
        <v>0.5</v>
      </c>
      <c r="AX30" s="67">
        <f t="shared" si="65"/>
        <v>0</v>
      </c>
      <c r="AY30" s="67">
        <f t="shared" si="66"/>
        <v>0</v>
      </c>
      <c r="AZ30" s="39">
        <f>+COUNTIFS(SALES!$S$2:$S$171,'CALCULATION DSE'!$C$8:$C$80,SALES!$AC$2:$AC$171,"&gt;0")</f>
        <v>0</v>
      </c>
      <c r="BA30" s="39">
        <f t="shared" si="67"/>
        <v>2</v>
      </c>
      <c r="BB30" s="65">
        <f t="shared" si="68"/>
        <v>0</v>
      </c>
      <c r="BC30" s="66">
        <f t="shared" si="69"/>
        <v>0</v>
      </c>
      <c r="BD30" s="66">
        <f t="shared" si="70"/>
        <v>0</v>
      </c>
      <c r="BE30" s="99">
        <f>+COUNTIFS(SALES!$S$2:$S$171,'CALCULATION DSE'!$C$8:$C$80,SALES!$CA$2:$CA$171,"YES")</f>
        <v>0</v>
      </c>
      <c r="BF30" s="66">
        <f t="shared" si="71"/>
        <v>0</v>
      </c>
      <c r="BG30" s="37">
        <f>+SUMIFS(SALES!$BA$2:$BA$171,SALES!$S$2:$S$171,'CALCULATION DSE'!$C$8:$C$80)</f>
        <v>0</v>
      </c>
      <c r="BH30" s="37">
        <f t="shared" si="72"/>
        <v>0</v>
      </c>
      <c r="BI30" s="65">
        <f t="shared" si="73"/>
        <v>1.5</v>
      </c>
      <c r="BJ30" s="64">
        <f t="shared" si="74"/>
        <v>0</v>
      </c>
      <c r="BK30" s="64">
        <f t="shared" si="75"/>
        <v>1065.7808219178082</v>
      </c>
      <c r="BL30" s="64">
        <v>0</v>
      </c>
      <c r="BM30" s="64">
        <f t="shared" si="76"/>
        <v>0</v>
      </c>
      <c r="BN30" s="37">
        <f t="shared" si="77"/>
        <v>1065.7808219178082</v>
      </c>
      <c r="BO30" s="38">
        <f t="shared" si="78"/>
        <v>0</v>
      </c>
      <c r="BP30" s="64">
        <f t="shared" si="79"/>
        <v>0</v>
      </c>
      <c r="BQ30" s="64">
        <f t="shared" si="80"/>
        <v>0</v>
      </c>
      <c r="BR30" s="64">
        <f t="shared" si="81"/>
        <v>0</v>
      </c>
      <c r="BS30" s="64">
        <f t="shared" si="82"/>
        <v>0</v>
      </c>
      <c r="BT30" s="64">
        <f t="shared" si="83"/>
        <v>0</v>
      </c>
      <c r="BU30" s="64">
        <f t="shared" si="84"/>
        <v>0</v>
      </c>
      <c r="BV30" s="63">
        <f t="shared" si="85"/>
        <v>1065.7808219178082</v>
      </c>
      <c r="CB30" s="50"/>
      <c r="CC30" s="50"/>
      <c r="CD30" s="62"/>
      <c r="CF30" s="46"/>
    </row>
    <row r="31" spans="1:84" customFormat="1" hidden="1" x14ac:dyDescent="0.3">
      <c r="A31" s="74" t="s">
        <v>1857</v>
      </c>
      <c r="B31" s="40" t="s">
        <v>2586</v>
      </c>
      <c r="C31" s="40" t="s">
        <v>2586</v>
      </c>
      <c r="D31" s="40" t="s">
        <v>2586</v>
      </c>
      <c r="E31" s="73" t="s">
        <v>1744</v>
      </c>
      <c r="F31" s="79" t="str">
        <f>+VLOOKUP(C31,'EMP STATUS'!$D$3:$K$77,8,0)</f>
        <v>SEN001</v>
      </c>
      <c r="G31" s="39">
        <f>+COUNTIFS(SALES!$S$2:$S$171,'CALCULATION DSE'!$C$8:$C$80,SALES!$N$2:$N$171,'CALCULATION DSE'!$G$6:$U$6)</f>
        <v>0</v>
      </c>
      <c r="H31" s="39">
        <f>+COUNTIFS(SALES!$S$2:$S$171,'CALCULATION DSE'!$C$8:$C$80,SALES!$N$2:$N$171,'CALCULATION DSE'!$G$6:$U$6)</f>
        <v>0</v>
      </c>
      <c r="I31" s="39">
        <f>+COUNTIFS(SALES!$S$2:$S$171,'CALCULATION DSE'!$C$8:$C$80,SALES!$N$2:$N$171,'CALCULATION DSE'!$G$6:$U$6)</f>
        <v>0</v>
      </c>
      <c r="J31" s="39">
        <f>+COUNTIFS(SALES!$S$2:$S$171,'CALCULATION DSE'!$C$8:$C$80,SALES!$N$2:$N$171,'CALCULATION DSE'!$G$6:$U$6)</f>
        <v>0</v>
      </c>
      <c r="K31" s="39">
        <f>+COUNTIFS(SALES!$S$2:$S$171,'CALCULATION DSE'!$C$8:$C$80,SALES!$N$2:$N$171,'CALCULATION DSE'!$G$6:$U$6)</f>
        <v>0</v>
      </c>
      <c r="L31" s="39">
        <f>+COUNTIFS(SALES!$S$2:$S$171,'CALCULATION DSE'!$C$8:$C$80,SALES!$N$2:$N$171,'CALCULATION DSE'!$G$6:$U$6)</f>
        <v>0</v>
      </c>
      <c r="M31" s="39">
        <f>+COUNTIFS(SALES!$S$2:$S$171,'CALCULATION DSE'!$C$8:$C$80,SALES!$N$2:$N$171,'CALCULATION DSE'!$G$6:$U$6)</f>
        <v>0</v>
      </c>
      <c r="N31" s="39">
        <f>+COUNTIFS(SALES!$S$2:$S$171,'CALCULATION DSE'!$C$8:$C$80,SALES!$N$2:$N$171,'CALCULATION DSE'!$G$6:$U$6)</f>
        <v>0</v>
      </c>
      <c r="O31" s="39">
        <f>+COUNTIFS(SALES!$S$2:$S$171,'CALCULATION DSE'!$C$8:$C$80,SALES!$N$2:$N$171,'CALCULATION DSE'!$G$6:$U$6)</f>
        <v>0</v>
      </c>
      <c r="P31" s="39">
        <f>+COUNTIFS(SALES!$S$2:$S$171,'CALCULATION DSE'!$C$8:$C$80,SALES!$N$2:$N$171,'CALCULATION DSE'!$G$6:$U$6)</f>
        <v>0</v>
      </c>
      <c r="Q31" s="39">
        <f>+COUNTIFS(SALES!$S$2:$S$171,'CALCULATION DSE'!$C$8:$C$80,SALES!$N$2:$N$171,'CALCULATION DSE'!$G$6:$U$6)</f>
        <v>2</v>
      </c>
      <c r="R31" s="39">
        <f>+COUNTIFS(SALES!$S$2:$S$171,'CALCULATION DSE'!$C$8:$C$80,SALES!$N$2:$N$171,'CALCULATION DSE'!$G$6:$U$6)</f>
        <v>0</v>
      </c>
      <c r="S31" s="39">
        <f>+COUNTIFS(SALES!$S$2:$S$171,'CALCULATION DSE'!$C$8:$C$80,SALES!$N$2:$N$171,'CALCULATION DSE'!$G$6:$U$6)</f>
        <v>0</v>
      </c>
      <c r="T31" s="39">
        <f>+COUNTIFS(SALES!$S$2:$S$171,'CALCULATION DSE'!$C$8:$C$80,SALES!$N$2:$N$171,'CALCULATION DSE'!$G$6:$U$6)</f>
        <v>0</v>
      </c>
      <c r="U31" s="39">
        <f>+COUNTIFS(SALES!$S$2:$S$171,'CALCULATION DSE'!$C$8:$C$80,SALES!$N$2:$N$171,'CALCULATION DSE'!$G$6:$U$6)</f>
        <v>1</v>
      </c>
      <c r="V31" s="36">
        <f t="shared" si="43"/>
        <v>3</v>
      </c>
      <c r="W31" s="36">
        <f t="shared" si="44"/>
        <v>3</v>
      </c>
      <c r="X31" s="79">
        <f t="shared" si="45"/>
        <v>0</v>
      </c>
      <c r="Y31" s="79">
        <f t="shared" si="46"/>
        <v>0</v>
      </c>
      <c r="Z31" s="79">
        <f t="shared" si="47"/>
        <v>0</v>
      </c>
      <c r="AA31" s="79" t="str">
        <f>+VLOOKUP(C31,'EMP STATUS'!$D$3:$J$77,7,0)</f>
        <v>OLD</v>
      </c>
      <c r="AB31" s="72" t="str">
        <f t="shared" si="48"/>
        <v>YES</v>
      </c>
      <c r="AC31" s="72" t="str">
        <f t="shared" si="49"/>
        <v>NO</v>
      </c>
      <c r="AD31" s="64">
        <f t="shared" si="50"/>
        <v>0</v>
      </c>
      <c r="AE31" s="64">
        <f t="shared" si="51"/>
        <v>0</v>
      </c>
      <c r="AF31" s="64">
        <f t="shared" si="52"/>
        <v>0</v>
      </c>
      <c r="AG31" s="71">
        <f t="shared" si="53"/>
        <v>0</v>
      </c>
      <c r="AH31" s="68">
        <v>0</v>
      </c>
      <c r="AI31" s="68">
        <f t="shared" si="54"/>
        <v>0</v>
      </c>
      <c r="AJ31" s="64">
        <f t="shared" si="55"/>
        <v>0</v>
      </c>
      <c r="AK31" s="66">
        <f>+VLOOKUP(C31,'DSE WISE MGA SALE '!$B$5:$G$116,6,0)</f>
        <v>45347.260273972606</v>
      </c>
      <c r="AL31" s="67">
        <f t="shared" si="56"/>
        <v>15115.753424657536</v>
      </c>
      <c r="AM31" s="67">
        <f t="shared" si="57"/>
        <v>0</v>
      </c>
      <c r="AN31" s="70">
        <f>+COUNTIFS(SALES!$S$2:$S$171,'CALCULATION DSE'!$C$7:$C$80,SALES!$AH$2:$AH$171,"&gt;0")</f>
        <v>0</v>
      </c>
      <c r="AO31" s="68">
        <f t="shared" si="58"/>
        <v>0</v>
      </c>
      <c r="AP31" s="69">
        <f>+COUNTIFS(SALES!$S$2:$S$171,'CALCULATION DSE'!$C$8:$C$80,SALES!$BH$2:$BH$171,"MSSF")</f>
        <v>3</v>
      </c>
      <c r="AQ31" s="69">
        <f t="shared" si="59"/>
        <v>0</v>
      </c>
      <c r="AR31" s="98">
        <f t="shared" si="60"/>
        <v>1</v>
      </c>
      <c r="AS31" s="68">
        <f t="shared" si="61"/>
        <v>750</v>
      </c>
      <c r="AT31" s="68">
        <f t="shared" si="62"/>
        <v>0</v>
      </c>
      <c r="AU31" s="39">
        <f>+COUNTIFS(SALES!$S$2:$S$171,'CALCULATION DSE'!$C$8:$C$80,SALES!$Y$2:$Y$171,"&gt;0")</f>
        <v>3</v>
      </c>
      <c r="AV31" s="39">
        <f t="shared" si="63"/>
        <v>0</v>
      </c>
      <c r="AW31" s="65">
        <f t="shared" si="64"/>
        <v>1</v>
      </c>
      <c r="AX31" s="67">
        <f t="shared" si="65"/>
        <v>3000</v>
      </c>
      <c r="AY31" s="67">
        <f t="shared" si="66"/>
        <v>0</v>
      </c>
      <c r="AZ31" s="39">
        <f>+COUNTIFS(SALES!$S$2:$S$171,'CALCULATION DSE'!$C$8:$C$80,SALES!$AC$2:$AC$171,"&gt;0")</f>
        <v>0</v>
      </c>
      <c r="BA31" s="39">
        <f t="shared" si="67"/>
        <v>3</v>
      </c>
      <c r="BB31" s="65">
        <f t="shared" si="68"/>
        <v>0</v>
      </c>
      <c r="BC31" s="66">
        <f t="shared" si="69"/>
        <v>0</v>
      </c>
      <c r="BD31" s="66">
        <f t="shared" si="70"/>
        <v>0</v>
      </c>
      <c r="BE31" s="99">
        <f>+COUNTIFS(SALES!$S$2:$S$171,'CALCULATION DSE'!$C$8:$C$80,SALES!$CA$2:$CA$171,"YES")</f>
        <v>0</v>
      </c>
      <c r="BF31" s="66">
        <f t="shared" si="71"/>
        <v>0</v>
      </c>
      <c r="BG31" s="37">
        <f>+SUMIFS(SALES!$BA$2:$BA$171,SALES!$S$2:$S$171,'CALCULATION DSE'!$C$8:$C$80)</f>
        <v>26479</v>
      </c>
      <c r="BH31" s="37">
        <f t="shared" si="72"/>
        <v>8826.3333333333339</v>
      </c>
      <c r="BI31" s="65">
        <f t="shared" si="73"/>
        <v>0.6</v>
      </c>
      <c r="BJ31" s="64">
        <f t="shared" si="74"/>
        <v>0</v>
      </c>
      <c r="BK31" s="64">
        <f t="shared" si="75"/>
        <v>3750</v>
      </c>
      <c r="BL31" s="64">
        <v>0</v>
      </c>
      <c r="BM31" s="64">
        <f t="shared" si="76"/>
        <v>0</v>
      </c>
      <c r="BN31" s="37">
        <f t="shared" si="77"/>
        <v>3750</v>
      </c>
      <c r="BO31" s="38">
        <f t="shared" si="78"/>
        <v>0</v>
      </c>
      <c r="BP31" s="64">
        <f t="shared" si="79"/>
        <v>1</v>
      </c>
      <c r="BQ31" s="64">
        <f t="shared" si="80"/>
        <v>1000</v>
      </c>
      <c r="BR31" s="64">
        <f t="shared" si="81"/>
        <v>0</v>
      </c>
      <c r="BS31" s="64">
        <f t="shared" si="82"/>
        <v>0</v>
      </c>
      <c r="BT31" s="64">
        <f t="shared" si="83"/>
        <v>0</v>
      </c>
      <c r="BU31" s="64">
        <f t="shared" si="84"/>
        <v>0</v>
      </c>
      <c r="BV31" s="63">
        <f t="shared" si="85"/>
        <v>4750</v>
      </c>
      <c r="CB31" s="50"/>
      <c r="CC31" s="50"/>
      <c r="CD31" s="62"/>
      <c r="CF31" s="46"/>
    </row>
    <row r="32" spans="1:84" hidden="1" x14ac:dyDescent="0.3">
      <c r="A32" s="72" t="s">
        <v>533</v>
      </c>
      <c r="B32" s="145" t="s">
        <v>986</v>
      </c>
      <c r="C32" s="145" t="s">
        <v>2672</v>
      </c>
      <c r="D32" s="145" t="s">
        <v>2463</v>
      </c>
      <c r="E32" s="145" t="s">
        <v>2879</v>
      </c>
      <c r="F32" s="79" t="str">
        <f>+VLOOKUP(C32,'EMP STATUS'!$D$3:$K$77,8,0)</f>
        <v>BAR013</v>
      </c>
      <c r="G32" s="72">
        <f>+COUNTIFS(SALES!$S$2:$S$171,'CALCULATION DSE'!$C$8:$C$80,SALES!$N$2:$N$171,'CALCULATION DSE'!$G$6:$U$6)</f>
        <v>1</v>
      </c>
      <c r="H32" s="72">
        <f>+COUNTIFS(SALES!$S$2:$S$171,'CALCULATION DSE'!$C$8:$C$80,SALES!$N$2:$N$171,'CALCULATION DSE'!$G$6:$U$6)</f>
        <v>0</v>
      </c>
      <c r="I32" s="72">
        <f>+COUNTIFS(SALES!$S$2:$S$171,'CALCULATION DSE'!$C$8:$C$80,SALES!$N$2:$N$171,'CALCULATION DSE'!$G$6:$U$6)</f>
        <v>0</v>
      </c>
      <c r="J32" s="72">
        <f>+COUNTIFS(SALES!$S$2:$S$171,'CALCULATION DSE'!$C$8:$C$80,SALES!$N$2:$N$171,'CALCULATION DSE'!$G$6:$U$6)</f>
        <v>0</v>
      </c>
      <c r="K32" s="72">
        <f>+COUNTIFS(SALES!$S$2:$S$171,'CALCULATION DSE'!$C$8:$C$80,SALES!$N$2:$N$171,'CALCULATION DSE'!$G$6:$U$6)</f>
        <v>0</v>
      </c>
      <c r="L32" s="72">
        <f>+COUNTIFS(SALES!$S$2:$S$171,'CALCULATION DSE'!$C$8:$C$80,SALES!$N$2:$N$171,'CALCULATION DSE'!$G$6:$U$6)</f>
        <v>0</v>
      </c>
      <c r="M32" s="72">
        <f>+COUNTIFS(SALES!$S$2:$S$171,'CALCULATION DSE'!$C$8:$C$80,SALES!$N$2:$N$171,'CALCULATION DSE'!$G$6:$U$6)</f>
        <v>0</v>
      </c>
      <c r="N32" s="72">
        <f>+COUNTIFS(SALES!$S$2:$S$171,'CALCULATION DSE'!$C$8:$C$80,SALES!$N$2:$N$171,'CALCULATION DSE'!$G$6:$U$6)</f>
        <v>0</v>
      </c>
      <c r="O32" s="72">
        <f>+COUNTIFS(SALES!$S$2:$S$171,'CALCULATION DSE'!$C$8:$C$80,SALES!$N$2:$N$171,'CALCULATION DSE'!$G$6:$U$6)</f>
        <v>0</v>
      </c>
      <c r="P32" s="72">
        <f>+COUNTIFS(SALES!$S$2:$S$171,'CALCULATION DSE'!$C$8:$C$80,SALES!$N$2:$N$171,'CALCULATION DSE'!$G$6:$U$6)</f>
        <v>0</v>
      </c>
      <c r="Q32" s="72">
        <f>+COUNTIFS(SALES!$S$2:$S$171,'CALCULATION DSE'!$C$8:$C$80,SALES!$N$2:$N$171,'CALCULATION DSE'!$G$6:$U$6)</f>
        <v>1</v>
      </c>
      <c r="R32" s="72">
        <f>+COUNTIFS(SALES!$S$2:$S$171,'CALCULATION DSE'!$C$8:$C$80,SALES!$N$2:$N$171,'CALCULATION DSE'!$G$6:$U$6)</f>
        <v>0</v>
      </c>
      <c r="S32" s="72">
        <f>+COUNTIFS(SALES!$S$2:$S$171,'CALCULATION DSE'!$C$8:$C$80,SALES!$N$2:$N$171,'CALCULATION DSE'!$G$6:$U$6)</f>
        <v>0</v>
      </c>
      <c r="T32" s="72">
        <f>+COUNTIFS(SALES!$S$2:$S$171,'CALCULATION DSE'!$C$8:$C$80,SALES!$N$2:$N$171,'CALCULATION DSE'!$G$6:$U$6)</f>
        <v>0</v>
      </c>
      <c r="U32" s="72">
        <f>+COUNTIFS(SALES!$S$2:$S$171,'CALCULATION DSE'!$C$8:$C$80,SALES!$N$2:$N$171,'CALCULATION DSE'!$G$6:$U$6)</f>
        <v>0</v>
      </c>
      <c r="V32" s="146">
        <f t="shared" si="43"/>
        <v>2</v>
      </c>
      <c r="W32" s="146">
        <f t="shared" si="44"/>
        <v>2</v>
      </c>
      <c r="X32" s="79">
        <f t="shared" si="45"/>
        <v>0</v>
      </c>
      <c r="Y32" s="79">
        <f t="shared" si="46"/>
        <v>0</v>
      </c>
      <c r="Z32" s="79">
        <f t="shared" si="47"/>
        <v>1</v>
      </c>
      <c r="AA32" s="79" t="str">
        <f>+VLOOKUP(C32,'EMP STATUS'!$D$3:$J$77,7,0)</f>
        <v>OLD</v>
      </c>
      <c r="AB32" s="72" t="str">
        <f t="shared" si="48"/>
        <v>YES</v>
      </c>
      <c r="AC32" s="72" t="str">
        <f t="shared" si="49"/>
        <v>YES</v>
      </c>
      <c r="AD32" s="147">
        <f t="shared" si="50"/>
        <v>0</v>
      </c>
      <c r="AE32" s="147">
        <f t="shared" si="51"/>
        <v>1000</v>
      </c>
      <c r="AF32" s="147">
        <f t="shared" si="52"/>
        <v>0</v>
      </c>
      <c r="AG32" s="148">
        <f t="shared" si="53"/>
        <v>1000</v>
      </c>
      <c r="AH32" s="149">
        <v>0</v>
      </c>
      <c r="AI32" s="149">
        <f t="shared" si="54"/>
        <v>0</v>
      </c>
      <c r="AJ32" s="147">
        <f t="shared" si="55"/>
        <v>0</v>
      </c>
      <c r="AK32" s="99">
        <f>+VLOOKUP(C32,'DSE WISE MGA SALE '!$B$5:$G$116,6,0)</f>
        <v>39719.863013698632</v>
      </c>
      <c r="AL32" s="99">
        <f t="shared" si="56"/>
        <v>19859.931506849316</v>
      </c>
      <c r="AM32" s="99">
        <f t="shared" si="57"/>
        <v>1390.1952054794522</v>
      </c>
      <c r="AN32" s="150">
        <f>+COUNTIFS(SALES!$S$2:$S$171,'CALCULATION DSE'!$C$7:$C$80,SALES!$AH$2:$AH$171,"&gt;0")</f>
        <v>0</v>
      </c>
      <c r="AO32" s="149">
        <f t="shared" si="58"/>
        <v>0</v>
      </c>
      <c r="AP32" s="151">
        <f>+COUNTIFS(SALES!$S$2:$S$171,'CALCULATION DSE'!$C$8:$C$80,SALES!$BH$2:$BH$171,"MSSF")</f>
        <v>2</v>
      </c>
      <c r="AQ32" s="151">
        <f t="shared" si="59"/>
        <v>0</v>
      </c>
      <c r="AR32" s="152">
        <f t="shared" si="60"/>
        <v>1</v>
      </c>
      <c r="AS32" s="149">
        <f t="shared" si="61"/>
        <v>500</v>
      </c>
      <c r="AT32" s="149">
        <f t="shared" si="62"/>
        <v>0</v>
      </c>
      <c r="AU32" s="72">
        <f>+COUNTIFS(SALES!$S$2:$S$171,'CALCULATION DSE'!$C$8:$C$80,SALES!$Y$2:$Y$171,"&gt;0")</f>
        <v>1</v>
      </c>
      <c r="AV32" s="72">
        <f t="shared" si="63"/>
        <v>1</v>
      </c>
      <c r="AW32" s="153">
        <f t="shared" si="64"/>
        <v>0.5</v>
      </c>
      <c r="AX32" s="99">
        <f t="shared" si="65"/>
        <v>0</v>
      </c>
      <c r="AY32" s="99">
        <f t="shared" si="66"/>
        <v>400</v>
      </c>
      <c r="AZ32" s="72">
        <f>+COUNTIFS(SALES!$S$2:$S$171,'CALCULATION DSE'!$C$8:$C$80,SALES!$AC$2:$AC$171,"&gt;0")</f>
        <v>1</v>
      </c>
      <c r="BA32" s="72">
        <f t="shared" si="67"/>
        <v>1</v>
      </c>
      <c r="BB32" s="153">
        <f t="shared" si="68"/>
        <v>0.5</v>
      </c>
      <c r="BC32" s="99">
        <f t="shared" si="69"/>
        <v>0</v>
      </c>
      <c r="BD32" s="99">
        <f t="shared" si="70"/>
        <v>250</v>
      </c>
      <c r="BE32" s="99">
        <f>+COUNTIFS(SALES!$S$2:$S$171,'CALCULATION DSE'!$C$8:$C$80,SALES!$CA$2:$CA$171,"YES")</f>
        <v>0</v>
      </c>
      <c r="BF32" s="99">
        <f t="shared" si="71"/>
        <v>0</v>
      </c>
      <c r="BG32" s="148">
        <f>+SUMIFS(SALES!$BA$2:$BA$171,SALES!$S$2:$S$171,'CALCULATION DSE'!$C$8:$C$80)</f>
        <v>14500</v>
      </c>
      <c r="BH32" s="148">
        <f t="shared" si="72"/>
        <v>7250</v>
      </c>
      <c r="BI32" s="153">
        <f t="shared" si="73"/>
        <v>0.8</v>
      </c>
      <c r="BJ32" s="147">
        <f t="shared" si="74"/>
        <v>800</v>
      </c>
      <c r="BK32" s="147">
        <f t="shared" si="75"/>
        <v>2040.1952054794519</v>
      </c>
      <c r="BL32" s="147">
        <v>0</v>
      </c>
      <c r="BM32" s="147">
        <f t="shared" si="76"/>
        <v>0</v>
      </c>
      <c r="BN32" s="148">
        <f t="shared" si="77"/>
        <v>2040.1952054794519</v>
      </c>
      <c r="BO32" s="99">
        <f t="shared" si="78"/>
        <v>0</v>
      </c>
      <c r="BP32" s="147">
        <f t="shared" si="79"/>
        <v>0</v>
      </c>
      <c r="BQ32" s="147">
        <f t="shared" si="80"/>
        <v>0</v>
      </c>
      <c r="BR32" s="147">
        <f t="shared" si="81"/>
        <v>0</v>
      </c>
      <c r="BS32" s="147">
        <f t="shared" si="82"/>
        <v>0</v>
      </c>
      <c r="BT32" s="147">
        <f t="shared" si="83"/>
        <v>1</v>
      </c>
      <c r="BU32" s="147">
        <f t="shared" si="84"/>
        <v>1000</v>
      </c>
      <c r="BV32" s="154">
        <f t="shared" si="85"/>
        <v>3040.1952054794519</v>
      </c>
      <c r="CB32" s="155"/>
      <c r="CC32" s="155"/>
      <c r="CD32" s="156"/>
      <c r="CF32" s="157"/>
    </row>
    <row r="33" spans="1:84" customFormat="1" hidden="1" x14ac:dyDescent="0.3">
      <c r="A33" s="74" t="s">
        <v>3075</v>
      </c>
      <c r="B33" s="40" t="s">
        <v>986</v>
      </c>
      <c r="C33" s="40" t="s">
        <v>2815</v>
      </c>
      <c r="D33" s="40" t="s">
        <v>2463</v>
      </c>
      <c r="E33" s="73" t="s">
        <v>2879</v>
      </c>
      <c r="F33" s="79" t="str">
        <f>+VLOOKUP(C33,'EMP STATUS'!$D$3:$K$77,8,0)</f>
        <v>1797</v>
      </c>
      <c r="G33" s="39">
        <f>+COUNTIFS(SALES!$S$2:$S$171,'CALCULATION DSE'!$C$8:$C$80,SALES!$N$2:$N$171,'CALCULATION DSE'!$G$6:$U$6)</f>
        <v>0</v>
      </c>
      <c r="H33" s="39">
        <f>+COUNTIFS(SALES!$S$2:$S$171,'CALCULATION DSE'!$C$8:$C$80,SALES!$N$2:$N$171,'CALCULATION DSE'!$G$6:$U$6)</f>
        <v>0</v>
      </c>
      <c r="I33" s="39">
        <f>+COUNTIFS(SALES!$S$2:$S$171,'CALCULATION DSE'!$C$8:$C$80,SALES!$N$2:$N$171,'CALCULATION DSE'!$G$6:$U$6)</f>
        <v>0</v>
      </c>
      <c r="J33" s="39">
        <f>+COUNTIFS(SALES!$S$2:$S$171,'CALCULATION DSE'!$C$8:$C$80,SALES!$N$2:$N$171,'CALCULATION DSE'!$G$6:$U$6)</f>
        <v>0</v>
      </c>
      <c r="K33" s="39">
        <f>+COUNTIFS(SALES!$S$2:$S$171,'CALCULATION DSE'!$C$8:$C$80,SALES!$N$2:$N$171,'CALCULATION DSE'!$G$6:$U$6)</f>
        <v>0</v>
      </c>
      <c r="L33" s="39">
        <f>+COUNTIFS(SALES!$S$2:$S$171,'CALCULATION DSE'!$C$8:$C$80,SALES!$N$2:$N$171,'CALCULATION DSE'!$G$6:$U$6)</f>
        <v>0</v>
      </c>
      <c r="M33" s="39">
        <f>+COUNTIFS(SALES!$S$2:$S$171,'CALCULATION DSE'!$C$8:$C$80,SALES!$N$2:$N$171,'CALCULATION DSE'!$G$6:$U$6)</f>
        <v>0</v>
      </c>
      <c r="N33" s="39">
        <f>+COUNTIFS(SALES!$S$2:$S$171,'CALCULATION DSE'!$C$8:$C$80,SALES!$N$2:$N$171,'CALCULATION DSE'!$G$6:$U$6)</f>
        <v>0</v>
      </c>
      <c r="O33" s="39">
        <f>+COUNTIFS(SALES!$S$2:$S$171,'CALCULATION DSE'!$C$8:$C$80,SALES!$N$2:$N$171,'CALCULATION DSE'!$G$6:$U$6)</f>
        <v>0</v>
      </c>
      <c r="P33" s="39">
        <f>+COUNTIFS(SALES!$S$2:$S$171,'CALCULATION DSE'!$C$8:$C$80,SALES!$N$2:$N$171,'CALCULATION DSE'!$G$6:$U$6)</f>
        <v>0</v>
      </c>
      <c r="Q33" s="39">
        <f>+COUNTIFS(SALES!$S$2:$S$171,'CALCULATION DSE'!$C$8:$C$80,SALES!$N$2:$N$171,'CALCULATION DSE'!$G$6:$U$6)</f>
        <v>0</v>
      </c>
      <c r="R33" s="39">
        <f>+COUNTIFS(SALES!$S$2:$S$171,'CALCULATION DSE'!$C$8:$C$80,SALES!$N$2:$N$171,'CALCULATION DSE'!$G$6:$U$6)</f>
        <v>1</v>
      </c>
      <c r="S33" s="39">
        <f>+COUNTIFS(SALES!$S$2:$S$171,'CALCULATION DSE'!$C$8:$C$80,SALES!$N$2:$N$171,'CALCULATION DSE'!$G$6:$U$6)</f>
        <v>0</v>
      </c>
      <c r="T33" s="39">
        <f>+COUNTIFS(SALES!$S$2:$S$171,'CALCULATION DSE'!$C$8:$C$80,SALES!$N$2:$N$171,'CALCULATION DSE'!$G$6:$U$6)</f>
        <v>0</v>
      </c>
      <c r="U33" s="39">
        <f>+COUNTIFS(SALES!$S$2:$S$171,'CALCULATION DSE'!$C$8:$C$80,SALES!$N$2:$N$171,'CALCULATION DSE'!$G$6:$U$6)</f>
        <v>0</v>
      </c>
      <c r="V33" s="36">
        <f t="shared" si="43"/>
        <v>1</v>
      </c>
      <c r="W33" s="36">
        <f t="shared" si="44"/>
        <v>0</v>
      </c>
      <c r="X33" s="79">
        <f t="shared" si="45"/>
        <v>1</v>
      </c>
      <c r="Y33" s="79">
        <f t="shared" si="46"/>
        <v>0</v>
      </c>
      <c r="Z33" s="79">
        <f t="shared" si="47"/>
        <v>0</v>
      </c>
      <c r="AA33" s="79" t="str">
        <f>+VLOOKUP(C33,'EMP STATUS'!$D$3:$J$77,7,0)</f>
        <v>OLD</v>
      </c>
      <c r="AB33" s="72" t="str">
        <f t="shared" si="48"/>
        <v>YES</v>
      </c>
      <c r="AC33" s="72" t="str">
        <f t="shared" si="49"/>
        <v>NO</v>
      </c>
      <c r="AD33" s="64">
        <f t="shared" si="50"/>
        <v>0</v>
      </c>
      <c r="AE33" s="64">
        <f t="shared" si="51"/>
        <v>0</v>
      </c>
      <c r="AF33" s="64">
        <f t="shared" si="52"/>
        <v>0</v>
      </c>
      <c r="AG33" s="71">
        <f t="shared" si="53"/>
        <v>0</v>
      </c>
      <c r="AH33" s="68">
        <v>0</v>
      </c>
      <c r="AI33" s="68">
        <f t="shared" si="54"/>
        <v>0</v>
      </c>
      <c r="AJ33" s="64">
        <f t="shared" si="55"/>
        <v>0</v>
      </c>
      <c r="AK33" s="66">
        <f>+VLOOKUP(C33,'DSE WISE MGA SALE '!$B$5:$G$116,6,0)</f>
        <v>27397.260273972603</v>
      </c>
      <c r="AL33" s="67">
        <f t="shared" si="56"/>
        <v>27397.260273972603</v>
      </c>
      <c r="AM33" s="67">
        <f t="shared" si="57"/>
        <v>0</v>
      </c>
      <c r="AN33" s="70">
        <f>+COUNTIFS(SALES!$S$2:$S$171,'CALCULATION DSE'!$C$7:$C$80,SALES!$AH$2:$AH$171,"&gt;0")</f>
        <v>0</v>
      </c>
      <c r="AO33" s="68">
        <f t="shared" si="58"/>
        <v>0</v>
      </c>
      <c r="AP33" s="69">
        <f>+COUNTIFS(SALES!$S$2:$S$171,'CALCULATION DSE'!$C$8:$C$80,SALES!$BH$2:$BH$171,"MSSF")</f>
        <v>1</v>
      </c>
      <c r="AQ33" s="69">
        <f t="shared" si="59"/>
        <v>0</v>
      </c>
      <c r="AR33" s="98">
        <f t="shared" si="60"/>
        <v>1</v>
      </c>
      <c r="AS33" s="68">
        <f t="shared" si="61"/>
        <v>0</v>
      </c>
      <c r="AT33" s="68">
        <f t="shared" si="62"/>
        <v>0</v>
      </c>
      <c r="AU33" s="39">
        <f>+COUNTIFS(SALES!$S$2:$S$171,'CALCULATION DSE'!$C$8:$C$80,SALES!$Y$2:$Y$171,"&gt;0")</f>
        <v>1</v>
      </c>
      <c r="AV33" s="39">
        <f t="shared" si="63"/>
        <v>0</v>
      </c>
      <c r="AW33" s="65">
        <f t="shared" si="64"/>
        <v>1</v>
      </c>
      <c r="AX33" s="67">
        <f t="shared" si="65"/>
        <v>0</v>
      </c>
      <c r="AY33" s="67">
        <f t="shared" si="66"/>
        <v>0</v>
      </c>
      <c r="AZ33" s="39">
        <f>+COUNTIFS(SALES!$S$2:$S$171,'CALCULATION DSE'!$C$8:$C$80,SALES!$AC$2:$AC$171,"&gt;0")</f>
        <v>0</v>
      </c>
      <c r="BA33" s="39">
        <f t="shared" si="67"/>
        <v>1</v>
      </c>
      <c r="BB33" s="65">
        <f t="shared" si="68"/>
        <v>0</v>
      </c>
      <c r="BC33" s="66">
        <f t="shared" si="69"/>
        <v>0</v>
      </c>
      <c r="BD33" s="66">
        <f t="shared" si="70"/>
        <v>0</v>
      </c>
      <c r="BE33" s="99">
        <f>+COUNTIFS(SALES!$S$2:$S$171,'CALCULATION DSE'!$C$8:$C$80,SALES!$CA$2:$CA$171,"YES")</f>
        <v>0</v>
      </c>
      <c r="BF33" s="66">
        <f t="shared" si="71"/>
        <v>0</v>
      </c>
      <c r="BG33" s="37">
        <f>+SUMIFS(SALES!$BA$2:$BA$171,SALES!$S$2:$S$171,'CALCULATION DSE'!$C$8:$C$80)</f>
        <v>0</v>
      </c>
      <c r="BH33" s="37">
        <f t="shared" si="72"/>
        <v>0</v>
      </c>
      <c r="BI33" s="65">
        <f t="shared" si="73"/>
        <v>1.5</v>
      </c>
      <c r="BJ33" s="64">
        <f t="shared" si="74"/>
        <v>0</v>
      </c>
      <c r="BK33" s="64">
        <f t="shared" si="75"/>
        <v>0</v>
      </c>
      <c r="BL33" s="64">
        <v>0</v>
      </c>
      <c r="BM33" s="64">
        <f t="shared" si="76"/>
        <v>0</v>
      </c>
      <c r="BN33" s="37">
        <f t="shared" si="77"/>
        <v>0</v>
      </c>
      <c r="BO33" s="38">
        <f t="shared" si="78"/>
        <v>0</v>
      </c>
      <c r="BP33" s="64">
        <f t="shared" si="79"/>
        <v>0</v>
      </c>
      <c r="BQ33" s="64">
        <f t="shared" si="80"/>
        <v>0</v>
      </c>
      <c r="BR33" s="64">
        <f t="shared" si="81"/>
        <v>0</v>
      </c>
      <c r="BS33" s="64">
        <f t="shared" si="82"/>
        <v>0</v>
      </c>
      <c r="BT33" s="64">
        <f t="shared" si="83"/>
        <v>0</v>
      </c>
      <c r="BU33" s="64">
        <f t="shared" si="84"/>
        <v>0</v>
      </c>
      <c r="BV33" s="63">
        <f t="shared" si="85"/>
        <v>0</v>
      </c>
      <c r="CB33" s="50"/>
      <c r="CC33" s="50"/>
      <c r="CD33" s="62"/>
      <c r="CF33" s="46"/>
    </row>
    <row r="34" spans="1:84" customFormat="1" hidden="1" x14ac:dyDescent="0.3">
      <c r="A34" s="74" t="s">
        <v>3076</v>
      </c>
      <c r="B34" s="40" t="s">
        <v>2280</v>
      </c>
      <c r="C34" s="40" t="s">
        <v>2857</v>
      </c>
      <c r="D34" s="40" t="s">
        <v>2280</v>
      </c>
      <c r="E34" s="73" t="s">
        <v>2877</v>
      </c>
      <c r="F34" s="79" t="str">
        <f>+VLOOKUP(C34,'EMP STATUS'!$D$3:$K$77,8,0)</f>
        <v>2127</v>
      </c>
      <c r="G34" s="39">
        <f>+COUNTIFS(SALES!$S$2:$S$171,'CALCULATION DSE'!$C$8:$C$80,SALES!$N$2:$N$171,'CALCULATION DSE'!$G$6:$U$6)</f>
        <v>0</v>
      </c>
      <c r="H34" s="39">
        <f>+COUNTIFS(SALES!$S$2:$S$171,'CALCULATION DSE'!$C$8:$C$80,SALES!$N$2:$N$171,'CALCULATION DSE'!$G$6:$U$6)</f>
        <v>0</v>
      </c>
      <c r="I34" s="39">
        <f>+COUNTIFS(SALES!$S$2:$S$171,'CALCULATION DSE'!$C$8:$C$80,SALES!$N$2:$N$171,'CALCULATION DSE'!$G$6:$U$6)</f>
        <v>0</v>
      </c>
      <c r="J34" s="39">
        <f>+COUNTIFS(SALES!$S$2:$S$171,'CALCULATION DSE'!$C$8:$C$80,SALES!$N$2:$N$171,'CALCULATION DSE'!$G$6:$U$6)</f>
        <v>0</v>
      </c>
      <c r="K34" s="39">
        <f>+COUNTIFS(SALES!$S$2:$S$171,'CALCULATION DSE'!$C$8:$C$80,SALES!$N$2:$N$171,'CALCULATION DSE'!$G$6:$U$6)</f>
        <v>0</v>
      </c>
      <c r="L34" s="39">
        <f>+COUNTIFS(SALES!$S$2:$S$171,'CALCULATION DSE'!$C$8:$C$80,SALES!$N$2:$N$171,'CALCULATION DSE'!$G$6:$U$6)</f>
        <v>0</v>
      </c>
      <c r="M34" s="39">
        <f>+COUNTIFS(SALES!$S$2:$S$171,'CALCULATION DSE'!$C$8:$C$80,SALES!$N$2:$N$171,'CALCULATION DSE'!$G$6:$U$6)</f>
        <v>0</v>
      </c>
      <c r="N34" s="39">
        <f>+COUNTIFS(SALES!$S$2:$S$171,'CALCULATION DSE'!$C$8:$C$80,SALES!$N$2:$N$171,'CALCULATION DSE'!$G$6:$U$6)</f>
        <v>0</v>
      </c>
      <c r="O34" s="39">
        <f>+COUNTIFS(SALES!$S$2:$S$171,'CALCULATION DSE'!$C$8:$C$80,SALES!$N$2:$N$171,'CALCULATION DSE'!$G$6:$U$6)</f>
        <v>0</v>
      </c>
      <c r="P34" s="39">
        <f>+COUNTIFS(SALES!$S$2:$S$171,'CALCULATION DSE'!$C$8:$C$80,SALES!$N$2:$N$171,'CALCULATION DSE'!$G$6:$U$6)</f>
        <v>0</v>
      </c>
      <c r="Q34" s="39">
        <f>+COUNTIFS(SALES!$S$2:$S$171,'CALCULATION DSE'!$C$8:$C$80,SALES!$N$2:$N$171,'CALCULATION DSE'!$G$6:$U$6)</f>
        <v>0</v>
      </c>
      <c r="R34" s="39">
        <f>+COUNTIFS(SALES!$S$2:$S$171,'CALCULATION DSE'!$C$8:$C$80,SALES!$N$2:$N$171,'CALCULATION DSE'!$G$6:$U$6)</f>
        <v>0</v>
      </c>
      <c r="S34" s="39">
        <f>+COUNTIFS(SALES!$S$2:$S$171,'CALCULATION DSE'!$C$8:$C$80,SALES!$N$2:$N$171,'CALCULATION DSE'!$G$6:$U$6)</f>
        <v>0</v>
      </c>
      <c r="T34" s="39">
        <f>+COUNTIFS(SALES!$S$2:$S$171,'CALCULATION DSE'!$C$8:$C$80,SALES!$N$2:$N$171,'CALCULATION DSE'!$G$6:$U$6)</f>
        <v>0</v>
      </c>
      <c r="U34" s="39">
        <f>+COUNTIFS(SALES!$S$2:$S$171,'CALCULATION DSE'!$C$8:$C$80,SALES!$N$2:$N$171,'CALCULATION DSE'!$G$6:$U$6)</f>
        <v>0</v>
      </c>
      <c r="V34" s="36">
        <f t="shared" si="43"/>
        <v>0</v>
      </c>
      <c r="W34" s="36">
        <f t="shared" si="44"/>
        <v>0</v>
      </c>
      <c r="X34" s="79">
        <f t="shared" si="45"/>
        <v>0</v>
      </c>
      <c r="Y34" s="79">
        <f t="shared" si="46"/>
        <v>0</v>
      </c>
      <c r="Z34" s="79">
        <f t="shared" si="47"/>
        <v>0</v>
      </c>
      <c r="AA34" s="79" t="str">
        <f>+VLOOKUP(C34,'EMP STATUS'!$D$3:$J$77,7,0)</f>
        <v>OLD</v>
      </c>
      <c r="AB34" s="72" t="str">
        <f t="shared" si="48"/>
        <v>YES</v>
      </c>
      <c r="AC34" s="72" t="str">
        <f t="shared" si="49"/>
        <v>NO</v>
      </c>
      <c r="AD34" s="64">
        <f t="shared" si="50"/>
        <v>0</v>
      </c>
      <c r="AE34" s="64">
        <f t="shared" si="51"/>
        <v>0</v>
      </c>
      <c r="AF34" s="64">
        <f t="shared" si="52"/>
        <v>0</v>
      </c>
      <c r="AG34" s="71">
        <f t="shared" si="53"/>
        <v>0</v>
      </c>
      <c r="AH34" s="68">
        <v>0</v>
      </c>
      <c r="AI34" s="68">
        <f t="shared" si="54"/>
        <v>0</v>
      </c>
      <c r="AJ34" s="64">
        <f t="shared" si="55"/>
        <v>0</v>
      </c>
      <c r="AK34" s="66">
        <f>+VLOOKUP(C34,'DSE WISE MGA SALE '!$B$5:$G$116,6,0)</f>
        <v>0</v>
      </c>
      <c r="AL34" s="67">
        <f t="shared" si="56"/>
        <v>0</v>
      </c>
      <c r="AM34" s="67">
        <f t="shared" si="57"/>
        <v>0</v>
      </c>
      <c r="AN34" s="70">
        <f>+COUNTIFS(SALES!$S$2:$S$171,'CALCULATION DSE'!$C$7:$C$80,SALES!$AH$2:$AH$171,"&gt;0")</f>
        <v>0</v>
      </c>
      <c r="AO34" s="68">
        <f t="shared" si="58"/>
        <v>0</v>
      </c>
      <c r="AP34" s="69">
        <f>+COUNTIFS(SALES!$S$2:$S$171,'CALCULATION DSE'!$C$8:$C$80,SALES!$BH$2:$BH$171,"MSSF")</f>
        <v>0</v>
      </c>
      <c r="AQ34" s="69">
        <f t="shared" si="59"/>
        <v>0</v>
      </c>
      <c r="AR34" s="98">
        <f t="shared" si="60"/>
        <v>0</v>
      </c>
      <c r="AS34" s="68">
        <f t="shared" si="61"/>
        <v>0</v>
      </c>
      <c r="AT34" s="68">
        <f t="shared" si="62"/>
        <v>0</v>
      </c>
      <c r="AU34" s="39">
        <f>+COUNTIFS(SALES!$S$2:$S$171,'CALCULATION DSE'!$C$8:$C$80,SALES!$Y$2:$Y$171,"&gt;0")</f>
        <v>0</v>
      </c>
      <c r="AV34" s="39">
        <f t="shared" si="63"/>
        <v>0</v>
      </c>
      <c r="AW34" s="65">
        <f t="shared" si="64"/>
        <v>0</v>
      </c>
      <c r="AX34" s="67">
        <f t="shared" si="65"/>
        <v>0</v>
      </c>
      <c r="AY34" s="67">
        <f t="shared" si="66"/>
        <v>0</v>
      </c>
      <c r="AZ34" s="39">
        <f>+COUNTIFS(SALES!$S$2:$S$171,'CALCULATION DSE'!$C$8:$C$80,SALES!$AC$2:$AC$171,"&gt;0")</f>
        <v>0</v>
      </c>
      <c r="BA34" s="39">
        <f t="shared" si="67"/>
        <v>0</v>
      </c>
      <c r="BB34" s="65">
        <f t="shared" si="68"/>
        <v>0</v>
      </c>
      <c r="BC34" s="66">
        <f t="shared" si="69"/>
        <v>0</v>
      </c>
      <c r="BD34" s="66">
        <f t="shared" si="70"/>
        <v>0</v>
      </c>
      <c r="BE34" s="99">
        <f>+COUNTIFS(SALES!$S$2:$S$171,'CALCULATION DSE'!$C$8:$C$80,SALES!$CA$2:$CA$171,"YES")</f>
        <v>0</v>
      </c>
      <c r="BF34" s="66">
        <f t="shared" si="71"/>
        <v>0</v>
      </c>
      <c r="BG34" s="37">
        <f>+SUMIFS(SALES!$BA$2:$BA$171,SALES!$S$2:$S$171,'CALCULATION DSE'!$C$8:$C$80)</f>
        <v>0</v>
      </c>
      <c r="BH34" s="37">
        <f t="shared" si="72"/>
        <v>0</v>
      </c>
      <c r="BI34" s="65">
        <f t="shared" si="73"/>
        <v>1.5</v>
      </c>
      <c r="BJ34" s="64">
        <f t="shared" si="74"/>
        <v>0</v>
      </c>
      <c r="BK34" s="64">
        <f t="shared" si="75"/>
        <v>0</v>
      </c>
      <c r="BL34" s="64">
        <v>0</v>
      </c>
      <c r="BM34" s="64">
        <f t="shared" si="76"/>
        <v>0</v>
      </c>
      <c r="BN34" s="37">
        <f t="shared" si="77"/>
        <v>0</v>
      </c>
      <c r="BO34" s="38">
        <f t="shared" si="78"/>
        <v>0</v>
      </c>
      <c r="BP34" s="64">
        <f t="shared" si="79"/>
        <v>0</v>
      </c>
      <c r="BQ34" s="64">
        <f t="shared" si="80"/>
        <v>0</v>
      </c>
      <c r="BR34" s="64">
        <f t="shared" si="81"/>
        <v>0</v>
      </c>
      <c r="BS34" s="64">
        <f t="shared" si="82"/>
        <v>0</v>
      </c>
      <c r="BT34" s="64">
        <f t="shared" si="83"/>
        <v>0</v>
      </c>
      <c r="BU34" s="64">
        <f t="shared" si="84"/>
        <v>0</v>
      </c>
      <c r="BV34" s="63">
        <f t="shared" si="85"/>
        <v>0</v>
      </c>
      <c r="CB34" s="50"/>
      <c r="CC34" s="50"/>
      <c r="CD34" s="62"/>
      <c r="CF34" s="46"/>
    </row>
    <row r="35" spans="1:84" x14ac:dyDescent="0.3">
      <c r="A35" s="72" t="s">
        <v>615</v>
      </c>
      <c r="B35" s="145" t="s">
        <v>2259</v>
      </c>
      <c r="C35" s="145" t="s">
        <v>2259</v>
      </c>
      <c r="D35" s="145" t="s">
        <v>2407</v>
      </c>
      <c r="E35" s="145" t="s">
        <v>646</v>
      </c>
      <c r="F35" s="79" t="str">
        <f>+VLOOKUP(C35,'EMP STATUS'!$D$3:$K$77,8,0)</f>
        <v>BUR006</v>
      </c>
      <c r="G35" s="72">
        <f>+COUNTIFS(SALES!$S$2:$S$171,'CALCULATION DSE'!$C$8:$C$80,SALES!$N$2:$N$171,'CALCULATION DSE'!$G$6:$U$6)</f>
        <v>0</v>
      </c>
      <c r="H35" s="72">
        <f>+COUNTIFS(SALES!$S$2:$S$171,'CALCULATION DSE'!$C$8:$C$80,SALES!$N$2:$N$171,'CALCULATION DSE'!$G$6:$U$6)</f>
        <v>0</v>
      </c>
      <c r="I35" s="72">
        <f>+COUNTIFS(SALES!$S$2:$S$171,'CALCULATION DSE'!$C$8:$C$80,SALES!$N$2:$N$171,'CALCULATION DSE'!$G$6:$U$6)</f>
        <v>0</v>
      </c>
      <c r="J35" s="72">
        <f>+COUNTIFS(SALES!$S$2:$S$171,'CALCULATION DSE'!$C$8:$C$80,SALES!$N$2:$N$171,'CALCULATION DSE'!$G$6:$U$6)</f>
        <v>0</v>
      </c>
      <c r="K35" s="72">
        <f>+COUNTIFS(SALES!$S$2:$S$171,'CALCULATION DSE'!$C$8:$C$80,SALES!$N$2:$N$171,'CALCULATION DSE'!$G$6:$U$6)</f>
        <v>0</v>
      </c>
      <c r="L35" s="72">
        <f>+COUNTIFS(SALES!$S$2:$S$171,'CALCULATION DSE'!$C$8:$C$80,SALES!$N$2:$N$171,'CALCULATION DSE'!$G$6:$U$6)</f>
        <v>0</v>
      </c>
      <c r="M35" s="72">
        <f>+COUNTIFS(SALES!$S$2:$S$171,'CALCULATION DSE'!$C$8:$C$80,SALES!$N$2:$N$171,'CALCULATION DSE'!$G$6:$U$6)</f>
        <v>1</v>
      </c>
      <c r="N35" s="72">
        <f>+COUNTIFS(SALES!$S$2:$S$171,'CALCULATION DSE'!$C$8:$C$80,SALES!$N$2:$N$171,'CALCULATION DSE'!$G$6:$U$6)</f>
        <v>0</v>
      </c>
      <c r="O35" s="72">
        <f>+COUNTIFS(SALES!$S$2:$S$171,'CALCULATION DSE'!$C$8:$C$80,SALES!$N$2:$N$171,'CALCULATION DSE'!$G$6:$U$6)</f>
        <v>0</v>
      </c>
      <c r="P35" s="72">
        <f>+COUNTIFS(SALES!$S$2:$S$171,'CALCULATION DSE'!$C$8:$C$80,SALES!$N$2:$N$171,'CALCULATION DSE'!$G$6:$U$6)</f>
        <v>1</v>
      </c>
      <c r="Q35" s="72">
        <f>+COUNTIFS(SALES!$S$2:$S$171,'CALCULATION DSE'!$C$8:$C$80,SALES!$N$2:$N$171,'CALCULATION DSE'!$G$6:$U$6)</f>
        <v>2</v>
      </c>
      <c r="R35" s="72">
        <f>+COUNTIFS(SALES!$S$2:$S$171,'CALCULATION DSE'!$C$8:$C$80,SALES!$N$2:$N$171,'CALCULATION DSE'!$G$6:$U$6)</f>
        <v>3</v>
      </c>
      <c r="S35" s="72">
        <f>+COUNTIFS(SALES!$S$2:$S$171,'CALCULATION DSE'!$C$8:$C$80,SALES!$N$2:$N$171,'CALCULATION DSE'!$G$6:$U$6)</f>
        <v>1</v>
      </c>
      <c r="T35" s="72">
        <f>+COUNTIFS(SALES!$S$2:$S$171,'CALCULATION DSE'!$C$8:$C$80,SALES!$N$2:$N$171,'CALCULATION DSE'!$G$6:$U$6)</f>
        <v>0</v>
      </c>
      <c r="U35" s="72">
        <f>+COUNTIFS(SALES!$S$2:$S$171,'CALCULATION DSE'!$C$8:$C$80,SALES!$N$2:$N$171,'CALCULATION DSE'!$G$6:$U$6)</f>
        <v>0</v>
      </c>
      <c r="V35" s="146">
        <f t="shared" si="43"/>
        <v>8</v>
      </c>
      <c r="W35" s="146">
        <f t="shared" si="44"/>
        <v>5</v>
      </c>
      <c r="X35" s="79">
        <f t="shared" si="45"/>
        <v>3</v>
      </c>
      <c r="Y35" s="79">
        <f t="shared" si="46"/>
        <v>0</v>
      </c>
      <c r="Z35" s="79">
        <f t="shared" si="47"/>
        <v>1</v>
      </c>
      <c r="AA35" s="79" t="str">
        <f>+VLOOKUP(C35,'EMP STATUS'!$D$3:$J$77,7,0)</f>
        <v>OLD</v>
      </c>
      <c r="AB35" s="72" t="str">
        <f t="shared" si="48"/>
        <v>YES</v>
      </c>
      <c r="AC35" s="72" t="str">
        <f t="shared" si="49"/>
        <v>YES</v>
      </c>
      <c r="AD35" s="147">
        <f t="shared" si="50"/>
        <v>0</v>
      </c>
      <c r="AE35" s="147">
        <f t="shared" si="51"/>
        <v>12500</v>
      </c>
      <c r="AF35" s="147">
        <f t="shared" si="52"/>
        <v>1500</v>
      </c>
      <c r="AG35" s="148">
        <f t="shared" si="53"/>
        <v>14000</v>
      </c>
      <c r="AH35" s="149">
        <v>0</v>
      </c>
      <c r="AI35" s="149">
        <f t="shared" si="54"/>
        <v>0</v>
      </c>
      <c r="AJ35" s="147">
        <f t="shared" si="55"/>
        <v>0</v>
      </c>
      <c r="AK35" s="99">
        <f>+VLOOKUP(C35,'DSE WISE MGA SALE '!$B$5:$G$116,6,0)</f>
        <v>170325.34246575343</v>
      </c>
      <c r="AL35" s="99">
        <f t="shared" si="56"/>
        <v>21290.667808219179</v>
      </c>
      <c r="AM35" s="99">
        <f t="shared" si="57"/>
        <v>6813.0136986301377</v>
      </c>
      <c r="AN35" s="150">
        <f>+COUNTIFS(SALES!$S$2:$S$171,'CALCULATION DSE'!$C$7:$C$80,SALES!$AH$2:$AH$171,"&gt;0")</f>
        <v>0</v>
      </c>
      <c r="AO35" s="149">
        <f t="shared" si="58"/>
        <v>0</v>
      </c>
      <c r="AP35" s="151">
        <f>+COUNTIFS(SALES!$S$2:$S$171,'CALCULATION DSE'!$C$8:$C$80,SALES!$BH$2:$BH$171,"MSSF")</f>
        <v>4</v>
      </c>
      <c r="AQ35" s="151">
        <f t="shared" si="59"/>
        <v>4</v>
      </c>
      <c r="AR35" s="152">
        <f t="shared" si="60"/>
        <v>0.5</v>
      </c>
      <c r="AS35" s="149">
        <f t="shared" si="61"/>
        <v>0</v>
      </c>
      <c r="AT35" s="149">
        <f t="shared" si="62"/>
        <v>1000</v>
      </c>
      <c r="AU35" s="72">
        <f>+COUNTIFS(SALES!$S$2:$S$171,'CALCULATION DSE'!$C$8:$C$80,SALES!$Y$2:$Y$171,"&gt;0")</f>
        <v>4</v>
      </c>
      <c r="AV35" s="72">
        <f t="shared" si="63"/>
        <v>4</v>
      </c>
      <c r="AW35" s="153">
        <f t="shared" si="64"/>
        <v>0.5</v>
      </c>
      <c r="AX35" s="99">
        <f t="shared" si="65"/>
        <v>0</v>
      </c>
      <c r="AY35" s="99">
        <f t="shared" si="66"/>
        <v>1600</v>
      </c>
      <c r="AZ35" s="72">
        <f>+COUNTIFS(SALES!$S$2:$S$171,'CALCULATION DSE'!$C$8:$C$80,SALES!$AC$2:$AC$171,"&gt;0")</f>
        <v>1</v>
      </c>
      <c r="BA35" s="72">
        <f t="shared" si="67"/>
        <v>7</v>
      </c>
      <c r="BB35" s="153">
        <f t="shared" si="68"/>
        <v>0.125</v>
      </c>
      <c r="BC35" s="99">
        <f t="shared" si="69"/>
        <v>0</v>
      </c>
      <c r="BD35" s="99">
        <f t="shared" si="70"/>
        <v>1750</v>
      </c>
      <c r="BE35" s="99">
        <f>+COUNTIFS(SALES!$S$2:$S$171,'CALCULATION DSE'!$C$8:$C$80,SALES!$CA$2:$CA$171,"YES")</f>
        <v>1</v>
      </c>
      <c r="BF35" s="99">
        <f t="shared" si="71"/>
        <v>3000</v>
      </c>
      <c r="BG35" s="148">
        <f>+SUMIFS(SALES!$BA$2:$BA$171,SALES!$S$2:$S$171,'CALCULATION DSE'!$C$8:$C$80)</f>
        <v>40162</v>
      </c>
      <c r="BH35" s="148">
        <f t="shared" si="72"/>
        <v>5020.25</v>
      </c>
      <c r="BI35" s="153">
        <f t="shared" si="73"/>
        <v>1</v>
      </c>
      <c r="BJ35" s="147">
        <f t="shared" si="74"/>
        <v>14000</v>
      </c>
      <c r="BK35" s="147">
        <f t="shared" si="75"/>
        <v>19463.013698630137</v>
      </c>
      <c r="BL35" s="147">
        <v>0</v>
      </c>
      <c r="BM35" s="147">
        <f t="shared" si="76"/>
        <v>0</v>
      </c>
      <c r="BN35" s="148">
        <f t="shared" si="77"/>
        <v>19463.013698630137</v>
      </c>
      <c r="BO35" s="99">
        <f t="shared" si="78"/>
        <v>0</v>
      </c>
      <c r="BP35" s="147">
        <f t="shared" si="79"/>
        <v>0</v>
      </c>
      <c r="BQ35" s="147">
        <f t="shared" si="80"/>
        <v>0</v>
      </c>
      <c r="BR35" s="147">
        <f t="shared" si="81"/>
        <v>0</v>
      </c>
      <c r="BS35" s="147">
        <f t="shared" si="82"/>
        <v>0</v>
      </c>
      <c r="BT35" s="147">
        <f t="shared" si="83"/>
        <v>1</v>
      </c>
      <c r="BU35" s="147">
        <f t="shared" si="84"/>
        <v>1000</v>
      </c>
      <c r="BV35" s="154">
        <f t="shared" si="85"/>
        <v>20463.013698630137</v>
      </c>
      <c r="CB35" s="155"/>
      <c r="CC35" s="155"/>
      <c r="CD35" s="156"/>
      <c r="CF35" s="157"/>
    </row>
    <row r="36" spans="1:84" customFormat="1" hidden="1" x14ac:dyDescent="0.3">
      <c r="A36" s="74" t="s">
        <v>1209</v>
      </c>
      <c r="B36" s="40" t="s">
        <v>2280</v>
      </c>
      <c r="C36" s="40" t="s">
        <v>2792</v>
      </c>
      <c r="D36" s="40" t="s">
        <v>2280</v>
      </c>
      <c r="E36" s="73" t="s">
        <v>2877</v>
      </c>
      <c r="F36" s="79" t="str">
        <f>+VLOOKUP(C36,'EMP STATUS'!$D$3:$K$77,8,0)</f>
        <v>KDW142</v>
      </c>
      <c r="G36" s="39">
        <f>+COUNTIFS(SALES!$S$2:$S$171,'CALCULATION DSE'!$C$8:$C$80,SALES!$N$2:$N$171,'CALCULATION DSE'!$G$6:$U$6)</f>
        <v>0</v>
      </c>
      <c r="H36" s="39">
        <f>+COUNTIFS(SALES!$S$2:$S$171,'CALCULATION DSE'!$C$8:$C$80,SALES!$N$2:$N$171,'CALCULATION DSE'!$G$6:$U$6)</f>
        <v>0</v>
      </c>
      <c r="I36" s="39">
        <f>+COUNTIFS(SALES!$S$2:$S$171,'CALCULATION DSE'!$C$8:$C$80,SALES!$N$2:$N$171,'CALCULATION DSE'!$G$6:$U$6)</f>
        <v>0</v>
      </c>
      <c r="J36" s="39">
        <f>+COUNTIFS(SALES!$S$2:$S$171,'CALCULATION DSE'!$C$8:$C$80,SALES!$N$2:$N$171,'CALCULATION DSE'!$G$6:$U$6)</f>
        <v>0</v>
      </c>
      <c r="K36" s="39">
        <f>+COUNTIFS(SALES!$S$2:$S$171,'CALCULATION DSE'!$C$8:$C$80,SALES!$N$2:$N$171,'CALCULATION DSE'!$G$6:$U$6)</f>
        <v>0</v>
      </c>
      <c r="L36" s="39">
        <f>+COUNTIFS(SALES!$S$2:$S$171,'CALCULATION DSE'!$C$8:$C$80,SALES!$N$2:$N$171,'CALCULATION DSE'!$G$6:$U$6)</f>
        <v>0</v>
      </c>
      <c r="M36" s="39">
        <f>+COUNTIFS(SALES!$S$2:$S$171,'CALCULATION DSE'!$C$8:$C$80,SALES!$N$2:$N$171,'CALCULATION DSE'!$G$6:$U$6)</f>
        <v>0</v>
      </c>
      <c r="N36" s="39">
        <f>+COUNTIFS(SALES!$S$2:$S$171,'CALCULATION DSE'!$C$8:$C$80,SALES!$N$2:$N$171,'CALCULATION DSE'!$G$6:$U$6)</f>
        <v>0</v>
      </c>
      <c r="O36" s="39">
        <f>+COUNTIFS(SALES!$S$2:$S$171,'CALCULATION DSE'!$C$8:$C$80,SALES!$N$2:$N$171,'CALCULATION DSE'!$G$6:$U$6)</f>
        <v>0</v>
      </c>
      <c r="P36" s="39">
        <f>+COUNTIFS(SALES!$S$2:$S$171,'CALCULATION DSE'!$C$8:$C$80,SALES!$N$2:$N$171,'CALCULATION DSE'!$G$6:$U$6)</f>
        <v>1</v>
      </c>
      <c r="Q36" s="39">
        <f>+COUNTIFS(SALES!$S$2:$S$171,'CALCULATION DSE'!$C$8:$C$80,SALES!$N$2:$N$171,'CALCULATION DSE'!$G$6:$U$6)</f>
        <v>0</v>
      </c>
      <c r="R36" s="39">
        <f>+COUNTIFS(SALES!$S$2:$S$171,'CALCULATION DSE'!$C$8:$C$80,SALES!$N$2:$N$171,'CALCULATION DSE'!$G$6:$U$6)</f>
        <v>0</v>
      </c>
      <c r="S36" s="39">
        <f>+COUNTIFS(SALES!$S$2:$S$171,'CALCULATION DSE'!$C$8:$C$80,SALES!$N$2:$N$171,'CALCULATION DSE'!$G$6:$U$6)</f>
        <v>0</v>
      </c>
      <c r="T36" s="39">
        <f>+COUNTIFS(SALES!$S$2:$S$171,'CALCULATION DSE'!$C$8:$C$80,SALES!$N$2:$N$171,'CALCULATION DSE'!$G$6:$U$6)</f>
        <v>0</v>
      </c>
      <c r="U36" s="39">
        <f>+COUNTIFS(SALES!$S$2:$S$171,'CALCULATION DSE'!$C$8:$C$80,SALES!$N$2:$N$171,'CALCULATION DSE'!$G$6:$U$6)</f>
        <v>0</v>
      </c>
      <c r="V36" s="36">
        <f t="shared" si="43"/>
        <v>1</v>
      </c>
      <c r="W36" s="36">
        <f t="shared" si="44"/>
        <v>1</v>
      </c>
      <c r="X36" s="79">
        <f t="shared" si="45"/>
        <v>0</v>
      </c>
      <c r="Y36" s="79">
        <f t="shared" si="46"/>
        <v>0</v>
      </c>
      <c r="Z36" s="79">
        <f t="shared" si="47"/>
        <v>0</v>
      </c>
      <c r="AA36" s="79" t="str">
        <f>+VLOOKUP(C36,'EMP STATUS'!$D$3:$J$77,7,0)</f>
        <v>OLD</v>
      </c>
      <c r="AB36" s="72" t="str">
        <f t="shared" si="48"/>
        <v>YES</v>
      </c>
      <c r="AC36" s="72" t="str">
        <f t="shared" si="49"/>
        <v>NO</v>
      </c>
      <c r="AD36" s="64">
        <f t="shared" si="50"/>
        <v>0</v>
      </c>
      <c r="AE36" s="64">
        <f t="shared" si="51"/>
        <v>0</v>
      </c>
      <c r="AF36" s="64">
        <f t="shared" si="52"/>
        <v>0</v>
      </c>
      <c r="AG36" s="71">
        <f t="shared" si="53"/>
        <v>0</v>
      </c>
      <c r="AH36" s="68">
        <v>0</v>
      </c>
      <c r="AI36" s="68">
        <f t="shared" si="54"/>
        <v>0</v>
      </c>
      <c r="AJ36" s="64">
        <f t="shared" si="55"/>
        <v>0</v>
      </c>
      <c r="AK36" s="66">
        <f>+VLOOKUP(C36,'DSE WISE MGA SALE '!$B$5:$G$116,6,0)</f>
        <v>0</v>
      </c>
      <c r="AL36" s="67">
        <f t="shared" si="56"/>
        <v>0</v>
      </c>
      <c r="AM36" s="67">
        <f t="shared" si="57"/>
        <v>0</v>
      </c>
      <c r="AN36" s="70">
        <f>+COUNTIFS(SALES!$S$2:$S$171,'CALCULATION DSE'!$C$7:$C$80,SALES!$AH$2:$AH$171,"&gt;0")</f>
        <v>0</v>
      </c>
      <c r="AO36" s="68">
        <f t="shared" si="58"/>
        <v>0</v>
      </c>
      <c r="AP36" s="69">
        <f>+COUNTIFS(SALES!$S$2:$S$171,'CALCULATION DSE'!$C$8:$C$80,SALES!$BH$2:$BH$171,"MSSF")</f>
        <v>1</v>
      </c>
      <c r="AQ36" s="69">
        <f t="shared" si="59"/>
        <v>0</v>
      </c>
      <c r="AR36" s="98">
        <f t="shared" si="60"/>
        <v>1</v>
      </c>
      <c r="AS36" s="68">
        <f t="shared" si="61"/>
        <v>0</v>
      </c>
      <c r="AT36" s="68">
        <f t="shared" si="62"/>
        <v>0</v>
      </c>
      <c r="AU36" s="39">
        <f>+COUNTIFS(SALES!$S$2:$S$171,'CALCULATION DSE'!$C$8:$C$80,SALES!$Y$2:$Y$171,"&gt;0")</f>
        <v>0</v>
      </c>
      <c r="AV36" s="39">
        <f t="shared" si="63"/>
        <v>1</v>
      </c>
      <c r="AW36" s="65">
        <f t="shared" si="64"/>
        <v>0</v>
      </c>
      <c r="AX36" s="67">
        <f t="shared" si="65"/>
        <v>0</v>
      </c>
      <c r="AY36" s="67">
        <f t="shared" si="66"/>
        <v>0</v>
      </c>
      <c r="AZ36" s="39">
        <f>+COUNTIFS(SALES!$S$2:$S$171,'CALCULATION DSE'!$C$8:$C$80,SALES!$AC$2:$AC$171,"&gt;0")</f>
        <v>0</v>
      </c>
      <c r="BA36" s="39">
        <f t="shared" si="67"/>
        <v>1</v>
      </c>
      <c r="BB36" s="65">
        <f t="shared" si="68"/>
        <v>0</v>
      </c>
      <c r="BC36" s="66">
        <f t="shared" si="69"/>
        <v>0</v>
      </c>
      <c r="BD36" s="66">
        <f t="shared" si="70"/>
        <v>0</v>
      </c>
      <c r="BE36" s="99">
        <f>+COUNTIFS(SALES!$S$2:$S$171,'CALCULATION DSE'!$C$8:$C$80,SALES!$CA$2:$CA$171,"YES")</f>
        <v>0</v>
      </c>
      <c r="BF36" s="66">
        <f t="shared" si="71"/>
        <v>0</v>
      </c>
      <c r="BG36" s="37">
        <f>+SUMIFS(SALES!$BA$2:$BA$171,SALES!$S$2:$S$171,'CALCULATION DSE'!$C$8:$C$80)</f>
        <v>12468</v>
      </c>
      <c r="BH36" s="37">
        <f t="shared" si="72"/>
        <v>12468</v>
      </c>
      <c r="BI36" s="65">
        <f t="shared" si="73"/>
        <v>0.3</v>
      </c>
      <c r="BJ36" s="64">
        <f t="shared" si="74"/>
        <v>0</v>
      </c>
      <c r="BK36" s="64">
        <f t="shared" si="75"/>
        <v>0</v>
      </c>
      <c r="BL36" s="64">
        <v>0</v>
      </c>
      <c r="BM36" s="64">
        <f t="shared" si="76"/>
        <v>0</v>
      </c>
      <c r="BN36" s="37">
        <f t="shared" si="77"/>
        <v>0</v>
      </c>
      <c r="BO36" s="38">
        <f t="shared" si="78"/>
        <v>0</v>
      </c>
      <c r="BP36" s="64">
        <f t="shared" si="79"/>
        <v>0</v>
      </c>
      <c r="BQ36" s="64">
        <f t="shared" si="80"/>
        <v>0</v>
      </c>
      <c r="BR36" s="64">
        <f t="shared" si="81"/>
        <v>0</v>
      </c>
      <c r="BS36" s="64">
        <f t="shared" si="82"/>
        <v>0</v>
      </c>
      <c r="BT36" s="64">
        <f t="shared" si="83"/>
        <v>0</v>
      </c>
      <c r="BU36" s="64">
        <f t="shared" si="84"/>
        <v>0</v>
      </c>
      <c r="BV36" s="63">
        <f t="shared" si="85"/>
        <v>0</v>
      </c>
      <c r="CB36" s="50"/>
      <c r="CC36" s="50"/>
      <c r="CD36" s="62"/>
      <c r="CF36" s="46"/>
    </row>
    <row r="37" spans="1:84" hidden="1" x14ac:dyDescent="0.3">
      <c r="A37" s="72" t="s">
        <v>687</v>
      </c>
      <c r="B37" s="145" t="s">
        <v>2408</v>
      </c>
      <c r="C37" s="145" t="s">
        <v>2408</v>
      </c>
      <c r="D37" s="145" t="s">
        <v>2407</v>
      </c>
      <c r="E37" s="145" t="s">
        <v>646</v>
      </c>
      <c r="F37" s="79" t="str">
        <f>+VLOOKUP(C37,'EMP STATUS'!$D$3:$K$77,8,0)</f>
        <v>BUR036</v>
      </c>
      <c r="G37" s="72">
        <f>+COUNTIFS(SALES!$S$2:$S$171,'CALCULATION DSE'!$C$8:$C$80,SALES!$N$2:$N$171,'CALCULATION DSE'!$G$6:$U$6)</f>
        <v>0</v>
      </c>
      <c r="H37" s="72">
        <f>+COUNTIFS(SALES!$S$2:$S$171,'CALCULATION DSE'!$C$8:$C$80,SALES!$N$2:$N$171,'CALCULATION DSE'!$G$6:$U$6)</f>
        <v>0</v>
      </c>
      <c r="I37" s="72">
        <f>+COUNTIFS(SALES!$S$2:$S$171,'CALCULATION DSE'!$C$8:$C$80,SALES!$N$2:$N$171,'CALCULATION DSE'!$G$6:$U$6)</f>
        <v>0</v>
      </c>
      <c r="J37" s="72">
        <f>+COUNTIFS(SALES!$S$2:$S$171,'CALCULATION DSE'!$C$8:$C$80,SALES!$N$2:$N$171,'CALCULATION DSE'!$G$6:$U$6)</f>
        <v>0</v>
      </c>
      <c r="K37" s="72">
        <f>+COUNTIFS(SALES!$S$2:$S$171,'CALCULATION DSE'!$C$8:$C$80,SALES!$N$2:$N$171,'CALCULATION DSE'!$G$6:$U$6)</f>
        <v>0</v>
      </c>
      <c r="L37" s="72">
        <f>+COUNTIFS(SALES!$S$2:$S$171,'CALCULATION DSE'!$C$8:$C$80,SALES!$N$2:$N$171,'CALCULATION DSE'!$G$6:$U$6)</f>
        <v>0</v>
      </c>
      <c r="M37" s="72">
        <f>+COUNTIFS(SALES!$S$2:$S$171,'CALCULATION DSE'!$C$8:$C$80,SALES!$N$2:$N$171,'CALCULATION DSE'!$G$6:$U$6)</f>
        <v>1</v>
      </c>
      <c r="N37" s="72">
        <f>+COUNTIFS(SALES!$S$2:$S$171,'CALCULATION DSE'!$C$8:$C$80,SALES!$N$2:$N$171,'CALCULATION DSE'!$G$6:$U$6)</f>
        <v>0</v>
      </c>
      <c r="O37" s="72">
        <f>+COUNTIFS(SALES!$S$2:$S$171,'CALCULATION DSE'!$C$8:$C$80,SALES!$N$2:$N$171,'CALCULATION DSE'!$G$6:$U$6)</f>
        <v>0</v>
      </c>
      <c r="P37" s="72">
        <f>+COUNTIFS(SALES!$S$2:$S$171,'CALCULATION DSE'!$C$8:$C$80,SALES!$N$2:$N$171,'CALCULATION DSE'!$G$6:$U$6)</f>
        <v>0</v>
      </c>
      <c r="Q37" s="72">
        <f>+COUNTIFS(SALES!$S$2:$S$171,'CALCULATION DSE'!$C$8:$C$80,SALES!$N$2:$N$171,'CALCULATION DSE'!$G$6:$U$6)</f>
        <v>0</v>
      </c>
      <c r="R37" s="72">
        <f>+COUNTIFS(SALES!$S$2:$S$171,'CALCULATION DSE'!$C$8:$C$80,SALES!$N$2:$N$171,'CALCULATION DSE'!$G$6:$U$6)</f>
        <v>1</v>
      </c>
      <c r="S37" s="72">
        <f>+COUNTIFS(SALES!$S$2:$S$171,'CALCULATION DSE'!$C$8:$C$80,SALES!$N$2:$N$171,'CALCULATION DSE'!$G$6:$U$6)</f>
        <v>0</v>
      </c>
      <c r="T37" s="72">
        <f>+COUNTIFS(SALES!$S$2:$S$171,'CALCULATION DSE'!$C$8:$C$80,SALES!$N$2:$N$171,'CALCULATION DSE'!$G$6:$U$6)</f>
        <v>0</v>
      </c>
      <c r="U37" s="72">
        <f>+COUNTIFS(SALES!$S$2:$S$171,'CALCULATION DSE'!$C$8:$C$80,SALES!$N$2:$N$171,'CALCULATION DSE'!$G$6:$U$6)</f>
        <v>0</v>
      </c>
      <c r="V37" s="146">
        <f t="shared" si="43"/>
        <v>2</v>
      </c>
      <c r="W37" s="146">
        <f t="shared" si="44"/>
        <v>1</v>
      </c>
      <c r="X37" s="79">
        <f t="shared" si="45"/>
        <v>1</v>
      </c>
      <c r="Y37" s="79">
        <f t="shared" si="46"/>
        <v>0</v>
      </c>
      <c r="Z37" s="79">
        <f t="shared" si="47"/>
        <v>1</v>
      </c>
      <c r="AA37" s="79" t="str">
        <f>+VLOOKUP(C37,'EMP STATUS'!$D$3:$J$77,7,0)</f>
        <v>OLD</v>
      </c>
      <c r="AB37" s="72" t="str">
        <f t="shared" si="48"/>
        <v>YES</v>
      </c>
      <c r="AC37" s="72" t="str">
        <f t="shared" si="49"/>
        <v>YES</v>
      </c>
      <c r="AD37" s="147">
        <f t="shared" si="50"/>
        <v>0</v>
      </c>
      <c r="AE37" s="147">
        <f t="shared" si="51"/>
        <v>500</v>
      </c>
      <c r="AF37" s="147">
        <f t="shared" si="52"/>
        <v>500</v>
      </c>
      <c r="AG37" s="148">
        <f t="shared" si="53"/>
        <v>1000</v>
      </c>
      <c r="AH37" s="149">
        <v>0</v>
      </c>
      <c r="AI37" s="149">
        <f t="shared" si="54"/>
        <v>0</v>
      </c>
      <c r="AJ37" s="147">
        <f t="shared" si="55"/>
        <v>0</v>
      </c>
      <c r="AK37" s="99">
        <f>+VLOOKUP(C37,'DSE WISE MGA SALE '!$B$5:$G$116,6,0)</f>
        <v>54623.972602739726</v>
      </c>
      <c r="AL37" s="99">
        <f t="shared" si="56"/>
        <v>27311.986301369863</v>
      </c>
      <c r="AM37" s="99">
        <f t="shared" si="57"/>
        <v>2731.1986301369866</v>
      </c>
      <c r="AN37" s="150">
        <f>+COUNTIFS(SALES!$S$2:$S$171,'CALCULATION DSE'!$C$7:$C$80,SALES!$AH$2:$AH$171,"&gt;0")</f>
        <v>0</v>
      </c>
      <c r="AO37" s="149">
        <f t="shared" si="58"/>
        <v>0</v>
      </c>
      <c r="AP37" s="151">
        <f>+COUNTIFS(SALES!$S$2:$S$171,'CALCULATION DSE'!$C$8:$C$80,SALES!$BH$2:$BH$171,"MSSF")</f>
        <v>1</v>
      </c>
      <c r="AQ37" s="151">
        <f t="shared" si="59"/>
        <v>1</v>
      </c>
      <c r="AR37" s="152">
        <f t="shared" si="60"/>
        <v>0.5</v>
      </c>
      <c r="AS37" s="149">
        <f t="shared" si="61"/>
        <v>0</v>
      </c>
      <c r="AT37" s="149">
        <f t="shared" si="62"/>
        <v>250</v>
      </c>
      <c r="AU37" s="72">
        <f>+COUNTIFS(SALES!$S$2:$S$171,'CALCULATION DSE'!$C$8:$C$80,SALES!$Y$2:$Y$171,"&gt;0")</f>
        <v>1</v>
      </c>
      <c r="AV37" s="72">
        <f t="shared" si="63"/>
        <v>1</v>
      </c>
      <c r="AW37" s="153">
        <f t="shared" si="64"/>
        <v>0.5</v>
      </c>
      <c r="AX37" s="99">
        <f t="shared" si="65"/>
        <v>0</v>
      </c>
      <c r="AY37" s="99">
        <f t="shared" si="66"/>
        <v>400</v>
      </c>
      <c r="AZ37" s="72">
        <f>+COUNTIFS(SALES!$S$2:$S$171,'CALCULATION DSE'!$C$8:$C$80,SALES!$AC$2:$AC$171,"&gt;0")</f>
        <v>0</v>
      </c>
      <c r="BA37" s="72">
        <f t="shared" si="67"/>
        <v>2</v>
      </c>
      <c r="BB37" s="153">
        <f t="shared" si="68"/>
        <v>0</v>
      </c>
      <c r="BC37" s="99">
        <f t="shared" si="69"/>
        <v>0</v>
      </c>
      <c r="BD37" s="99">
        <f t="shared" si="70"/>
        <v>500</v>
      </c>
      <c r="BE37" s="99">
        <f>+COUNTIFS(SALES!$S$2:$S$171,'CALCULATION DSE'!$C$8:$C$80,SALES!$CA$2:$CA$171,"YES")</f>
        <v>0</v>
      </c>
      <c r="BF37" s="99">
        <f t="shared" si="71"/>
        <v>0</v>
      </c>
      <c r="BG37" s="148">
        <f>+SUMIFS(SALES!$BA$2:$BA$171,SALES!$S$2:$S$171,'CALCULATION DSE'!$C$8:$C$80)</f>
        <v>10000</v>
      </c>
      <c r="BH37" s="148">
        <f t="shared" si="72"/>
        <v>5000</v>
      </c>
      <c r="BI37" s="153">
        <f t="shared" si="73"/>
        <v>1</v>
      </c>
      <c r="BJ37" s="147">
        <f t="shared" si="74"/>
        <v>1000</v>
      </c>
      <c r="BK37" s="147">
        <f t="shared" si="75"/>
        <v>2581.1986301369866</v>
      </c>
      <c r="BL37" s="147">
        <v>0</v>
      </c>
      <c r="BM37" s="147">
        <f t="shared" si="76"/>
        <v>0</v>
      </c>
      <c r="BN37" s="148">
        <f t="shared" si="77"/>
        <v>2581.1986301369866</v>
      </c>
      <c r="BO37" s="99">
        <f t="shared" si="78"/>
        <v>0</v>
      </c>
      <c r="BP37" s="147">
        <f t="shared" si="79"/>
        <v>0</v>
      </c>
      <c r="BQ37" s="147">
        <f t="shared" si="80"/>
        <v>0</v>
      </c>
      <c r="BR37" s="147">
        <f t="shared" si="81"/>
        <v>0</v>
      </c>
      <c r="BS37" s="147">
        <f t="shared" si="82"/>
        <v>0</v>
      </c>
      <c r="BT37" s="147">
        <f t="shared" si="83"/>
        <v>1</v>
      </c>
      <c r="BU37" s="147">
        <f t="shared" si="84"/>
        <v>1000</v>
      </c>
      <c r="BV37" s="154">
        <f t="shared" si="85"/>
        <v>3581.1986301369866</v>
      </c>
      <c r="BX37" s="87"/>
      <c r="CB37" s="155"/>
      <c r="CC37" s="155"/>
      <c r="CD37" s="156"/>
      <c r="CF37" s="157"/>
    </row>
    <row r="38" spans="1:84" customFormat="1" hidden="1" x14ac:dyDescent="0.3">
      <c r="A38" s="74" t="s">
        <v>383</v>
      </c>
      <c r="B38" s="40" t="s">
        <v>2312</v>
      </c>
      <c r="C38" s="40" t="s">
        <v>2312</v>
      </c>
      <c r="D38" s="40" t="s">
        <v>2312</v>
      </c>
      <c r="E38" s="73" t="s">
        <v>393</v>
      </c>
      <c r="F38" s="79" t="str">
        <f>+VLOOKUP(C38,'EMP STATUS'!$D$3:$K$77,8,0)</f>
        <v>BAR0001</v>
      </c>
      <c r="G38" s="39">
        <f>+COUNTIFS(SALES!$S$2:$S$171,'CALCULATION DSE'!$C$8:$C$80,SALES!$N$2:$N$171,'CALCULATION DSE'!$G$6:$U$6)</f>
        <v>0</v>
      </c>
      <c r="H38" s="39">
        <f>+COUNTIFS(SALES!$S$2:$S$171,'CALCULATION DSE'!$C$8:$C$80,SALES!$N$2:$N$171,'CALCULATION DSE'!$G$6:$U$6)</f>
        <v>0</v>
      </c>
      <c r="I38" s="39">
        <f>+COUNTIFS(SALES!$S$2:$S$171,'CALCULATION DSE'!$C$8:$C$80,SALES!$N$2:$N$171,'CALCULATION DSE'!$G$6:$U$6)</f>
        <v>0</v>
      </c>
      <c r="J38" s="39">
        <f>+COUNTIFS(SALES!$S$2:$S$171,'CALCULATION DSE'!$C$8:$C$80,SALES!$N$2:$N$171,'CALCULATION DSE'!$G$6:$U$6)</f>
        <v>0</v>
      </c>
      <c r="K38" s="39">
        <f>+COUNTIFS(SALES!$S$2:$S$171,'CALCULATION DSE'!$C$8:$C$80,SALES!$N$2:$N$171,'CALCULATION DSE'!$G$6:$U$6)</f>
        <v>0</v>
      </c>
      <c r="L38" s="39">
        <f>+COUNTIFS(SALES!$S$2:$S$171,'CALCULATION DSE'!$C$8:$C$80,SALES!$N$2:$N$171,'CALCULATION DSE'!$G$6:$U$6)</f>
        <v>0</v>
      </c>
      <c r="M38" s="39">
        <f>+COUNTIFS(SALES!$S$2:$S$171,'CALCULATION DSE'!$C$8:$C$80,SALES!$N$2:$N$171,'CALCULATION DSE'!$G$6:$U$6)</f>
        <v>0</v>
      </c>
      <c r="N38" s="39">
        <f>+COUNTIFS(SALES!$S$2:$S$171,'CALCULATION DSE'!$C$8:$C$80,SALES!$N$2:$N$171,'CALCULATION DSE'!$G$6:$U$6)</f>
        <v>0</v>
      </c>
      <c r="O38" s="39">
        <f>+COUNTIFS(SALES!$S$2:$S$171,'CALCULATION DSE'!$C$8:$C$80,SALES!$N$2:$N$171,'CALCULATION DSE'!$G$6:$U$6)</f>
        <v>0</v>
      </c>
      <c r="P38" s="39">
        <f>+COUNTIFS(SALES!$S$2:$S$171,'CALCULATION DSE'!$C$8:$C$80,SALES!$N$2:$N$171,'CALCULATION DSE'!$G$6:$U$6)</f>
        <v>0</v>
      </c>
      <c r="Q38" s="39">
        <f>+COUNTIFS(SALES!$S$2:$S$171,'CALCULATION DSE'!$C$8:$C$80,SALES!$N$2:$N$171,'CALCULATION DSE'!$G$6:$U$6)</f>
        <v>0</v>
      </c>
      <c r="R38" s="39">
        <f>+COUNTIFS(SALES!$S$2:$S$171,'CALCULATION DSE'!$C$8:$C$80,SALES!$N$2:$N$171,'CALCULATION DSE'!$G$6:$U$6)</f>
        <v>0</v>
      </c>
      <c r="S38" s="39">
        <f>+COUNTIFS(SALES!$S$2:$S$171,'CALCULATION DSE'!$C$8:$C$80,SALES!$N$2:$N$171,'CALCULATION DSE'!$G$6:$U$6)</f>
        <v>0</v>
      </c>
      <c r="T38" s="39">
        <f>+COUNTIFS(SALES!$S$2:$S$171,'CALCULATION DSE'!$C$8:$C$80,SALES!$N$2:$N$171,'CALCULATION DSE'!$G$6:$U$6)</f>
        <v>0</v>
      </c>
      <c r="U38" s="39">
        <f>+COUNTIFS(SALES!$S$2:$S$171,'CALCULATION DSE'!$C$8:$C$80,SALES!$N$2:$N$171,'CALCULATION DSE'!$G$6:$U$6)</f>
        <v>0</v>
      </c>
      <c r="V38" s="36">
        <f t="shared" si="43"/>
        <v>0</v>
      </c>
      <c r="W38" s="36">
        <f t="shared" si="44"/>
        <v>0</v>
      </c>
      <c r="X38" s="79">
        <f t="shared" si="45"/>
        <v>0</v>
      </c>
      <c r="Y38" s="79">
        <f t="shared" si="46"/>
        <v>0</v>
      </c>
      <c r="Z38" s="79">
        <f t="shared" si="47"/>
        <v>0</v>
      </c>
      <c r="AA38" s="79" t="str">
        <f>+VLOOKUP(C38,'EMP STATUS'!$D$3:$J$77,7,0)</f>
        <v>OLD</v>
      </c>
      <c r="AB38" s="72" t="str">
        <f t="shared" si="48"/>
        <v>YES</v>
      </c>
      <c r="AC38" s="72" t="str">
        <f t="shared" si="49"/>
        <v>NO</v>
      </c>
      <c r="AD38" s="64">
        <f t="shared" si="50"/>
        <v>0</v>
      </c>
      <c r="AE38" s="64">
        <f t="shared" si="51"/>
        <v>0</v>
      </c>
      <c r="AF38" s="64">
        <f t="shared" si="52"/>
        <v>0</v>
      </c>
      <c r="AG38" s="71">
        <f t="shared" si="53"/>
        <v>0</v>
      </c>
      <c r="AH38" s="68">
        <v>0</v>
      </c>
      <c r="AI38" s="68">
        <f t="shared" si="54"/>
        <v>0</v>
      </c>
      <c r="AJ38" s="64">
        <f t="shared" si="55"/>
        <v>0</v>
      </c>
      <c r="AK38" s="66" t="e">
        <f>+VLOOKUP(C38,'DSE WISE MGA SALE '!$B$5:$G$116,6,0)</f>
        <v>#N/A</v>
      </c>
      <c r="AL38" s="67">
        <f t="shared" si="56"/>
        <v>0</v>
      </c>
      <c r="AM38" s="67">
        <f t="shared" si="57"/>
        <v>0</v>
      </c>
      <c r="AN38" s="70">
        <f>+COUNTIFS(SALES!$S$2:$S$171,'CALCULATION DSE'!$C$7:$C$80,SALES!$AH$2:$AH$171,"&gt;0")</f>
        <v>0</v>
      </c>
      <c r="AO38" s="68">
        <f t="shared" si="58"/>
        <v>0</v>
      </c>
      <c r="AP38" s="69">
        <f>+COUNTIFS(SALES!$S$2:$S$171,'CALCULATION DSE'!$C$8:$C$80,SALES!$BH$2:$BH$171,"MSSF")</f>
        <v>0</v>
      </c>
      <c r="AQ38" s="69">
        <f t="shared" si="59"/>
        <v>0</v>
      </c>
      <c r="AR38" s="98">
        <f t="shared" si="60"/>
        <v>0</v>
      </c>
      <c r="AS38" s="68">
        <f t="shared" si="61"/>
        <v>0</v>
      </c>
      <c r="AT38" s="68">
        <f t="shared" si="62"/>
        <v>0</v>
      </c>
      <c r="AU38" s="39">
        <f>+COUNTIFS(SALES!$S$2:$S$171,'CALCULATION DSE'!$C$8:$C$80,SALES!$Y$2:$Y$171,"&gt;0")</f>
        <v>0</v>
      </c>
      <c r="AV38" s="39">
        <f t="shared" si="63"/>
        <v>0</v>
      </c>
      <c r="AW38" s="65">
        <f t="shared" si="64"/>
        <v>0</v>
      </c>
      <c r="AX38" s="67">
        <f t="shared" si="65"/>
        <v>0</v>
      </c>
      <c r="AY38" s="67">
        <f t="shared" si="66"/>
        <v>0</v>
      </c>
      <c r="AZ38" s="39">
        <f>+COUNTIFS(SALES!$S$2:$S$171,'CALCULATION DSE'!$C$8:$C$80,SALES!$AC$2:$AC$171,"&gt;0")</f>
        <v>0</v>
      </c>
      <c r="BA38" s="39">
        <f t="shared" si="67"/>
        <v>0</v>
      </c>
      <c r="BB38" s="65">
        <f t="shared" si="68"/>
        <v>0</v>
      </c>
      <c r="BC38" s="66">
        <f t="shared" si="69"/>
        <v>0</v>
      </c>
      <c r="BD38" s="66">
        <f t="shared" si="70"/>
        <v>0</v>
      </c>
      <c r="BE38" s="99">
        <f>+COUNTIFS(SALES!$S$2:$S$171,'CALCULATION DSE'!$C$8:$C$80,SALES!$CA$2:$CA$171,"YES")</f>
        <v>0</v>
      </c>
      <c r="BF38" s="66">
        <f t="shared" si="71"/>
        <v>0</v>
      </c>
      <c r="BG38" s="37">
        <f>+SUMIFS(SALES!$BA$2:$BA$171,SALES!$S$2:$S$171,'CALCULATION DSE'!$C$8:$C$80)</f>
        <v>0</v>
      </c>
      <c r="BH38" s="37">
        <f t="shared" si="72"/>
        <v>0</v>
      </c>
      <c r="BI38" s="65">
        <f t="shared" si="73"/>
        <v>1.5</v>
      </c>
      <c r="BJ38" s="64">
        <f t="shared" si="74"/>
        <v>0</v>
      </c>
      <c r="BK38" s="64">
        <f t="shared" si="75"/>
        <v>0</v>
      </c>
      <c r="BL38" s="64">
        <v>0</v>
      </c>
      <c r="BM38" s="64">
        <f t="shared" si="76"/>
        <v>0</v>
      </c>
      <c r="BN38" s="37">
        <f t="shared" si="77"/>
        <v>0</v>
      </c>
      <c r="BO38" s="38">
        <f t="shared" si="78"/>
        <v>0</v>
      </c>
      <c r="BP38" s="64">
        <f t="shared" si="79"/>
        <v>0</v>
      </c>
      <c r="BQ38" s="64">
        <f t="shared" si="80"/>
        <v>0</v>
      </c>
      <c r="BR38" s="64">
        <f t="shared" si="81"/>
        <v>0</v>
      </c>
      <c r="BS38" s="64">
        <f t="shared" si="82"/>
        <v>0</v>
      </c>
      <c r="BT38" s="64">
        <f t="shared" si="83"/>
        <v>0</v>
      </c>
      <c r="BU38" s="64">
        <f t="shared" si="84"/>
        <v>0</v>
      </c>
      <c r="BV38" s="63">
        <f t="shared" si="85"/>
        <v>0</v>
      </c>
      <c r="CB38" s="50"/>
      <c r="CC38" s="50"/>
      <c r="CD38" s="62"/>
      <c r="CF38" s="46"/>
    </row>
    <row r="39" spans="1:84" customFormat="1" hidden="1" x14ac:dyDescent="0.3">
      <c r="A39" s="74" t="s">
        <v>3077</v>
      </c>
      <c r="B39" s="75" t="s">
        <v>2252</v>
      </c>
      <c r="C39" s="75" t="s">
        <v>2566</v>
      </c>
      <c r="D39" s="40" t="s">
        <v>2252</v>
      </c>
      <c r="E39" s="73" t="s">
        <v>2874</v>
      </c>
      <c r="F39" s="79" t="str">
        <f>+VLOOKUP(C39,'EMP STATUS'!$D$3:$K$77,8,0)</f>
        <v>2106</v>
      </c>
      <c r="G39" s="39">
        <f>+COUNTIFS(SALES!$S$2:$S$171,'CALCULATION DSE'!$C$8:$C$80,SALES!$N$2:$N$171,'CALCULATION DSE'!$G$6:$U$6)</f>
        <v>0</v>
      </c>
      <c r="H39" s="39">
        <f>+COUNTIFS(SALES!$S$2:$S$171,'CALCULATION DSE'!$C$8:$C$80,SALES!$N$2:$N$171,'CALCULATION DSE'!$G$6:$U$6)</f>
        <v>0</v>
      </c>
      <c r="I39" s="39">
        <f>+COUNTIFS(SALES!$S$2:$S$171,'CALCULATION DSE'!$C$8:$C$80,SALES!$N$2:$N$171,'CALCULATION DSE'!$G$6:$U$6)</f>
        <v>0</v>
      </c>
      <c r="J39" s="39">
        <f>+COUNTIFS(SALES!$S$2:$S$171,'CALCULATION DSE'!$C$8:$C$80,SALES!$N$2:$N$171,'CALCULATION DSE'!$G$6:$U$6)</f>
        <v>0</v>
      </c>
      <c r="K39" s="39">
        <f>+COUNTIFS(SALES!$S$2:$S$171,'CALCULATION DSE'!$C$8:$C$80,SALES!$N$2:$N$171,'CALCULATION DSE'!$G$6:$U$6)</f>
        <v>0</v>
      </c>
      <c r="L39" s="39">
        <f>+COUNTIFS(SALES!$S$2:$S$171,'CALCULATION DSE'!$C$8:$C$80,SALES!$N$2:$N$171,'CALCULATION DSE'!$G$6:$U$6)</f>
        <v>0</v>
      </c>
      <c r="M39" s="39">
        <f>+COUNTIFS(SALES!$S$2:$S$171,'CALCULATION DSE'!$C$8:$C$80,SALES!$N$2:$N$171,'CALCULATION DSE'!$G$6:$U$6)</f>
        <v>0</v>
      </c>
      <c r="N39" s="39">
        <f>+COUNTIFS(SALES!$S$2:$S$171,'CALCULATION DSE'!$C$8:$C$80,SALES!$N$2:$N$171,'CALCULATION DSE'!$G$6:$U$6)</f>
        <v>0</v>
      </c>
      <c r="O39" s="39">
        <f>+COUNTIFS(SALES!$S$2:$S$171,'CALCULATION DSE'!$C$8:$C$80,SALES!$N$2:$N$171,'CALCULATION DSE'!$G$6:$U$6)</f>
        <v>0</v>
      </c>
      <c r="P39" s="39">
        <f>+COUNTIFS(SALES!$S$2:$S$171,'CALCULATION DSE'!$C$8:$C$80,SALES!$N$2:$N$171,'CALCULATION DSE'!$G$6:$U$6)</f>
        <v>0</v>
      </c>
      <c r="Q39" s="39">
        <f>+COUNTIFS(SALES!$S$2:$S$171,'CALCULATION DSE'!$C$8:$C$80,SALES!$N$2:$N$171,'CALCULATION DSE'!$G$6:$U$6)</f>
        <v>1</v>
      </c>
      <c r="R39" s="39">
        <f>+COUNTIFS(SALES!$S$2:$S$171,'CALCULATION DSE'!$C$8:$C$80,SALES!$N$2:$N$171,'CALCULATION DSE'!$G$6:$U$6)</f>
        <v>0</v>
      </c>
      <c r="S39" s="39">
        <f>+COUNTIFS(SALES!$S$2:$S$171,'CALCULATION DSE'!$C$8:$C$80,SALES!$N$2:$N$171,'CALCULATION DSE'!$G$6:$U$6)</f>
        <v>0</v>
      </c>
      <c r="T39" s="39">
        <f>+COUNTIFS(SALES!$S$2:$S$171,'CALCULATION DSE'!$C$8:$C$80,SALES!$N$2:$N$171,'CALCULATION DSE'!$G$6:$U$6)</f>
        <v>0</v>
      </c>
      <c r="U39" s="39">
        <f>+COUNTIFS(SALES!$S$2:$S$171,'CALCULATION DSE'!$C$8:$C$80,SALES!$N$2:$N$171,'CALCULATION DSE'!$G$6:$U$6)</f>
        <v>0</v>
      </c>
      <c r="V39" s="36">
        <f t="shared" si="43"/>
        <v>1</v>
      </c>
      <c r="W39" s="36">
        <f t="shared" si="44"/>
        <v>1</v>
      </c>
      <c r="X39" s="79">
        <f t="shared" si="45"/>
        <v>0</v>
      </c>
      <c r="Y39" s="79">
        <f t="shared" si="46"/>
        <v>0</v>
      </c>
      <c r="Z39" s="79">
        <f t="shared" si="47"/>
        <v>0</v>
      </c>
      <c r="AA39" s="79" t="str">
        <f>+VLOOKUP(C39,'EMP STATUS'!$D$3:$J$77,7,0)</f>
        <v>OLD</v>
      </c>
      <c r="AB39" s="72" t="str">
        <f t="shared" si="48"/>
        <v>YES</v>
      </c>
      <c r="AC39" s="72" t="str">
        <f t="shared" si="49"/>
        <v>NO</v>
      </c>
      <c r="AD39" s="64">
        <f t="shared" si="50"/>
        <v>0</v>
      </c>
      <c r="AE39" s="64">
        <f t="shared" si="51"/>
        <v>0</v>
      </c>
      <c r="AF39" s="64">
        <f t="shared" si="52"/>
        <v>0</v>
      </c>
      <c r="AG39" s="71">
        <f t="shared" si="53"/>
        <v>0</v>
      </c>
      <c r="AH39" s="68">
        <v>0</v>
      </c>
      <c r="AI39" s="68">
        <f t="shared" si="54"/>
        <v>0</v>
      </c>
      <c r="AJ39" s="64">
        <f t="shared" si="55"/>
        <v>0</v>
      </c>
      <c r="AK39" s="66">
        <f>+VLOOKUP(C39,'DSE WISE MGA SALE '!$B$5:$G$116,6,0)</f>
        <v>18630.136986301372</v>
      </c>
      <c r="AL39" s="67">
        <f t="shared" si="56"/>
        <v>18630.136986301372</v>
      </c>
      <c r="AM39" s="67">
        <f t="shared" si="57"/>
        <v>0</v>
      </c>
      <c r="AN39" s="70">
        <f>+COUNTIFS(SALES!$S$2:$S$171,'CALCULATION DSE'!$C$7:$C$80,SALES!$AH$2:$AH$171,"&gt;0")</f>
        <v>0</v>
      </c>
      <c r="AO39" s="68">
        <f t="shared" si="58"/>
        <v>0</v>
      </c>
      <c r="AP39" s="69">
        <f>+COUNTIFS(SALES!$S$2:$S$171,'CALCULATION DSE'!$C$8:$C$80,SALES!$BH$2:$BH$171,"MSSF")</f>
        <v>0</v>
      </c>
      <c r="AQ39" s="69">
        <f t="shared" si="59"/>
        <v>1</v>
      </c>
      <c r="AR39" s="98">
        <f t="shared" si="60"/>
        <v>0</v>
      </c>
      <c r="AS39" s="68">
        <f t="shared" si="61"/>
        <v>0</v>
      </c>
      <c r="AT39" s="68">
        <f t="shared" si="62"/>
        <v>0</v>
      </c>
      <c r="AU39" s="39">
        <f>+COUNTIFS(SALES!$S$2:$S$171,'CALCULATION DSE'!$C$8:$C$80,SALES!$Y$2:$Y$171,"&gt;0")</f>
        <v>1</v>
      </c>
      <c r="AV39" s="39">
        <f t="shared" si="63"/>
        <v>0</v>
      </c>
      <c r="AW39" s="65">
        <f t="shared" si="64"/>
        <v>1</v>
      </c>
      <c r="AX39" s="67">
        <f t="shared" si="65"/>
        <v>0</v>
      </c>
      <c r="AY39" s="67">
        <f t="shared" si="66"/>
        <v>0</v>
      </c>
      <c r="AZ39" s="39">
        <f>+COUNTIFS(SALES!$S$2:$S$171,'CALCULATION DSE'!$C$8:$C$80,SALES!$AC$2:$AC$171,"&gt;0")</f>
        <v>1</v>
      </c>
      <c r="BA39" s="39">
        <f t="shared" si="67"/>
        <v>0</v>
      </c>
      <c r="BB39" s="65">
        <f t="shared" si="68"/>
        <v>1</v>
      </c>
      <c r="BC39" s="66">
        <f t="shared" si="69"/>
        <v>0</v>
      </c>
      <c r="BD39" s="66">
        <f t="shared" si="70"/>
        <v>0</v>
      </c>
      <c r="BE39" s="99">
        <f>+COUNTIFS(SALES!$S$2:$S$171,'CALCULATION DSE'!$C$8:$C$80,SALES!$CA$2:$CA$171,"YES")</f>
        <v>0</v>
      </c>
      <c r="BF39" s="66">
        <f t="shared" si="71"/>
        <v>0</v>
      </c>
      <c r="BG39" s="37">
        <f>+SUMIFS(SALES!$BA$2:$BA$171,SALES!$S$2:$S$171,'CALCULATION DSE'!$C$8:$C$80)</f>
        <v>9546</v>
      </c>
      <c r="BH39" s="37">
        <f t="shared" si="72"/>
        <v>9546</v>
      </c>
      <c r="BI39" s="65">
        <f t="shared" si="73"/>
        <v>0.6</v>
      </c>
      <c r="BJ39" s="64">
        <f t="shared" si="74"/>
        <v>0</v>
      </c>
      <c r="BK39" s="64">
        <f t="shared" si="75"/>
        <v>0</v>
      </c>
      <c r="BL39" s="64">
        <v>0</v>
      </c>
      <c r="BM39" s="64">
        <f t="shared" si="76"/>
        <v>0</v>
      </c>
      <c r="BN39" s="37">
        <f t="shared" si="77"/>
        <v>0</v>
      </c>
      <c r="BO39" s="38">
        <f t="shared" si="78"/>
        <v>0</v>
      </c>
      <c r="BP39" s="64">
        <f t="shared" si="79"/>
        <v>0</v>
      </c>
      <c r="BQ39" s="64">
        <f t="shared" si="80"/>
        <v>0</v>
      </c>
      <c r="BR39" s="64">
        <f t="shared" si="81"/>
        <v>0</v>
      </c>
      <c r="BS39" s="64">
        <f t="shared" si="82"/>
        <v>0</v>
      </c>
      <c r="BT39" s="64">
        <f t="shared" si="83"/>
        <v>0</v>
      </c>
      <c r="BU39" s="64">
        <f t="shared" si="84"/>
        <v>0</v>
      </c>
      <c r="BV39" s="63">
        <f t="shared" si="85"/>
        <v>0</v>
      </c>
      <c r="CB39" s="50"/>
      <c r="CC39" s="50"/>
      <c r="CD39" s="62"/>
      <c r="CF39" s="46"/>
    </row>
    <row r="40" spans="1:84" customFormat="1" hidden="1" x14ac:dyDescent="0.3">
      <c r="A40" s="74" t="s">
        <v>3078</v>
      </c>
      <c r="B40" s="40" t="s">
        <v>2286</v>
      </c>
      <c r="C40" s="40" t="s">
        <v>2286</v>
      </c>
      <c r="D40" s="40" t="s">
        <v>2286</v>
      </c>
      <c r="E40" s="73" t="s">
        <v>2283</v>
      </c>
      <c r="F40" s="79" t="str">
        <f>+VLOOKUP(C40,'EMP STATUS'!$D$3:$K$77,8,0)</f>
        <v>2179</v>
      </c>
      <c r="G40" s="39">
        <f>+COUNTIFS(SALES!$S$2:$S$171,'CALCULATION DSE'!$C$8:$C$80,SALES!$N$2:$N$171,'CALCULATION DSE'!$G$6:$U$6)</f>
        <v>0</v>
      </c>
      <c r="H40" s="39">
        <f>+COUNTIFS(SALES!$S$2:$S$171,'CALCULATION DSE'!$C$8:$C$80,SALES!$N$2:$N$171,'CALCULATION DSE'!$G$6:$U$6)</f>
        <v>0</v>
      </c>
      <c r="I40" s="39">
        <f>+COUNTIFS(SALES!$S$2:$S$171,'CALCULATION DSE'!$C$8:$C$80,SALES!$N$2:$N$171,'CALCULATION DSE'!$G$6:$U$6)</f>
        <v>0</v>
      </c>
      <c r="J40" s="39">
        <f>+COUNTIFS(SALES!$S$2:$S$171,'CALCULATION DSE'!$C$8:$C$80,SALES!$N$2:$N$171,'CALCULATION DSE'!$G$6:$U$6)</f>
        <v>0</v>
      </c>
      <c r="K40" s="39">
        <f>+COUNTIFS(SALES!$S$2:$S$171,'CALCULATION DSE'!$C$8:$C$80,SALES!$N$2:$N$171,'CALCULATION DSE'!$G$6:$U$6)</f>
        <v>0</v>
      </c>
      <c r="L40" s="39">
        <f>+COUNTIFS(SALES!$S$2:$S$171,'CALCULATION DSE'!$C$8:$C$80,SALES!$N$2:$N$171,'CALCULATION DSE'!$G$6:$U$6)</f>
        <v>0</v>
      </c>
      <c r="M40" s="39">
        <f>+COUNTIFS(SALES!$S$2:$S$171,'CALCULATION DSE'!$C$8:$C$80,SALES!$N$2:$N$171,'CALCULATION DSE'!$G$6:$U$6)</f>
        <v>0</v>
      </c>
      <c r="N40" s="39">
        <f>+COUNTIFS(SALES!$S$2:$S$171,'CALCULATION DSE'!$C$8:$C$80,SALES!$N$2:$N$171,'CALCULATION DSE'!$G$6:$U$6)</f>
        <v>0</v>
      </c>
      <c r="O40" s="39">
        <f>+COUNTIFS(SALES!$S$2:$S$171,'CALCULATION DSE'!$C$8:$C$80,SALES!$N$2:$N$171,'CALCULATION DSE'!$G$6:$U$6)</f>
        <v>0</v>
      </c>
      <c r="P40" s="39">
        <f>+COUNTIFS(SALES!$S$2:$S$171,'CALCULATION DSE'!$C$8:$C$80,SALES!$N$2:$N$171,'CALCULATION DSE'!$G$6:$U$6)</f>
        <v>0</v>
      </c>
      <c r="Q40" s="39">
        <f>+COUNTIFS(SALES!$S$2:$S$171,'CALCULATION DSE'!$C$8:$C$80,SALES!$N$2:$N$171,'CALCULATION DSE'!$G$6:$U$6)</f>
        <v>1</v>
      </c>
      <c r="R40" s="39">
        <f>+COUNTIFS(SALES!$S$2:$S$171,'CALCULATION DSE'!$C$8:$C$80,SALES!$N$2:$N$171,'CALCULATION DSE'!$G$6:$U$6)</f>
        <v>1</v>
      </c>
      <c r="S40" s="39">
        <f>+COUNTIFS(SALES!$S$2:$S$171,'CALCULATION DSE'!$C$8:$C$80,SALES!$N$2:$N$171,'CALCULATION DSE'!$G$6:$U$6)</f>
        <v>0</v>
      </c>
      <c r="T40" s="39">
        <f>+COUNTIFS(SALES!$S$2:$S$171,'CALCULATION DSE'!$C$8:$C$80,SALES!$N$2:$N$171,'CALCULATION DSE'!$G$6:$U$6)</f>
        <v>0</v>
      </c>
      <c r="U40" s="39">
        <f>+COUNTIFS(SALES!$S$2:$S$171,'CALCULATION DSE'!$C$8:$C$80,SALES!$N$2:$N$171,'CALCULATION DSE'!$G$6:$U$6)</f>
        <v>0</v>
      </c>
      <c r="V40" s="36">
        <f t="shared" si="43"/>
        <v>2</v>
      </c>
      <c r="W40" s="36">
        <f t="shared" si="44"/>
        <v>1</v>
      </c>
      <c r="X40" s="79">
        <f t="shared" si="45"/>
        <v>1</v>
      </c>
      <c r="Y40" s="79">
        <f t="shared" si="46"/>
        <v>0</v>
      </c>
      <c r="Z40" s="79">
        <f t="shared" si="47"/>
        <v>0</v>
      </c>
      <c r="AA40" s="79" t="str">
        <f>+VLOOKUP(C40,'EMP STATUS'!$D$3:$J$77,7,0)</f>
        <v>OLD</v>
      </c>
      <c r="AB40" s="72" t="str">
        <f t="shared" si="48"/>
        <v>YES</v>
      </c>
      <c r="AC40" s="72" t="str">
        <f t="shared" si="49"/>
        <v>NO</v>
      </c>
      <c r="AD40" s="64">
        <f t="shared" si="50"/>
        <v>0</v>
      </c>
      <c r="AE40" s="64">
        <f t="shared" si="51"/>
        <v>0</v>
      </c>
      <c r="AF40" s="64">
        <f t="shared" si="52"/>
        <v>0</v>
      </c>
      <c r="AG40" s="71">
        <f t="shared" si="53"/>
        <v>0</v>
      </c>
      <c r="AH40" s="68">
        <v>0</v>
      </c>
      <c r="AI40" s="68">
        <f t="shared" si="54"/>
        <v>0</v>
      </c>
      <c r="AJ40" s="64">
        <f t="shared" si="55"/>
        <v>0</v>
      </c>
      <c r="AK40" s="66">
        <f>+VLOOKUP(C40,'DSE WISE MGA SALE '!$B$5:$G$116,6,0)</f>
        <v>23150</v>
      </c>
      <c r="AL40" s="67">
        <f t="shared" si="56"/>
        <v>11575</v>
      </c>
      <c r="AM40" s="67">
        <f t="shared" si="57"/>
        <v>0</v>
      </c>
      <c r="AN40" s="70">
        <f>+COUNTIFS(SALES!$S$2:$S$171,'CALCULATION DSE'!$C$7:$C$80,SALES!$AH$2:$AH$171,"&gt;0")</f>
        <v>1</v>
      </c>
      <c r="AO40" s="68">
        <f t="shared" si="58"/>
        <v>400</v>
      </c>
      <c r="AP40" s="69">
        <f>+COUNTIFS(SALES!$S$2:$S$171,'CALCULATION DSE'!$C$8:$C$80,SALES!$BH$2:$BH$171,"MSSF")</f>
        <v>1</v>
      </c>
      <c r="AQ40" s="69">
        <f t="shared" si="59"/>
        <v>1</v>
      </c>
      <c r="AR40" s="98">
        <f t="shared" si="60"/>
        <v>0.5</v>
      </c>
      <c r="AS40" s="68">
        <f t="shared" si="61"/>
        <v>0</v>
      </c>
      <c r="AT40" s="68">
        <f t="shared" si="62"/>
        <v>0</v>
      </c>
      <c r="AU40" s="39">
        <f>+COUNTIFS(SALES!$S$2:$S$171,'CALCULATION DSE'!$C$8:$C$80,SALES!$Y$2:$Y$171,"&gt;0")</f>
        <v>1</v>
      </c>
      <c r="AV40" s="39">
        <f t="shared" si="63"/>
        <v>1</v>
      </c>
      <c r="AW40" s="65">
        <f t="shared" si="64"/>
        <v>0.5</v>
      </c>
      <c r="AX40" s="67">
        <f t="shared" si="65"/>
        <v>0</v>
      </c>
      <c r="AY40" s="67">
        <f t="shared" si="66"/>
        <v>0</v>
      </c>
      <c r="AZ40" s="39">
        <f>+COUNTIFS(SALES!$S$2:$S$171,'CALCULATION DSE'!$C$8:$C$80,SALES!$AC$2:$AC$171,"&gt;0")</f>
        <v>0</v>
      </c>
      <c r="BA40" s="39">
        <f t="shared" si="67"/>
        <v>2</v>
      </c>
      <c r="BB40" s="65">
        <f t="shared" si="68"/>
        <v>0</v>
      </c>
      <c r="BC40" s="66">
        <f t="shared" si="69"/>
        <v>0</v>
      </c>
      <c r="BD40" s="66">
        <f t="shared" si="70"/>
        <v>0</v>
      </c>
      <c r="BE40" s="99">
        <f>+COUNTIFS(SALES!$S$2:$S$171,'CALCULATION DSE'!$C$8:$C$80,SALES!$CA$2:$CA$171,"YES")</f>
        <v>0</v>
      </c>
      <c r="BF40" s="66">
        <f t="shared" si="71"/>
        <v>0</v>
      </c>
      <c r="BG40" s="37">
        <f>+SUMIFS(SALES!$BA$2:$BA$171,SALES!$S$2:$S$171,'CALCULATION DSE'!$C$8:$C$80)</f>
        <v>10926</v>
      </c>
      <c r="BH40" s="37">
        <f t="shared" si="72"/>
        <v>5463</v>
      </c>
      <c r="BI40" s="65">
        <f t="shared" si="73"/>
        <v>1</v>
      </c>
      <c r="BJ40" s="64">
        <f t="shared" si="74"/>
        <v>0</v>
      </c>
      <c r="BK40" s="64">
        <f t="shared" si="75"/>
        <v>400</v>
      </c>
      <c r="BL40" s="64">
        <v>0</v>
      </c>
      <c r="BM40" s="64">
        <f t="shared" si="76"/>
        <v>0</v>
      </c>
      <c r="BN40" s="37">
        <f t="shared" si="77"/>
        <v>400</v>
      </c>
      <c r="BO40" s="38">
        <f t="shared" si="78"/>
        <v>0</v>
      </c>
      <c r="BP40" s="64">
        <f t="shared" si="79"/>
        <v>0</v>
      </c>
      <c r="BQ40" s="64">
        <f t="shared" si="80"/>
        <v>0</v>
      </c>
      <c r="BR40" s="64">
        <f t="shared" si="81"/>
        <v>0</v>
      </c>
      <c r="BS40" s="64">
        <f t="shared" si="82"/>
        <v>0</v>
      </c>
      <c r="BT40" s="64">
        <f t="shared" si="83"/>
        <v>0</v>
      </c>
      <c r="BU40" s="64">
        <f t="shared" si="84"/>
        <v>0</v>
      </c>
      <c r="BV40" s="63">
        <f t="shared" si="85"/>
        <v>400</v>
      </c>
      <c r="CB40" s="50"/>
      <c r="CC40" s="50"/>
      <c r="CD40" s="62"/>
      <c r="CF40" s="46"/>
    </row>
    <row r="41" spans="1:84" hidden="1" x14ac:dyDescent="0.3">
      <c r="A41" s="72" t="s">
        <v>879</v>
      </c>
      <c r="B41" s="145" t="s">
        <v>2280</v>
      </c>
      <c r="C41" s="145" t="s">
        <v>2280</v>
      </c>
      <c r="D41" s="145" t="s">
        <v>2280</v>
      </c>
      <c r="E41" s="145" t="s">
        <v>2877</v>
      </c>
      <c r="F41" s="79" t="str">
        <f>+VLOOKUP(C41,'EMP STATUS'!$D$3:$K$77,8,0)</f>
        <v>BUR086</v>
      </c>
      <c r="G41" s="72">
        <f>+COUNTIFS(SALES!$S$2:$S$171,'CALCULATION DSE'!$C$8:$C$80,SALES!$N$2:$N$171,'CALCULATION DSE'!$G$6:$U$6)</f>
        <v>0</v>
      </c>
      <c r="H41" s="72">
        <f>+COUNTIFS(SALES!$S$2:$S$171,'CALCULATION DSE'!$C$8:$C$80,SALES!$N$2:$N$171,'CALCULATION DSE'!$G$6:$U$6)</f>
        <v>1</v>
      </c>
      <c r="I41" s="72">
        <f>+COUNTIFS(SALES!$S$2:$S$171,'CALCULATION DSE'!$C$8:$C$80,SALES!$N$2:$N$171,'CALCULATION DSE'!$G$6:$U$6)</f>
        <v>0</v>
      </c>
      <c r="J41" s="72">
        <f>+COUNTIFS(SALES!$S$2:$S$171,'CALCULATION DSE'!$C$8:$C$80,SALES!$N$2:$N$171,'CALCULATION DSE'!$G$6:$U$6)</f>
        <v>0</v>
      </c>
      <c r="K41" s="72">
        <f>+COUNTIFS(SALES!$S$2:$S$171,'CALCULATION DSE'!$C$8:$C$80,SALES!$N$2:$N$171,'CALCULATION DSE'!$G$6:$U$6)</f>
        <v>0</v>
      </c>
      <c r="L41" s="72">
        <f>+COUNTIFS(SALES!$S$2:$S$171,'CALCULATION DSE'!$C$8:$C$80,SALES!$N$2:$N$171,'CALCULATION DSE'!$G$6:$U$6)</f>
        <v>0</v>
      </c>
      <c r="M41" s="72">
        <f>+COUNTIFS(SALES!$S$2:$S$171,'CALCULATION DSE'!$C$8:$C$80,SALES!$N$2:$N$171,'CALCULATION DSE'!$G$6:$U$6)</f>
        <v>0</v>
      </c>
      <c r="N41" s="72">
        <f>+COUNTIFS(SALES!$S$2:$S$171,'CALCULATION DSE'!$C$8:$C$80,SALES!$N$2:$N$171,'CALCULATION DSE'!$G$6:$U$6)</f>
        <v>1</v>
      </c>
      <c r="O41" s="72">
        <f>+COUNTIFS(SALES!$S$2:$S$171,'CALCULATION DSE'!$C$8:$C$80,SALES!$N$2:$N$171,'CALCULATION DSE'!$G$6:$U$6)</f>
        <v>0</v>
      </c>
      <c r="P41" s="72">
        <f>+COUNTIFS(SALES!$S$2:$S$171,'CALCULATION DSE'!$C$8:$C$80,SALES!$N$2:$N$171,'CALCULATION DSE'!$G$6:$U$6)</f>
        <v>1</v>
      </c>
      <c r="Q41" s="72">
        <f>+COUNTIFS(SALES!$S$2:$S$171,'CALCULATION DSE'!$C$8:$C$80,SALES!$N$2:$N$171,'CALCULATION DSE'!$G$6:$U$6)</f>
        <v>1</v>
      </c>
      <c r="R41" s="72">
        <f>+COUNTIFS(SALES!$S$2:$S$171,'CALCULATION DSE'!$C$8:$C$80,SALES!$N$2:$N$171,'CALCULATION DSE'!$G$6:$U$6)</f>
        <v>0</v>
      </c>
      <c r="S41" s="72">
        <f>+COUNTIFS(SALES!$S$2:$S$171,'CALCULATION DSE'!$C$8:$C$80,SALES!$N$2:$N$171,'CALCULATION DSE'!$G$6:$U$6)</f>
        <v>0</v>
      </c>
      <c r="T41" s="72">
        <f>+COUNTIFS(SALES!$S$2:$S$171,'CALCULATION DSE'!$C$8:$C$80,SALES!$N$2:$N$171,'CALCULATION DSE'!$G$6:$U$6)</f>
        <v>1</v>
      </c>
      <c r="U41" s="72">
        <f>+COUNTIFS(SALES!$S$2:$S$171,'CALCULATION DSE'!$C$8:$C$80,SALES!$N$2:$N$171,'CALCULATION DSE'!$G$6:$U$6)</f>
        <v>0</v>
      </c>
      <c r="V41" s="146">
        <f t="shared" si="43"/>
        <v>5</v>
      </c>
      <c r="W41" s="146">
        <f t="shared" si="44"/>
        <v>5</v>
      </c>
      <c r="X41" s="79">
        <f t="shared" si="45"/>
        <v>0</v>
      </c>
      <c r="Y41" s="79">
        <f t="shared" si="46"/>
        <v>1</v>
      </c>
      <c r="Z41" s="79">
        <f t="shared" si="47"/>
        <v>1</v>
      </c>
      <c r="AA41" s="79" t="str">
        <f>+VLOOKUP(C41,'EMP STATUS'!$D$3:$J$77,7,0)</f>
        <v>OLD</v>
      </c>
      <c r="AB41" s="72" t="str">
        <f t="shared" si="48"/>
        <v>YES</v>
      </c>
      <c r="AC41" s="72" t="str">
        <f t="shared" si="49"/>
        <v>YES</v>
      </c>
      <c r="AD41" s="147">
        <f t="shared" si="50"/>
        <v>0</v>
      </c>
      <c r="AE41" s="147">
        <f t="shared" si="51"/>
        <v>10000</v>
      </c>
      <c r="AF41" s="147">
        <f t="shared" si="52"/>
        <v>0</v>
      </c>
      <c r="AG41" s="148">
        <f t="shared" si="53"/>
        <v>10000</v>
      </c>
      <c r="AH41" s="149">
        <v>0</v>
      </c>
      <c r="AI41" s="149">
        <f t="shared" si="54"/>
        <v>0</v>
      </c>
      <c r="AJ41" s="147">
        <f t="shared" si="55"/>
        <v>0</v>
      </c>
      <c r="AK41" s="99">
        <f>+VLOOKUP(C41,'DSE WISE MGA SALE '!$B$5:$G$116,6,0)</f>
        <v>53934.931506849316</v>
      </c>
      <c r="AL41" s="99">
        <f t="shared" si="56"/>
        <v>10786.986301369863</v>
      </c>
      <c r="AM41" s="99">
        <f t="shared" si="57"/>
        <v>0</v>
      </c>
      <c r="AN41" s="150">
        <f>+COUNTIFS(SALES!$S$2:$S$171,'CALCULATION DSE'!$C$7:$C$80,SALES!$AH$2:$AH$171,"&gt;0")</f>
        <v>1</v>
      </c>
      <c r="AO41" s="149">
        <f t="shared" si="58"/>
        <v>400</v>
      </c>
      <c r="AP41" s="151">
        <f>+COUNTIFS(SALES!$S$2:$S$171,'CALCULATION DSE'!$C$8:$C$80,SALES!$BH$2:$BH$171,"MSSF")</f>
        <v>4</v>
      </c>
      <c r="AQ41" s="151">
        <f t="shared" si="59"/>
        <v>1</v>
      </c>
      <c r="AR41" s="152">
        <f t="shared" si="60"/>
        <v>0.8</v>
      </c>
      <c r="AS41" s="149">
        <f t="shared" si="61"/>
        <v>1000</v>
      </c>
      <c r="AT41" s="149">
        <f t="shared" si="62"/>
        <v>0</v>
      </c>
      <c r="AU41" s="72">
        <f>+COUNTIFS(SALES!$S$2:$S$171,'CALCULATION DSE'!$C$8:$C$80,SALES!$Y$2:$Y$171,"&gt;0")</f>
        <v>5</v>
      </c>
      <c r="AV41" s="72">
        <f t="shared" si="63"/>
        <v>0</v>
      </c>
      <c r="AW41" s="153">
        <f t="shared" si="64"/>
        <v>1</v>
      </c>
      <c r="AX41" s="99">
        <f t="shared" si="65"/>
        <v>5000</v>
      </c>
      <c r="AY41" s="99">
        <f t="shared" si="66"/>
        <v>0</v>
      </c>
      <c r="AZ41" s="72">
        <f>+COUNTIFS(SALES!$S$2:$S$171,'CALCULATION DSE'!$C$8:$C$80,SALES!$AC$2:$AC$171,"&gt;0")</f>
        <v>3</v>
      </c>
      <c r="BA41" s="72">
        <f t="shared" si="67"/>
        <v>2</v>
      </c>
      <c r="BB41" s="153">
        <f t="shared" si="68"/>
        <v>0.6</v>
      </c>
      <c r="BC41" s="99">
        <f t="shared" si="69"/>
        <v>0</v>
      </c>
      <c r="BD41" s="99">
        <f t="shared" si="70"/>
        <v>0</v>
      </c>
      <c r="BE41" s="99">
        <f>+COUNTIFS(SALES!$S$2:$S$171,'CALCULATION DSE'!$C$8:$C$80,SALES!$CA$2:$CA$171,"YES")</f>
        <v>0</v>
      </c>
      <c r="BF41" s="99">
        <f t="shared" si="71"/>
        <v>0</v>
      </c>
      <c r="BG41" s="148">
        <f>+SUMIFS(SALES!$BA$2:$BA$171,SALES!$S$2:$S$171,'CALCULATION DSE'!$C$8:$C$80)</f>
        <v>19924</v>
      </c>
      <c r="BH41" s="148">
        <f t="shared" si="72"/>
        <v>3984.8</v>
      </c>
      <c r="BI41" s="153">
        <f t="shared" si="73"/>
        <v>1.1000000000000001</v>
      </c>
      <c r="BJ41" s="147">
        <f t="shared" si="74"/>
        <v>11000</v>
      </c>
      <c r="BK41" s="147">
        <f t="shared" si="75"/>
        <v>17400</v>
      </c>
      <c r="BL41" s="147">
        <v>0</v>
      </c>
      <c r="BM41" s="147">
        <f t="shared" si="76"/>
        <v>0</v>
      </c>
      <c r="BN41" s="148">
        <f t="shared" si="77"/>
        <v>17400</v>
      </c>
      <c r="BO41" s="99">
        <f t="shared" si="78"/>
        <v>0</v>
      </c>
      <c r="BP41" s="147">
        <f t="shared" si="79"/>
        <v>0</v>
      </c>
      <c r="BQ41" s="147">
        <f t="shared" si="80"/>
        <v>0</v>
      </c>
      <c r="BR41" s="147">
        <f t="shared" si="81"/>
        <v>1</v>
      </c>
      <c r="BS41" s="147">
        <f t="shared" si="82"/>
        <v>2000</v>
      </c>
      <c r="BT41" s="147">
        <f t="shared" si="83"/>
        <v>1</v>
      </c>
      <c r="BU41" s="147">
        <f t="shared" si="84"/>
        <v>1000</v>
      </c>
      <c r="BV41" s="154">
        <f t="shared" si="85"/>
        <v>20400</v>
      </c>
      <c r="CB41" s="155"/>
      <c r="CC41" s="155"/>
      <c r="CD41" s="156"/>
      <c r="CF41" s="157"/>
    </row>
    <row r="42" spans="1:84" customFormat="1" hidden="1" x14ac:dyDescent="0.3">
      <c r="A42" s="74" t="s">
        <v>3079</v>
      </c>
      <c r="B42" s="40" t="s">
        <v>2259</v>
      </c>
      <c r="C42" s="40" t="s">
        <v>2258</v>
      </c>
      <c r="D42" s="40" t="s">
        <v>2407</v>
      </c>
      <c r="E42" s="73" t="s">
        <v>646</v>
      </c>
      <c r="F42" s="79" t="str">
        <f>+VLOOKUP(C42,'EMP STATUS'!$D$3:$K$77,8,0)</f>
        <v>1735</v>
      </c>
      <c r="G42" s="39">
        <f>+COUNTIFS(SALES!$S$2:$S$171,'CALCULATION DSE'!$C$8:$C$80,SALES!$N$2:$N$171,'CALCULATION DSE'!$G$6:$U$6)</f>
        <v>0</v>
      </c>
      <c r="H42" s="39">
        <f>+COUNTIFS(SALES!$S$2:$S$171,'CALCULATION DSE'!$C$8:$C$80,SALES!$N$2:$N$171,'CALCULATION DSE'!$G$6:$U$6)</f>
        <v>0</v>
      </c>
      <c r="I42" s="39">
        <f>+COUNTIFS(SALES!$S$2:$S$171,'CALCULATION DSE'!$C$8:$C$80,SALES!$N$2:$N$171,'CALCULATION DSE'!$G$6:$U$6)</f>
        <v>0</v>
      </c>
      <c r="J42" s="39">
        <f>+COUNTIFS(SALES!$S$2:$S$171,'CALCULATION DSE'!$C$8:$C$80,SALES!$N$2:$N$171,'CALCULATION DSE'!$G$6:$U$6)</f>
        <v>0</v>
      </c>
      <c r="K42" s="39">
        <f>+COUNTIFS(SALES!$S$2:$S$171,'CALCULATION DSE'!$C$8:$C$80,SALES!$N$2:$N$171,'CALCULATION DSE'!$G$6:$U$6)</f>
        <v>0</v>
      </c>
      <c r="L42" s="39">
        <f>+COUNTIFS(SALES!$S$2:$S$171,'CALCULATION DSE'!$C$8:$C$80,SALES!$N$2:$N$171,'CALCULATION DSE'!$G$6:$U$6)</f>
        <v>0</v>
      </c>
      <c r="M42" s="39">
        <f>+COUNTIFS(SALES!$S$2:$S$171,'CALCULATION DSE'!$C$8:$C$80,SALES!$N$2:$N$171,'CALCULATION DSE'!$G$6:$U$6)</f>
        <v>0</v>
      </c>
      <c r="N42" s="39">
        <f>+COUNTIFS(SALES!$S$2:$S$171,'CALCULATION DSE'!$C$8:$C$80,SALES!$N$2:$N$171,'CALCULATION DSE'!$G$6:$U$6)</f>
        <v>0</v>
      </c>
      <c r="O42" s="39">
        <f>+COUNTIFS(SALES!$S$2:$S$171,'CALCULATION DSE'!$C$8:$C$80,SALES!$N$2:$N$171,'CALCULATION DSE'!$G$6:$U$6)</f>
        <v>0</v>
      </c>
      <c r="P42" s="39">
        <f>+COUNTIFS(SALES!$S$2:$S$171,'CALCULATION DSE'!$C$8:$C$80,SALES!$N$2:$N$171,'CALCULATION DSE'!$G$6:$U$6)</f>
        <v>0</v>
      </c>
      <c r="Q42" s="39">
        <f>+COUNTIFS(SALES!$S$2:$S$171,'CALCULATION DSE'!$C$8:$C$80,SALES!$N$2:$N$171,'CALCULATION DSE'!$G$6:$U$6)</f>
        <v>1</v>
      </c>
      <c r="R42" s="39">
        <f>+COUNTIFS(SALES!$S$2:$S$171,'CALCULATION DSE'!$C$8:$C$80,SALES!$N$2:$N$171,'CALCULATION DSE'!$G$6:$U$6)</f>
        <v>2</v>
      </c>
      <c r="S42" s="39">
        <f>+COUNTIFS(SALES!$S$2:$S$171,'CALCULATION DSE'!$C$8:$C$80,SALES!$N$2:$N$171,'CALCULATION DSE'!$G$6:$U$6)</f>
        <v>0</v>
      </c>
      <c r="T42" s="39">
        <f>+COUNTIFS(SALES!$S$2:$S$171,'CALCULATION DSE'!$C$8:$C$80,SALES!$N$2:$N$171,'CALCULATION DSE'!$G$6:$U$6)</f>
        <v>0</v>
      </c>
      <c r="U42" s="39">
        <f>+COUNTIFS(SALES!$S$2:$S$171,'CALCULATION DSE'!$C$8:$C$80,SALES!$N$2:$N$171,'CALCULATION DSE'!$G$6:$U$6)</f>
        <v>0</v>
      </c>
      <c r="V42" s="36">
        <f t="shared" si="43"/>
        <v>3</v>
      </c>
      <c r="W42" s="36">
        <f t="shared" si="44"/>
        <v>1</v>
      </c>
      <c r="X42" s="79">
        <f t="shared" si="45"/>
        <v>2</v>
      </c>
      <c r="Y42" s="79">
        <f t="shared" si="46"/>
        <v>0</v>
      </c>
      <c r="Z42" s="79">
        <f t="shared" si="47"/>
        <v>0</v>
      </c>
      <c r="AA42" s="79" t="str">
        <f>+VLOOKUP(C42,'EMP STATUS'!$D$3:$J$77,7,0)</f>
        <v>OLD</v>
      </c>
      <c r="AB42" s="72" t="str">
        <f t="shared" si="48"/>
        <v>YES</v>
      </c>
      <c r="AC42" s="72" t="str">
        <f t="shared" si="49"/>
        <v>NO</v>
      </c>
      <c r="AD42" s="64">
        <f t="shared" si="50"/>
        <v>0</v>
      </c>
      <c r="AE42" s="64">
        <f t="shared" si="51"/>
        <v>0</v>
      </c>
      <c r="AF42" s="64">
        <f t="shared" si="52"/>
        <v>0</v>
      </c>
      <c r="AG42" s="71">
        <f t="shared" si="53"/>
        <v>0</v>
      </c>
      <c r="AH42" s="68">
        <v>0</v>
      </c>
      <c r="AI42" s="68">
        <f t="shared" si="54"/>
        <v>0</v>
      </c>
      <c r="AJ42" s="64">
        <f t="shared" si="55"/>
        <v>0</v>
      </c>
      <c r="AK42" s="66">
        <f>+VLOOKUP(C42,'DSE WISE MGA SALE '!$B$5:$G$116,6,0)</f>
        <v>31334.246575342466</v>
      </c>
      <c r="AL42" s="67">
        <f t="shared" si="56"/>
        <v>10444.748858447489</v>
      </c>
      <c r="AM42" s="67">
        <f t="shared" si="57"/>
        <v>0</v>
      </c>
      <c r="AN42" s="70">
        <f>+COUNTIFS(SALES!$S$2:$S$171,'CALCULATION DSE'!$C$7:$C$80,SALES!$AH$2:$AH$171,"&gt;0")</f>
        <v>0</v>
      </c>
      <c r="AO42" s="68">
        <f t="shared" si="58"/>
        <v>0</v>
      </c>
      <c r="AP42" s="69">
        <f>+COUNTIFS(SALES!$S$2:$S$171,'CALCULATION DSE'!$C$8:$C$80,SALES!$BH$2:$BH$171,"MSSF")</f>
        <v>1</v>
      </c>
      <c r="AQ42" s="69">
        <f t="shared" si="59"/>
        <v>2</v>
      </c>
      <c r="AR42" s="98">
        <f t="shared" si="60"/>
        <v>0.33333333333333331</v>
      </c>
      <c r="AS42" s="68">
        <f t="shared" si="61"/>
        <v>0</v>
      </c>
      <c r="AT42" s="68">
        <f t="shared" si="62"/>
        <v>0</v>
      </c>
      <c r="AU42" s="39">
        <f>+COUNTIFS(SALES!$S$2:$S$171,'CALCULATION DSE'!$C$8:$C$80,SALES!$Y$2:$Y$171,"&gt;0")</f>
        <v>1</v>
      </c>
      <c r="AV42" s="39">
        <f t="shared" si="63"/>
        <v>2</v>
      </c>
      <c r="AW42" s="65">
        <f t="shared" si="64"/>
        <v>0.33333333333333331</v>
      </c>
      <c r="AX42" s="67">
        <f t="shared" si="65"/>
        <v>0</v>
      </c>
      <c r="AY42" s="67">
        <f t="shared" si="66"/>
        <v>0</v>
      </c>
      <c r="AZ42" s="39">
        <f>+COUNTIFS(SALES!$S$2:$S$171,'CALCULATION DSE'!$C$8:$C$80,SALES!$AC$2:$AC$171,"&gt;0")</f>
        <v>0</v>
      </c>
      <c r="BA42" s="39">
        <f t="shared" si="67"/>
        <v>3</v>
      </c>
      <c r="BB42" s="65">
        <f t="shared" si="68"/>
        <v>0</v>
      </c>
      <c r="BC42" s="66">
        <f t="shared" si="69"/>
        <v>0</v>
      </c>
      <c r="BD42" s="66">
        <f t="shared" si="70"/>
        <v>0</v>
      </c>
      <c r="BE42" s="99">
        <f>+COUNTIFS(SALES!$S$2:$S$171,'CALCULATION DSE'!$C$8:$C$80,SALES!$CA$2:$CA$171,"YES")</f>
        <v>0</v>
      </c>
      <c r="BF42" s="66">
        <f t="shared" si="71"/>
        <v>0</v>
      </c>
      <c r="BG42" s="37">
        <f>+SUMIFS(SALES!$BA$2:$BA$171,SALES!$S$2:$S$171,'CALCULATION DSE'!$C$8:$C$80)</f>
        <v>7500</v>
      </c>
      <c r="BH42" s="37">
        <f t="shared" si="72"/>
        <v>2500</v>
      </c>
      <c r="BI42" s="65">
        <f t="shared" si="73"/>
        <v>1.1000000000000001</v>
      </c>
      <c r="BJ42" s="64">
        <f t="shared" si="74"/>
        <v>0</v>
      </c>
      <c r="BK42" s="64">
        <f t="shared" si="75"/>
        <v>0</v>
      </c>
      <c r="BL42" s="64">
        <v>0</v>
      </c>
      <c r="BM42" s="64">
        <f t="shared" si="76"/>
        <v>0</v>
      </c>
      <c r="BN42" s="37">
        <f t="shared" si="77"/>
        <v>0</v>
      </c>
      <c r="BO42" s="38">
        <f t="shared" si="78"/>
        <v>0</v>
      </c>
      <c r="BP42" s="64">
        <f t="shared" si="79"/>
        <v>0</v>
      </c>
      <c r="BQ42" s="64">
        <f t="shared" si="80"/>
        <v>0</v>
      </c>
      <c r="BR42" s="64">
        <f t="shared" si="81"/>
        <v>0</v>
      </c>
      <c r="BS42" s="64">
        <f t="shared" si="82"/>
        <v>0</v>
      </c>
      <c r="BT42" s="64">
        <f t="shared" si="83"/>
        <v>0</v>
      </c>
      <c r="BU42" s="64">
        <f t="shared" si="84"/>
        <v>0</v>
      </c>
      <c r="BV42" s="63">
        <f t="shared" si="85"/>
        <v>0</v>
      </c>
      <c r="CB42" s="50"/>
      <c r="CC42" s="50"/>
      <c r="CD42" s="62"/>
      <c r="CF42" s="46"/>
    </row>
    <row r="43" spans="1:84" hidden="1" x14ac:dyDescent="0.3">
      <c r="A43" s="72" t="s">
        <v>652</v>
      </c>
      <c r="B43" s="145" t="s">
        <v>2259</v>
      </c>
      <c r="C43" s="145" t="s">
        <v>2369</v>
      </c>
      <c r="D43" s="145" t="s">
        <v>2407</v>
      </c>
      <c r="E43" s="145" t="s">
        <v>646</v>
      </c>
      <c r="F43" s="79" t="str">
        <f>+VLOOKUP(C43,'EMP STATUS'!$D$3:$K$77,8,0)</f>
        <v>BUR098</v>
      </c>
      <c r="G43" s="72">
        <f>+COUNTIFS(SALES!$S$2:$S$171,'CALCULATION DSE'!$C$8:$C$80,SALES!$N$2:$N$171,'CALCULATION DSE'!$G$6:$U$6)</f>
        <v>0</v>
      </c>
      <c r="H43" s="72">
        <f>+COUNTIFS(SALES!$S$2:$S$171,'CALCULATION DSE'!$C$8:$C$80,SALES!$N$2:$N$171,'CALCULATION DSE'!$G$6:$U$6)</f>
        <v>0</v>
      </c>
      <c r="I43" s="72">
        <f>+COUNTIFS(SALES!$S$2:$S$171,'CALCULATION DSE'!$C$8:$C$80,SALES!$N$2:$N$171,'CALCULATION DSE'!$G$6:$U$6)</f>
        <v>0</v>
      </c>
      <c r="J43" s="72">
        <f>+COUNTIFS(SALES!$S$2:$S$171,'CALCULATION DSE'!$C$8:$C$80,SALES!$N$2:$N$171,'CALCULATION DSE'!$G$6:$U$6)</f>
        <v>0</v>
      </c>
      <c r="K43" s="72">
        <f>+COUNTIFS(SALES!$S$2:$S$171,'CALCULATION DSE'!$C$8:$C$80,SALES!$N$2:$N$171,'CALCULATION DSE'!$G$6:$U$6)</f>
        <v>0</v>
      </c>
      <c r="L43" s="72">
        <f>+COUNTIFS(SALES!$S$2:$S$171,'CALCULATION DSE'!$C$8:$C$80,SALES!$N$2:$N$171,'CALCULATION DSE'!$G$6:$U$6)</f>
        <v>0</v>
      </c>
      <c r="M43" s="72">
        <f>+COUNTIFS(SALES!$S$2:$S$171,'CALCULATION DSE'!$C$8:$C$80,SALES!$N$2:$N$171,'CALCULATION DSE'!$G$6:$U$6)</f>
        <v>1</v>
      </c>
      <c r="N43" s="72">
        <f>+COUNTIFS(SALES!$S$2:$S$171,'CALCULATION DSE'!$C$8:$C$80,SALES!$N$2:$N$171,'CALCULATION DSE'!$G$6:$U$6)</f>
        <v>0</v>
      </c>
      <c r="O43" s="72">
        <f>+COUNTIFS(SALES!$S$2:$S$171,'CALCULATION DSE'!$C$8:$C$80,SALES!$N$2:$N$171,'CALCULATION DSE'!$G$6:$U$6)</f>
        <v>0</v>
      </c>
      <c r="P43" s="72">
        <f>+COUNTIFS(SALES!$S$2:$S$171,'CALCULATION DSE'!$C$8:$C$80,SALES!$N$2:$N$171,'CALCULATION DSE'!$G$6:$U$6)</f>
        <v>2</v>
      </c>
      <c r="Q43" s="72">
        <f>+COUNTIFS(SALES!$S$2:$S$171,'CALCULATION DSE'!$C$8:$C$80,SALES!$N$2:$N$171,'CALCULATION DSE'!$G$6:$U$6)</f>
        <v>2</v>
      </c>
      <c r="R43" s="72">
        <f>+COUNTIFS(SALES!$S$2:$S$171,'CALCULATION DSE'!$C$8:$C$80,SALES!$N$2:$N$171,'CALCULATION DSE'!$G$6:$U$6)</f>
        <v>1</v>
      </c>
      <c r="S43" s="72">
        <f>+COUNTIFS(SALES!$S$2:$S$171,'CALCULATION DSE'!$C$8:$C$80,SALES!$N$2:$N$171,'CALCULATION DSE'!$G$6:$U$6)</f>
        <v>0</v>
      </c>
      <c r="T43" s="72">
        <f>+COUNTIFS(SALES!$S$2:$S$171,'CALCULATION DSE'!$C$8:$C$80,SALES!$N$2:$N$171,'CALCULATION DSE'!$G$6:$U$6)</f>
        <v>0</v>
      </c>
      <c r="U43" s="72">
        <f>+COUNTIFS(SALES!$S$2:$S$171,'CALCULATION DSE'!$C$8:$C$80,SALES!$N$2:$N$171,'CALCULATION DSE'!$G$6:$U$6)</f>
        <v>0</v>
      </c>
      <c r="V43" s="146">
        <f t="shared" ref="V43:V74" si="86">+SUM(G43:U43)</f>
        <v>6</v>
      </c>
      <c r="W43" s="146">
        <f t="shared" ref="W43:W77" si="87">+SUM(G43:Q43,S43:U43)</f>
        <v>5</v>
      </c>
      <c r="X43" s="79">
        <f t="shared" ref="X43:X77" si="88">+R43</f>
        <v>1</v>
      </c>
      <c r="Y43" s="79">
        <f t="shared" ref="Y43:Y77" si="89">+J43+T43</f>
        <v>0</v>
      </c>
      <c r="Z43" s="79">
        <f t="shared" ref="Z43:Z77" si="90">+SUM(G43+H43+I43+J43+K43+L43+M43)</f>
        <v>1</v>
      </c>
      <c r="AA43" s="79" t="str">
        <f>+VLOOKUP(C43,'EMP STATUS'!$D$3:$J$77,7,0)</f>
        <v>OLD</v>
      </c>
      <c r="AB43" s="72" t="str">
        <f t="shared" ref="AB43:AB74" si="91">+IF(AA43="OLD","YES","NO")</f>
        <v>YES</v>
      </c>
      <c r="AC43" s="72" t="str">
        <f t="shared" ref="AC43:AC77" si="92">+IF(AA43="OLD",IF(OR(Y43&gt;=1,Z43&gt;=1),"YES","NO"),"YES")</f>
        <v>YES</v>
      </c>
      <c r="AD43" s="147">
        <f t="shared" ref="AD43:AD77" si="93">+IF(AND(AA43="NEW",V43&lt;2),V43*500,IF(AND(AA43="NEW",V43&gt;=2),IF(V43=2,W43*500,IF(V43=3,W43*750,IF(V43=4,W43*1500,IF(V43=5,W43*2000,IF(V43&gt;=6,W43*2500,0))))),0))</f>
        <v>0</v>
      </c>
      <c r="AE43" s="147">
        <f t="shared" ref="AE43:AE77" si="94">+IF(AND(AA43="OLD",V43&gt;=2,AC43="YES"),IF(V43=2,W43*500,IF(V43=3,W43*750,IF(V43=4,W43*1500,IF(V43=5,W43*2000,IF(V43&gt;=6,W43*2500,0))))),0)</f>
        <v>12500</v>
      </c>
      <c r="AF43" s="147">
        <f t="shared" ref="AF43:AF77" si="95">+IF(AND(AA43="NEW",V43&gt;=2),X43*500,IF(AND(AA43="OLD",V43&gt;=2,AC43="YES"),X43*500,0))</f>
        <v>500</v>
      </c>
      <c r="AG43" s="148">
        <f t="shared" ref="AG43:AG74" si="96">+SUM(AD43:AF43)</f>
        <v>13000</v>
      </c>
      <c r="AH43" s="149">
        <v>0</v>
      </c>
      <c r="AI43" s="149">
        <f t="shared" ref="AI43:AI74" si="97">+IF(AA43="NEW",IF(AH43&gt;=140,1800,0),IF(AND(AA43="OLD",V43&gt;=2),IF(AH43&gt;=140,1800,0),0))</f>
        <v>0</v>
      </c>
      <c r="AJ43" s="147">
        <f t="shared" ref="AJ43:AJ77" si="98">+IF(AH43&gt;0,IF(AH43&lt;145,1000,0),0)</f>
        <v>0</v>
      </c>
      <c r="AK43" s="99">
        <f>+VLOOKUP(C43,'DSE WISE MGA SALE '!$B$5:$G$116,6,0)</f>
        <v>72996.57534246576</v>
      </c>
      <c r="AL43" s="99">
        <f t="shared" ref="AL43:AL74" si="99">+IFERROR(AK43/V43,0)</f>
        <v>12166.095890410959</v>
      </c>
      <c r="AM43" s="99">
        <f t="shared" ref="AM43:AM74" si="100">+IF(AA43="new",IF(AL43&gt;=25001,AK43*5%,IF(AL43&gt;=22501,AK43*4.5%,IF(AL43&gt;=21001,AK43*4%,IF(AL43&gt;=19501,AK43*3.5%,IF(AL43&gt;=17001,AK43*3%,0%))))),IF(AND(AA43="OLD",V43&gt;=2),IF(AL43&gt;=25001,AK43*5%,IF(AL43&gt;=22501,AK43*4.5%,IF(AL43&gt;=21001,AK43*4%,IF(AL43&gt;=19501,AK43*3.5%,IF(AL43&gt;=17001,AK43*3%,0%))))),0))</f>
        <v>0</v>
      </c>
      <c r="AN43" s="150">
        <f>+COUNTIFS(SALES!$S$2:$S$171,'CALCULATION DSE'!$C$7:$C$80,SALES!$AH$2:$AH$171,"&gt;0")</f>
        <v>0</v>
      </c>
      <c r="AO43" s="149">
        <f t="shared" ref="AO43:AO74" si="101">+IF(AN43=1,AN43*400,IF(AN43&gt;=2,AN43*600,0))</f>
        <v>0</v>
      </c>
      <c r="AP43" s="151">
        <f>+COUNTIFS(SALES!$S$2:$S$171,'CALCULATION DSE'!$C$8:$C$80,SALES!$BH$2:$BH$171,"MSSF")</f>
        <v>4</v>
      </c>
      <c r="AQ43" s="151">
        <f t="shared" ref="AQ43:AQ74" si="102">+V43-AP43</f>
        <v>2</v>
      </c>
      <c r="AR43" s="152">
        <f t="shared" ref="AR43:AR77" si="103">+IFERROR(AP43/V43,0)</f>
        <v>0.66666666666666663</v>
      </c>
      <c r="AS43" s="149">
        <f t="shared" ref="AS43:AS74" si="104">+IF(AA43="new",IF(AR43&gt;=70%,AP43*250,0),IF(AND(AA43="old",V43&gt;=2),IF(AR43&gt;=70%,AP43*250,0),0))</f>
        <v>0</v>
      </c>
      <c r="AT43" s="149">
        <f t="shared" ref="AT43:AT77" si="105">+IF(AG43&gt;0,IF(AR43&lt;70%,AQ43*250,0),0)</f>
        <v>500</v>
      </c>
      <c r="AU43" s="72">
        <f>+COUNTIFS(SALES!$S$2:$S$171,'CALCULATION DSE'!$C$8:$C$80,SALES!$Y$2:$Y$171,"&gt;0")</f>
        <v>4</v>
      </c>
      <c r="AV43" s="72">
        <f t="shared" ref="AV43:AV74" si="106">+V43-AU43</f>
        <v>2</v>
      </c>
      <c r="AW43" s="153">
        <f t="shared" ref="AW43:AW77" si="107">+IFERROR(AU43/V43,0)</f>
        <v>0.66666666666666663</v>
      </c>
      <c r="AX43" s="99">
        <f t="shared" ref="AX43:AX74" si="108">+IF(AA43="new",IF(AW43&gt;=80%,AU43*1000,IF(AW43&gt;=70%,AU43*400,0)),IF(AND(AA43="old",V43&gt;=2),IF(AW43&gt;=80%,AU43*1000,IF(AW43&gt;=70%,AU43*400,0)),0))</f>
        <v>0</v>
      </c>
      <c r="AY43" s="99">
        <f t="shared" ref="AY43:AY77" si="109">+IF(AG43&gt;0,IF(AW43&lt;=50%,AV43*400,0),0)</f>
        <v>0</v>
      </c>
      <c r="AZ43" s="72">
        <f>+COUNTIFS(SALES!$S$2:$S$171,'CALCULATION DSE'!$C$8:$C$80,SALES!$AC$2:$AC$171,"&gt;0")</f>
        <v>1</v>
      </c>
      <c r="BA43" s="72">
        <f t="shared" ref="BA43:BA74" si="110">+V43-AZ43</f>
        <v>5</v>
      </c>
      <c r="BB43" s="153">
        <f t="shared" ref="BB43:BB77" si="111">+IFERROR(AZ43/V43,0)</f>
        <v>0.16666666666666666</v>
      </c>
      <c r="BC43" s="99">
        <f t="shared" ref="BC43:BC74" si="112">+IF(AA43="new",IF(BB43&gt;=80%,AZ43*750,IF(BB43&gt;=70%,AZ43*250,0)),IF(AND(AA43="OLD",V43&gt;=2),IF(BB43&gt;=80%,AZ43*750,IF(BB43&gt;=70%,AZ43*250,0)),0))</f>
        <v>0</v>
      </c>
      <c r="BD43" s="99">
        <f t="shared" ref="BD43:BD77" si="113">+IF(AG43&gt;0,IF(BB43&lt;=50%,BA43*250,0),0)</f>
        <v>1250</v>
      </c>
      <c r="BE43" s="99">
        <f>+COUNTIFS(SALES!$S$2:$S$171,'CALCULATION DSE'!$C$8:$C$80,SALES!$CA$2:$CA$171,"YES")</f>
        <v>0</v>
      </c>
      <c r="BF43" s="99">
        <f t="shared" ref="BF43:BF74" si="114">+IF(AA43="NEW",BE43*3000,IF(AND(AA43="OLD",V43&gt;=2),BE43*3000,0))</f>
        <v>0</v>
      </c>
      <c r="BG43" s="148">
        <f>+SUMIFS(SALES!$BA$2:$BA$171,SALES!$S$2:$S$171,'CALCULATION DSE'!$C$8:$C$80)</f>
        <v>9000</v>
      </c>
      <c r="BH43" s="148">
        <f t="shared" ref="BH43:BH74" si="115">+IFERROR(BG43/V43,0)</f>
        <v>1500</v>
      </c>
      <c r="BI43" s="153">
        <f t="shared" ref="BI43:BI74" si="116">+IF(BH43&gt;14000,0%,IF(BH43&gt;=12001,30%,IF(BH43&gt;=10001,40%,IF(BH43&gt;=8001,60%,IF(BH43&gt;=6001,80%,IF(BH43&gt;=4001,100%,IF(BH43&gt;=2001,110%,IF(BH43&gt;=1001,130%,150%))))))))</f>
        <v>1.3</v>
      </c>
      <c r="BJ43" s="147">
        <f t="shared" ref="BJ43:BJ74" si="117">+AG43*BI43</f>
        <v>16900</v>
      </c>
      <c r="BK43" s="147">
        <f t="shared" ref="BK43:BK74" si="118">+IF(SUM(BJ43+AI43-AJ43+AM43+AO43+AS43-AT43+AX43-AY43+BC43-BD43+BF43)&lt;0,0,SUM(BJ43+AI43-AJ43+AM43+AO43+AS43-AT43+AX43-AY43+BC43-BD43+BF43))</f>
        <v>15150</v>
      </c>
      <c r="BL43" s="147">
        <v>0</v>
      </c>
      <c r="BM43" s="147">
        <f t="shared" ref="BM43:BM74" si="119">+IF(BL43=1,BL43*500,IF(BL43&gt;=2,BL43*1000,0))</f>
        <v>0</v>
      </c>
      <c r="BN43" s="148">
        <f t="shared" ref="BN43:BN74" si="120">+BK43-BM43</f>
        <v>15150</v>
      </c>
      <c r="BO43" s="99">
        <f t="shared" ref="BO43:BO77" si="121">+IFERROR(VLOOKUP(C43,$E$87:$O$100,11,0),0)</f>
        <v>0</v>
      </c>
      <c r="BP43" s="147">
        <f t="shared" ref="BP43:BP77" si="122">+U43</f>
        <v>0</v>
      </c>
      <c r="BQ43" s="147">
        <f t="shared" ref="BQ43:BQ74" si="123">+BP43*1000</f>
        <v>0</v>
      </c>
      <c r="BR43" s="147">
        <f t="shared" si="81"/>
        <v>0</v>
      </c>
      <c r="BS43" s="147">
        <f t="shared" ref="BS43:BS74" si="124">+BR43*2000</f>
        <v>0</v>
      </c>
      <c r="BT43" s="147">
        <f t="shared" ref="BT43:BT77" si="125">+G43+H43+L43+M43</f>
        <v>1</v>
      </c>
      <c r="BU43" s="147">
        <f t="shared" ref="BU43:BU74" si="126">+BT43*1000</f>
        <v>1000</v>
      </c>
      <c r="BV43" s="154">
        <f t="shared" ref="BV43:BV74" si="127">+BN43+BO43+BQ43+BS43+BU43</f>
        <v>16150</v>
      </c>
      <c r="BX43" s="87"/>
      <c r="CB43" s="155"/>
      <c r="CC43" s="155"/>
      <c r="CD43" s="156"/>
      <c r="CF43" s="157"/>
    </row>
    <row r="44" spans="1:84" customFormat="1" hidden="1" x14ac:dyDescent="0.3">
      <c r="A44" s="74" t="s">
        <v>3080</v>
      </c>
      <c r="B44" s="75" t="s">
        <v>2862</v>
      </c>
      <c r="C44" s="75" t="s">
        <v>2648</v>
      </c>
      <c r="D44" s="40" t="s">
        <v>2862</v>
      </c>
      <c r="E44" s="73" t="s">
        <v>2878</v>
      </c>
      <c r="F44" s="79" t="str">
        <f>+VLOOKUP(C44,'EMP STATUS'!$D$3:$K$77,8,0)</f>
        <v>2196</v>
      </c>
      <c r="G44" s="39">
        <f>+COUNTIFS(SALES!$S$2:$S$171,'CALCULATION DSE'!$C$8:$C$80,SALES!$N$2:$N$171,'CALCULATION DSE'!$G$6:$U$6)</f>
        <v>0</v>
      </c>
      <c r="H44" s="39">
        <f>+COUNTIFS(SALES!$S$2:$S$171,'CALCULATION DSE'!$C$8:$C$80,SALES!$N$2:$N$171,'CALCULATION DSE'!$G$6:$U$6)</f>
        <v>0</v>
      </c>
      <c r="I44" s="39">
        <f>+COUNTIFS(SALES!$S$2:$S$171,'CALCULATION DSE'!$C$8:$C$80,SALES!$N$2:$N$171,'CALCULATION DSE'!$G$6:$U$6)</f>
        <v>0</v>
      </c>
      <c r="J44" s="39">
        <f>+COUNTIFS(SALES!$S$2:$S$171,'CALCULATION DSE'!$C$8:$C$80,SALES!$N$2:$N$171,'CALCULATION DSE'!$G$6:$U$6)</f>
        <v>0</v>
      </c>
      <c r="K44" s="39">
        <f>+COUNTIFS(SALES!$S$2:$S$171,'CALCULATION DSE'!$C$8:$C$80,SALES!$N$2:$N$171,'CALCULATION DSE'!$G$6:$U$6)</f>
        <v>0</v>
      </c>
      <c r="L44" s="39">
        <f>+COUNTIFS(SALES!$S$2:$S$171,'CALCULATION DSE'!$C$8:$C$80,SALES!$N$2:$N$171,'CALCULATION DSE'!$G$6:$U$6)</f>
        <v>0</v>
      </c>
      <c r="M44" s="39">
        <f>+COUNTIFS(SALES!$S$2:$S$171,'CALCULATION DSE'!$C$8:$C$80,SALES!$N$2:$N$171,'CALCULATION DSE'!$G$6:$U$6)</f>
        <v>0</v>
      </c>
      <c r="N44" s="39">
        <f>+COUNTIFS(SALES!$S$2:$S$171,'CALCULATION DSE'!$C$8:$C$80,SALES!$N$2:$N$171,'CALCULATION DSE'!$G$6:$U$6)</f>
        <v>0</v>
      </c>
      <c r="O44" s="39">
        <f>+COUNTIFS(SALES!$S$2:$S$171,'CALCULATION DSE'!$C$8:$C$80,SALES!$N$2:$N$171,'CALCULATION DSE'!$G$6:$U$6)</f>
        <v>0</v>
      </c>
      <c r="P44" s="39">
        <f>+COUNTIFS(SALES!$S$2:$S$171,'CALCULATION DSE'!$C$8:$C$80,SALES!$N$2:$N$171,'CALCULATION DSE'!$G$6:$U$6)</f>
        <v>0</v>
      </c>
      <c r="Q44" s="39">
        <f>+COUNTIFS(SALES!$S$2:$S$171,'CALCULATION DSE'!$C$8:$C$80,SALES!$N$2:$N$171,'CALCULATION DSE'!$G$6:$U$6)</f>
        <v>1</v>
      </c>
      <c r="R44" s="39">
        <f>+COUNTIFS(SALES!$S$2:$S$171,'CALCULATION DSE'!$C$8:$C$80,SALES!$N$2:$N$171,'CALCULATION DSE'!$G$6:$U$6)</f>
        <v>0</v>
      </c>
      <c r="S44" s="39">
        <f>+COUNTIFS(SALES!$S$2:$S$171,'CALCULATION DSE'!$C$8:$C$80,SALES!$N$2:$N$171,'CALCULATION DSE'!$G$6:$U$6)</f>
        <v>0</v>
      </c>
      <c r="T44" s="39">
        <f>+COUNTIFS(SALES!$S$2:$S$171,'CALCULATION DSE'!$C$8:$C$80,SALES!$N$2:$N$171,'CALCULATION DSE'!$G$6:$U$6)</f>
        <v>0</v>
      </c>
      <c r="U44" s="39">
        <f>+COUNTIFS(SALES!$S$2:$S$171,'CALCULATION DSE'!$C$8:$C$80,SALES!$N$2:$N$171,'CALCULATION DSE'!$G$6:$U$6)</f>
        <v>0</v>
      </c>
      <c r="V44" s="36">
        <f t="shared" si="86"/>
        <v>1</v>
      </c>
      <c r="W44" s="36">
        <f t="shared" si="87"/>
        <v>1</v>
      </c>
      <c r="X44" s="79">
        <f t="shared" si="88"/>
        <v>0</v>
      </c>
      <c r="Y44" s="79">
        <f t="shared" si="89"/>
        <v>0</v>
      </c>
      <c r="Z44" s="79">
        <f t="shared" si="90"/>
        <v>0</v>
      </c>
      <c r="AA44" s="79" t="s">
        <v>3005</v>
      </c>
      <c r="AB44" s="72" t="str">
        <f t="shared" si="91"/>
        <v>NO</v>
      </c>
      <c r="AC44" s="72" t="str">
        <f t="shared" si="92"/>
        <v>YES</v>
      </c>
      <c r="AD44" s="64">
        <f t="shared" si="93"/>
        <v>500</v>
      </c>
      <c r="AE44" s="64">
        <f t="shared" si="94"/>
        <v>0</v>
      </c>
      <c r="AF44" s="64">
        <f t="shared" si="95"/>
        <v>0</v>
      </c>
      <c r="AG44" s="71">
        <f t="shared" si="96"/>
        <v>500</v>
      </c>
      <c r="AH44" s="68">
        <v>0</v>
      </c>
      <c r="AI44" s="68">
        <f t="shared" si="97"/>
        <v>0</v>
      </c>
      <c r="AJ44" s="64">
        <f t="shared" si="98"/>
        <v>0</v>
      </c>
      <c r="AK44" s="66">
        <f>+VLOOKUP(C44,'DSE WISE MGA SALE '!$B$5:$G$116,6,0)</f>
        <v>20547.945205479453</v>
      </c>
      <c r="AL44" s="67">
        <f t="shared" si="99"/>
        <v>20547.945205479453</v>
      </c>
      <c r="AM44" s="67">
        <f t="shared" si="100"/>
        <v>719.17808219178096</v>
      </c>
      <c r="AN44" s="70">
        <f>+COUNTIFS(SALES!$S$2:$S$171,'CALCULATION DSE'!$C$7:$C$80,SALES!$AH$2:$AH$171,"&gt;0")</f>
        <v>0</v>
      </c>
      <c r="AO44" s="68">
        <f t="shared" si="101"/>
        <v>0</v>
      </c>
      <c r="AP44" s="69">
        <f>+COUNTIFS(SALES!$S$2:$S$171,'CALCULATION DSE'!$C$8:$C$80,SALES!$BH$2:$BH$171,"MSSF")</f>
        <v>1</v>
      </c>
      <c r="AQ44" s="69">
        <f t="shared" si="102"/>
        <v>0</v>
      </c>
      <c r="AR44" s="98">
        <f t="shared" si="103"/>
        <v>1</v>
      </c>
      <c r="AS44" s="68">
        <f t="shared" si="104"/>
        <v>250</v>
      </c>
      <c r="AT44" s="68">
        <f t="shared" si="105"/>
        <v>0</v>
      </c>
      <c r="AU44" s="39">
        <f>+COUNTIFS(SALES!$S$2:$S$171,'CALCULATION DSE'!$C$8:$C$80,SALES!$Y$2:$Y$171,"&gt;0")</f>
        <v>1</v>
      </c>
      <c r="AV44" s="39">
        <f t="shared" si="106"/>
        <v>0</v>
      </c>
      <c r="AW44" s="65">
        <f t="shared" si="107"/>
        <v>1</v>
      </c>
      <c r="AX44" s="67">
        <f t="shared" si="108"/>
        <v>1000</v>
      </c>
      <c r="AY44" s="67">
        <f t="shared" si="109"/>
        <v>0</v>
      </c>
      <c r="AZ44" s="39">
        <f>+COUNTIFS(SALES!$S$2:$S$171,'CALCULATION DSE'!$C$8:$C$80,SALES!$AC$2:$AC$171,"&gt;0")</f>
        <v>1</v>
      </c>
      <c r="BA44" s="39">
        <f t="shared" si="110"/>
        <v>0</v>
      </c>
      <c r="BB44" s="65">
        <f t="shared" si="111"/>
        <v>1</v>
      </c>
      <c r="BC44" s="66">
        <f t="shared" si="112"/>
        <v>750</v>
      </c>
      <c r="BD44" s="66">
        <f t="shared" si="113"/>
        <v>0</v>
      </c>
      <c r="BE44" s="99">
        <f>+COUNTIFS(SALES!$S$2:$S$171,'CALCULATION DSE'!$C$8:$C$80,SALES!$CA$2:$CA$171,"YES")</f>
        <v>0</v>
      </c>
      <c r="BF44" s="66">
        <f t="shared" si="114"/>
        <v>0</v>
      </c>
      <c r="BG44" s="37">
        <f>+SUMIFS(SALES!$BA$2:$BA$171,SALES!$S$2:$S$171,'CALCULATION DSE'!$C$8:$C$80)</f>
        <v>206</v>
      </c>
      <c r="BH44" s="37">
        <f t="shared" si="115"/>
        <v>206</v>
      </c>
      <c r="BI44" s="65">
        <f t="shared" si="116"/>
        <v>1.5</v>
      </c>
      <c r="BJ44" s="64">
        <f t="shared" si="117"/>
        <v>750</v>
      </c>
      <c r="BK44" s="64">
        <f t="shared" si="118"/>
        <v>3469.178082191781</v>
      </c>
      <c r="BL44" s="64">
        <v>0</v>
      </c>
      <c r="BM44" s="64">
        <f t="shared" si="119"/>
        <v>0</v>
      </c>
      <c r="BN44" s="37">
        <f t="shared" si="120"/>
        <v>3469.178082191781</v>
      </c>
      <c r="BO44" s="38">
        <f t="shared" si="121"/>
        <v>0</v>
      </c>
      <c r="BP44" s="64">
        <f t="shared" si="122"/>
        <v>0</v>
      </c>
      <c r="BQ44" s="64">
        <f t="shared" si="123"/>
        <v>0</v>
      </c>
      <c r="BR44" s="64">
        <f t="shared" si="81"/>
        <v>0</v>
      </c>
      <c r="BS44" s="64">
        <f t="shared" si="124"/>
        <v>0</v>
      </c>
      <c r="BT44" s="64">
        <f t="shared" si="125"/>
        <v>0</v>
      </c>
      <c r="BU44" s="64">
        <f t="shared" si="126"/>
        <v>0</v>
      </c>
      <c r="BV44" s="63">
        <f t="shared" si="127"/>
        <v>3469.178082191781</v>
      </c>
      <c r="CB44" s="50"/>
      <c r="CC44" s="50"/>
      <c r="CD44" s="62"/>
      <c r="CF44" s="46"/>
    </row>
    <row r="45" spans="1:84" x14ac:dyDescent="0.3">
      <c r="A45" s="72" t="s">
        <v>785</v>
      </c>
      <c r="B45" s="145" t="s">
        <v>2408</v>
      </c>
      <c r="C45" s="145" t="s">
        <v>2623</v>
      </c>
      <c r="D45" s="145" t="s">
        <v>2407</v>
      </c>
      <c r="E45" s="145" t="s">
        <v>646</v>
      </c>
      <c r="F45" s="79" t="str">
        <f>+VLOOKUP(C45,'EMP STATUS'!$D$3:$K$77,8,0)</f>
        <v>BUR141</v>
      </c>
      <c r="G45" s="72">
        <f>+COUNTIFS(SALES!$S$2:$S$171,'CALCULATION DSE'!$C$8:$C$80,SALES!$N$2:$N$171,'CALCULATION DSE'!$G$6:$U$6)</f>
        <v>1</v>
      </c>
      <c r="H45" s="72">
        <f>+COUNTIFS(SALES!$S$2:$S$171,'CALCULATION DSE'!$C$8:$C$80,SALES!$N$2:$N$171,'CALCULATION DSE'!$G$6:$U$6)</f>
        <v>0</v>
      </c>
      <c r="I45" s="72">
        <f>+COUNTIFS(SALES!$S$2:$S$171,'CALCULATION DSE'!$C$8:$C$80,SALES!$N$2:$N$171,'CALCULATION DSE'!$G$6:$U$6)</f>
        <v>0</v>
      </c>
      <c r="J45" s="72">
        <f>+COUNTIFS(SALES!$S$2:$S$171,'CALCULATION DSE'!$C$8:$C$80,SALES!$N$2:$N$171,'CALCULATION DSE'!$G$6:$U$6)</f>
        <v>0</v>
      </c>
      <c r="K45" s="72">
        <f>+COUNTIFS(SALES!$S$2:$S$171,'CALCULATION DSE'!$C$8:$C$80,SALES!$N$2:$N$171,'CALCULATION DSE'!$G$6:$U$6)</f>
        <v>0</v>
      </c>
      <c r="L45" s="72">
        <f>+COUNTIFS(SALES!$S$2:$S$171,'CALCULATION DSE'!$C$8:$C$80,SALES!$N$2:$N$171,'CALCULATION DSE'!$G$6:$U$6)</f>
        <v>0</v>
      </c>
      <c r="M45" s="72">
        <f>+COUNTIFS(SALES!$S$2:$S$171,'CALCULATION DSE'!$C$8:$C$80,SALES!$N$2:$N$171,'CALCULATION DSE'!$G$6:$U$6)</f>
        <v>0</v>
      </c>
      <c r="N45" s="72">
        <f>+COUNTIFS(SALES!$S$2:$S$171,'CALCULATION DSE'!$C$8:$C$80,SALES!$N$2:$N$171,'CALCULATION DSE'!$G$6:$U$6)</f>
        <v>0</v>
      </c>
      <c r="O45" s="72">
        <f>+COUNTIFS(SALES!$S$2:$S$171,'CALCULATION DSE'!$C$8:$C$80,SALES!$N$2:$N$171,'CALCULATION DSE'!$G$6:$U$6)</f>
        <v>0</v>
      </c>
      <c r="P45" s="72">
        <f>+COUNTIFS(SALES!$S$2:$S$171,'CALCULATION DSE'!$C$8:$C$80,SALES!$N$2:$N$171,'CALCULATION DSE'!$G$6:$U$6)</f>
        <v>0</v>
      </c>
      <c r="Q45" s="72">
        <f>+COUNTIFS(SALES!$S$2:$S$171,'CALCULATION DSE'!$C$8:$C$80,SALES!$N$2:$N$171,'CALCULATION DSE'!$G$6:$U$6)</f>
        <v>1</v>
      </c>
      <c r="R45" s="72">
        <f>+COUNTIFS(SALES!$S$2:$S$171,'CALCULATION DSE'!$C$8:$C$80,SALES!$N$2:$N$171,'CALCULATION DSE'!$G$6:$U$6)</f>
        <v>1</v>
      </c>
      <c r="S45" s="72">
        <f>+COUNTIFS(SALES!$S$2:$S$171,'CALCULATION DSE'!$C$8:$C$80,SALES!$N$2:$N$171,'CALCULATION DSE'!$G$6:$U$6)</f>
        <v>0</v>
      </c>
      <c r="T45" s="72">
        <f>+COUNTIFS(SALES!$S$2:$S$171,'CALCULATION DSE'!$C$8:$C$80,SALES!$N$2:$N$171,'CALCULATION DSE'!$G$6:$U$6)</f>
        <v>0</v>
      </c>
      <c r="U45" s="72">
        <f>+COUNTIFS(SALES!$S$2:$S$171,'CALCULATION DSE'!$C$8:$C$80,SALES!$N$2:$N$171,'CALCULATION DSE'!$G$6:$U$6)</f>
        <v>0</v>
      </c>
      <c r="V45" s="146">
        <f t="shared" si="86"/>
        <v>3</v>
      </c>
      <c r="W45" s="146">
        <f t="shared" si="87"/>
        <v>2</v>
      </c>
      <c r="X45" s="79">
        <f t="shared" si="88"/>
        <v>1</v>
      </c>
      <c r="Y45" s="79">
        <f t="shared" si="89"/>
        <v>0</v>
      </c>
      <c r="Z45" s="79">
        <f t="shared" si="90"/>
        <v>1</v>
      </c>
      <c r="AA45" s="79" t="str">
        <f>+VLOOKUP(C45,'EMP STATUS'!$D$3:$J$77,7,0)</f>
        <v>OLD</v>
      </c>
      <c r="AB45" s="72" t="str">
        <f t="shared" si="91"/>
        <v>YES</v>
      </c>
      <c r="AC45" s="72" t="str">
        <f t="shared" si="92"/>
        <v>YES</v>
      </c>
      <c r="AD45" s="147">
        <f t="shared" si="93"/>
        <v>0</v>
      </c>
      <c r="AE45" s="147">
        <f t="shared" si="94"/>
        <v>1500</v>
      </c>
      <c r="AF45" s="147">
        <f t="shared" si="95"/>
        <v>500</v>
      </c>
      <c r="AG45" s="148">
        <f t="shared" si="96"/>
        <v>2000</v>
      </c>
      <c r="AH45" s="149">
        <v>0</v>
      </c>
      <c r="AI45" s="149">
        <f t="shared" si="97"/>
        <v>0</v>
      </c>
      <c r="AJ45" s="147">
        <f t="shared" si="98"/>
        <v>0</v>
      </c>
      <c r="AK45" s="99">
        <f>+VLOOKUP(C45,'DSE WISE MGA SALE '!$B$5:$G$116,6,0)</f>
        <v>56091.095890410958</v>
      </c>
      <c r="AL45" s="99">
        <f t="shared" si="99"/>
        <v>18697.031963470319</v>
      </c>
      <c r="AM45" s="99">
        <f t="shared" si="100"/>
        <v>1682.7328767123286</v>
      </c>
      <c r="AN45" s="150">
        <f>+COUNTIFS(SALES!$S$2:$S$171,'CALCULATION DSE'!$C$7:$C$80,SALES!$AH$2:$AH$171,"&gt;0")</f>
        <v>1</v>
      </c>
      <c r="AO45" s="149">
        <f t="shared" si="101"/>
        <v>400</v>
      </c>
      <c r="AP45" s="151">
        <f>+COUNTIFS(SALES!$S$2:$S$171,'CALCULATION DSE'!$C$8:$C$80,SALES!$BH$2:$BH$171,"MSSF")</f>
        <v>1</v>
      </c>
      <c r="AQ45" s="151">
        <f t="shared" si="102"/>
        <v>2</v>
      </c>
      <c r="AR45" s="152">
        <f t="shared" si="103"/>
        <v>0.33333333333333331</v>
      </c>
      <c r="AS45" s="149">
        <f t="shared" si="104"/>
        <v>0</v>
      </c>
      <c r="AT45" s="149">
        <f t="shared" si="105"/>
        <v>500</v>
      </c>
      <c r="AU45" s="72">
        <f>+COUNTIFS(SALES!$S$2:$S$171,'CALCULATION DSE'!$C$8:$C$80,SALES!$Y$2:$Y$171,"&gt;0")</f>
        <v>3</v>
      </c>
      <c r="AV45" s="72">
        <f t="shared" si="106"/>
        <v>0</v>
      </c>
      <c r="AW45" s="153">
        <f t="shared" si="107"/>
        <v>1</v>
      </c>
      <c r="AX45" s="99">
        <f t="shared" si="108"/>
        <v>3000</v>
      </c>
      <c r="AY45" s="99">
        <f t="shared" si="109"/>
        <v>0</v>
      </c>
      <c r="AZ45" s="72">
        <f>+COUNTIFS(SALES!$S$2:$S$171,'CALCULATION DSE'!$C$8:$C$80,SALES!$AC$2:$AC$171,"&gt;0")</f>
        <v>1</v>
      </c>
      <c r="BA45" s="72">
        <f t="shared" si="110"/>
        <v>2</v>
      </c>
      <c r="BB45" s="153">
        <f t="shared" si="111"/>
        <v>0.33333333333333331</v>
      </c>
      <c r="BC45" s="99">
        <f t="shared" si="112"/>
        <v>0</v>
      </c>
      <c r="BD45" s="99">
        <f t="shared" si="113"/>
        <v>500</v>
      </c>
      <c r="BE45" s="99">
        <f>+COUNTIFS(SALES!$S$2:$S$171,'CALCULATION DSE'!$C$8:$C$80,SALES!$CA$2:$CA$171,"YES")</f>
        <v>1</v>
      </c>
      <c r="BF45" s="99">
        <f t="shared" si="114"/>
        <v>3000</v>
      </c>
      <c r="BG45" s="148">
        <f>+SUMIFS(SALES!$BA$2:$BA$171,SALES!$S$2:$S$171,'CALCULATION DSE'!$C$8:$C$80)</f>
        <v>19392</v>
      </c>
      <c r="BH45" s="148">
        <f t="shared" si="115"/>
        <v>6464</v>
      </c>
      <c r="BI45" s="153">
        <f t="shared" si="116"/>
        <v>0.8</v>
      </c>
      <c r="BJ45" s="147">
        <f t="shared" si="117"/>
        <v>1600</v>
      </c>
      <c r="BK45" s="147">
        <f t="shared" si="118"/>
        <v>8682.732876712329</v>
      </c>
      <c r="BL45" s="147">
        <v>0</v>
      </c>
      <c r="BM45" s="147">
        <f t="shared" si="119"/>
        <v>0</v>
      </c>
      <c r="BN45" s="148">
        <f t="shared" si="120"/>
        <v>8682.732876712329</v>
      </c>
      <c r="BO45" s="99">
        <f t="shared" si="121"/>
        <v>0</v>
      </c>
      <c r="BP45" s="147">
        <f t="shared" si="122"/>
        <v>0</v>
      </c>
      <c r="BQ45" s="147">
        <f t="shared" si="123"/>
        <v>0</v>
      </c>
      <c r="BR45" s="147">
        <f t="shared" si="81"/>
        <v>0</v>
      </c>
      <c r="BS45" s="147">
        <f t="shared" si="124"/>
        <v>0</v>
      </c>
      <c r="BT45" s="147">
        <f t="shared" si="125"/>
        <v>1</v>
      </c>
      <c r="BU45" s="147">
        <f t="shared" si="126"/>
        <v>1000</v>
      </c>
      <c r="BV45" s="154">
        <f t="shared" si="127"/>
        <v>9682.732876712329</v>
      </c>
      <c r="CB45" s="155"/>
      <c r="CC45" s="155"/>
      <c r="CD45" s="156"/>
      <c r="CF45" s="157"/>
    </row>
    <row r="46" spans="1:84" hidden="1" x14ac:dyDescent="0.3">
      <c r="A46" s="72" t="s">
        <v>3081</v>
      </c>
      <c r="B46" s="145" t="s">
        <v>2408</v>
      </c>
      <c r="C46" s="145" t="s">
        <v>2407</v>
      </c>
      <c r="D46" s="145" t="s">
        <v>2407</v>
      </c>
      <c r="E46" s="145" t="s">
        <v>646</v>
      </c>
      <c r="F46" s="79" t="str">
        <f>+VLOOKUP(C46,'EMP STATUS'!$D$3:$K$77,8,0)</f>
        <v>BUR266</v>
      </c>
      <c r="G46" s="72">
        <f>+COUNTIFS(SALES!$S$2:$S$171,'CALCULATION DSE'!$C$8:$C$80,SALES!$N$2:$N$171,'CALCULATION DSE'!$G$6:$U$6)</f>
        <v>0</v>
      </c>
      <c r="H46" s="72">
        <f>+COUNTIFS(SALES!$S$2:$S$171,'CALCULATION DSE'!$C$8:$C$80,SALES!$N$2:$N$171,'CALCULATION DSE'!$G$6:$U$6)</f>
        <v>0</v>
      </c>
      <c r="I46" s="72">
        <f>+COUNTIFS(SALES!$S$2:$S$171,'CALCULATION DSE'!$C$8:$C$80,SALES!$N$2:$N$171,'CALCULATION DSE'!$G$6:$U$6)</f>
        <v>1</v>
      </c>
      <c r="J46" s="72">
        <f>+COUNTIFS(SALES!$S$2:$S$171,'CALCULATION DSE'!$C$8:$C$80,SALES!$N$2:$N$171,'CALCULATION DSE'!$G$6:$U$6)</f>
        <v>0</v>
      </c>
      <c r="K46" s="72">
        <f>+COUNTIFS(SALES!$S$2:$S$171,'CALCULATION DSE'!$C$8:$C$80,SALES!$N$2:$N$171,'CALCULATION DSE'!$G$6:$U$6)</f>
        <v>0</v>
      </c>
      <c r="L46" s="72">
        <f>+COUNTIFS(SALES!$S$2:$S$171,'CALCULATION DSE'!$C$8:$C$80,SALES!$N$2:$N$171,'CALCULATION DSE'!$G$6:$U$6)</f>
        <v>0</v>
      </c>
      <c r="M46" s="72">
        <f>+COUNTIFS(SALES!$S$2:$S$171,'CALCULATION DSE'!$C$8:$C$80,SALES!$N$2:$N$171,'CALCULATION DSE'!$G$6:$U$6)</f>
        <v>1</v>
      </c>
      <c r="N46" s="72">
        <f>+COUNTIFS(SALES!$S$2:$S$171,'CALCULATION DSE'!$C$8:$C$80,SALES!$N$2:$N$171,'CALCULATION DSE'!$G$6:$U$6)</f>
        <v>0</v>
      </c>
      <c r="O46" s="72">
        <f>+COUNTIFS(SALES!$S$2:$S$171,'CALCULATION DSE'!$C$8:$C$80,SALES!$N$2:$N$171,'CALCULATION DSE'!$G$6:$U$6)</f>
        <v>0</v>
      </c>
      <c r="P46" s="72">
        <f>+COUNTIFS(SALES!$S$2:$S$171,'CALCULATION DSE'!$C$8:$C$80,SALES!$N$2:$N$171,'CALCULATION DSE'!$G$6:$U$6)</f>
        <v>0</v>
      </c>
      <c r="Q46" s="72">
        <f>+COUNTIFS(SALES!$S$2:$S$171,'CALCULATION DSE'!$C$8:$C$80,SALES!$N$2:$N$171,'CALCULATION DSE'!$G$6:$U$6)</f>
        <v>0</v>
      </c>
      <c r="R46" s="72">
        <f>+COUNTIFS(SALES!$S$2:$S$171,'CALCULATION DSE'!$C$8:$C$80,SALES!$N$2:$N$171,'CALCULATION DSE'!$G$6:$U$6)</f>
        <v>0</v>
      </c>
      <c r="S46" s="72">
        <f>+COUNTIFS(SALES!$S$2:$S$171,'CALCULATION DSE'!$C$8:$C$80,SALES!$N$2:$N$171,'CALCULATION DSE'!$G$6:$U$6)</f>
        <v>0</v>
      </c>
      <c r="T46" s="72">
        <f>+COUNTIFS(SALES!$S$2:$S$171,'CALCULATION DSE'!$C$8:$C$80,SALES!$N$2:$N$171,'CALCULATION DSE'!$G$6:$U$6)</f>
        <v>0</v>
      </c>
      <c r="U46" s="72">
        <f>+COUNTIFS(SALES!$S$2:$S$171,'CALCULATION DSE'!$C$8:$C$80,SALES!$N$2:$N$171,'CALCULATION DSE'!$G$6:$U$6)</f>
        <v>0</v>
      </c>
      <c r="V46" s="146">
        <f t="shared" si="86"/>
        <v>2</v>
      </c>
      <c r="W46" s="146">
        <f t="shared" si="87"/>
        <v>2</v>
      </c>
      <c r="X46" s="79">
        <f t="shared" si="88"/>
        <v>0</v>
      </c>
      <c r="Y46" s="79">
        <f t="shared" si="89"/>
        <v>0</v>
      </c>
      <c r="Z46" s="79">
        <f t="shared" si="90"/>
        <v>2</v>
      </c>
      <c r="AA46" s="79" t="str">
        <f>+VLOOKUP(C46,'EMP STATUS'!$D$3:$J$77,7,0)</f>
        <v>OLD</v>
      </c>
      <c r="AB46" s="72" t="str">
        <f t="shared" si="91"/>
        <v>YES</v>
      </c>
      <c r="AC46" s="72" t="str">
        <f t="shared" si="92"/>
        <v>YES</v>
      </c>
      <c r="AD46" s="147">
        <f t="shared" si="93"/>
        <v>0</v>
      </c>
      <c r="AE46" s="147">
        <f t="shared" si="94"/>
        <v>1000</v>
      </c>
      <c r="AF46" s="147">
        <f t="shared" si="95"/>
        <v>0</v>
      </c>
      <c r="AG46" s="148">
        <f t="shared" si="96"/>
        <v>1000</v>
      </c>
      <c r="AH46" s="149">
        <v>0</v>
      </c>
      <c r="AI46" s="149">
        <f t="shared" si="97"/>
        <v>0</v>
      </c>
      <c r="AJ46" s="147">
        <f t="shared" si="98"/>
        <v>0</v>
      </c>
      <c r="AK46" s="99">
        <f>+VLOOKUP(C46,'DSE WISE MGA SALE '!$B$5:$G$116,6,0)</f>
        <v>6032.1917808219177</v>
      </c>
      <c r="AL46" s="99">
        <f t="shared" si="99"/>
        <v>3016.0958904109589</v>
      </c>
      <c r="AM46" s="99">
        <f t="shared" si="100"/>
        <v>0</v>
      </c>
      <c r="AN46" s="150">
        <f>+COUNTIFS(SALES!$S$2:$S$171,'CALCULATION DSE'!$C$7:$C$80,SALES!$AH$2:$AH$171,"&gt;0")</f>
        <v>0</v>
      </c>
      <c r="AO46" s="149">
        <f t="shared" si="101"/>
        <v>0</v>
      </c>
      <c r="AP46" s="151">
        <f>+COUNTIFS(SALES!$S$2:$S$171,'CALCULATION DSE'!$C$8:$C$80,SALES!$BH$2:$BH$171,"MSSF")</f>
        <v>1</v>
      </c>
      <c r="AQ46" s="151">
        <f t="shared" si="102"/>
        <v>1</v>
      </c>
      <c r="AR46" s="152">
        <f t="shared" si="103"/>
        <v>0.5</v>
      </c>
      <c r="AS46" s="149">
        <f t="shared" si="104"/>
        <v>0</v>
      </c>
      <c r="AT46" s="149">
        <f t="shared" si="105"/>
        <v>250</v>
      </c>
      <c r="AU46" s="72">
        <f>+COUNTIFS(SALES!$S$2:$S$171,'CALCULATION DSE'!$C$8:$C$80,SALES!$Y$2:$Y$171,"&gt;0")</f>
        <v>0</v>
      </c>
      <c r="AV46" s="72">
        <f t="shared" si="106"/>
        <v>2</v>
      </c>
      <c r="AW46" s="153">
        <f t="shared" si="107"/>
        <v>0</v>
      </c>
      <c r="AX46" s="99">
        <f t="shared" si="108"/>
        <v>0</v>
      </c>
      <c r="AY46" s="99">
        <f t="shared" si="109"/>
        <v>800</v>
      </c>
      <c r="AZ46" s="72">
        <f>+COUNTIFS(SALES!$S$2:$S$171,'CALCULATION DSE'!$C$8:$C$80,SALES!$AC$2:$AC$171,"&gt;0")</f>
        <v>0</v>
      </c>
      <c r="BA46" s="72">
        <f t="shared" si="110"/>
        <v>2</v>
      </c>
      <c r="BB46" s="153">
        <f t="shared" si="111"/>
        <v>0</v>
      </c>
      <c r="BC46" s="99">
        <f t="shared" si="112"/>
        <v>0</v>
      </c>
      <c r="BD46" s="99">
        <f t="shared" si="113"/>
        <v>500</v>
      </c>
      <c r="BE46" s="99">
        <f>+COUNTIFS(SALES!$S$2:$S$171,'CALCULATION DSE'!$C$8:$C$80,SALES!$CA$2:$CA$171,"YES")</f>
        <v>0</v>
      </c>
      <c r="BF46" s="99">
        <f t="shared" si="114"/>
        <v>0</v>
      </c>
      <c r="BG46" s="148">
        <f>+SUMIFS(SALES!$BA$2:$BA$171,SALES!$S$2:$S$171,'CALCULATION DSE'!$C$8:$C$80)</f>
        <v>15610</v>
      </c>
      <c r="BH46" s="148">
        <f t="shared" si="115"/>
        <v>7805</v>
      </c>
      <c r="BI46" s="153">
        <f t="shared" si="116"/>
        <v>0.8</v>
      </c>
      <c r="BJ46" s="147">
        <f t="shared" si="117"/>
        <v>800</v>
      </c>
      <c r="BK46" s="147">
        <f t="shared" si="118"/>
        <v>0</v>
      </c>
      <c r="BL46" s="147">
        <v>0</v>
      </c>
      <c r="BM46" s="147">
        <f t="shared" si="119"/>
        <v>0</v>
      </c>
      <c r="BN46" s="148">
        <f t="shared" si="120"/>
        <v>0</v>
      </c>
      <c r="BO46" s="99">
        <f t="shared" si="121"/>
        <v>13356.736301369863</v>
      </c>
      <c r="BP46" s="147">
        <f t="shared" si="122"/>
        <v>0</v>
      </c>
      <c r="BQ46" s="147">
        <f t="shared" si="123"/>
        <v>0</v>
      </c>
      <c r="BR46" s="147">
        <f t="shared" si="81"/>
        <v>0</v>
      </c>
      <c r="BS46" s="147">
        <f t="shared" si="124"/>
        <v>0</v>
      </c>
      <c r="BT46" s="147">
        <f t="shared" si="125"/>
        <v>1</v>
      </c>
      <c r="BU46" s="147">
        <f t="shared" si="126"/>
        <v>1000</v>
      </c>
      <c r="BV46" s="154">
        <f t="shared" si="127"/>
        <v>14356.736301369863</v>
      </c>
      <c r="CB46" s="155"/>
      <c r="CC46" s="155"/>
      <c r="CD46" s="156"/>
      <c r="CF46" s="157"/>
    </row>
    <row r="47" spans="1:84" customFormat="1" hidden="1" x14ac:dyDescent="0.3">
      <c r="A47" s="74">
        <v>2298</v>
      </c>
      <c r="B47" s="73" t="s">
        <v>871</v>
      </c>
      <c r="C47" s="40" t="s">
        <v>2570</v>
      </c>
      <c r="D47" s="73" t="s">
        <v>871</v>
      </c>
      <c r="E47" s="73" t="s">
        <v>871</v>
      </c>
      <c r="F47" s="79">
        <f>+VLOOKUP(C47,'EMP STATUS'!$D$3:$K$77,8,0)</f>
        <v>2298</v>
      </c>
      <c r="G47" s="39">
        <f>+COUNTIFS(SALES!$S$2:$S$171,'CALCULATION DSE'!$C$8:$C$80,SALES!$N$2:$N$171,'CALCULATION DSE'!$G$6:$U$6)</f>
        <v>0</v>
      </c>
      <c r="H47" s="39">
        <f>+COUNTIFS(SALES!$S$2:$S$171,'CALCULATION DSE'!$C$8:$C$80,SALES!$N$2:$N$171,'CALCULATION DSE'!$G$6:$U$6)</f>
        <v>0</v>
      </c>
      <c r="I47" s="39">
        <f>+COUNTIFS(SALES!$S$2:$S$171,'CALCULATION DSE'!$C$8:$C$80,SALES!$N$2:$N$171,'CALCULATION DSE'!$G$6:$U$6)</f>
        <v>0</v>
      </c>
      <c r="J47" s="39">
        <f>+COUNTIFS(SALES!$S$2:$S$171,'CALCULATION DSE'!$C$8:$C$80,SALES!$N$2:$N$171,'CALCULATION DSE'!$G$6:$U$6)</f>
        <v>0</v>
      </c>
      <c r="K47" s="39">
        <f>+COUNTIFS(SALES!$S$2:$S$171,'CALCULATION DSE'!$C$8:$C$80,SALES!$N$2:$N$171,'CALCULATION DSE'!$G$6:$U$6)</f>
        <v>0</v>
      </c>
      <c r="L47" s="39">
        <f>+COUNTIFS(SALES!$S$2:$S$171,'CALCULATION DSE'!$C$8:$C$80,SALES!$N$2:$N$171,'CALCULATION DSE'!$G$6:$U$6)</f>
        <v>0</v>
      </c>
      <c r="M47" s="39">
        <f>+COUNTIFS(SALES!$S$2:$S$171,'CALCULATION DSE'!$C$8:$C$80,SALES!$N$2:$N$171,'CALCULATION DSE'!$G$6:$U$6)</f>
        <v>1</v>
      </c>
      <c r="N47" s="39">
        <f>+COUNTIFS(SALES!$S$2:$S$171,'CALCULATION DSE'!$C$8:$C$80,SALES!$N$2:$N$171,'CALCULATION DSE'!$G$6:$U$6)</f>
        <v>0</v>
      </c>
      <c r="O47" s="39">
        <f>+COUNTIFS(SALES!$S$2:$S$171,'CALCULATION DSE'!$C$8:$C$80,SALES!$N$2:$N$171,'CALCULATION DSE'!$G$6:$U$6)</f>
        <v>0</v>
      </c>
      <c r="P47" s="39">
        <f>+COUNTIFS(SALES!$S$2:$S$171,'CALCULATION DSE'!$C$8:$C$80,SALES!$N$2:$N$171,'CALCULATION DSE'!$G$6:$U$6)</f>
        <v>0</v>
      </c>
      <c r="Q47" s="39">
        <f>+COUNTIFS(SALES!$S$2:$S$171,'CALCULATION DSE'!$C$8:$C$80,SALES!$N$2:$N$171,'CALCULATION DSE'!$G$6:$U$6)</f>
        <v>1</v>
      </c>
      <c r="R47" s="39">
        <f>+COUNTIFS(SALES!$S$2:$S$171,'CALCULATION DSE'!$C$8:$C$80,SALES!$N$2:$N$171,'CALCULATION DSE'!$G$6:$U$6)</f>
        <v>0</v>
      </c>
      <c r="S47" s="39">
        <f>+COUNTIFS(SALES!$S$2:$S$171,'CALCULATION DSE'!$C$8:$C$80,SALES!$N$2:$N$171,'CALCULATION DSE'!$G$6:$U$6)</f>
        <v>0</v>
      </c>
      <c r="T47" s="39">
        <f>+COUNTIFS(SALES!$S$2:$S$171,'CALCULATION DSE'!$C$8:$C$80,SALES!$N$2:$N$171,'CALCULATION DSE'!$G$6:$U$6)</f>
        <v>0</v>
      </c>
      <c r="U47" s="39">
        <f>+COUNTIFS(SALES!$S$2:$S$171,'CALCULATION DSE'!$C$8:$C$80,SALES!$N$2:$N$171,'CALCULATION DSE'!$G$6:$U$6)</f>
        <v>0</v>
      </c>
      <c r="V47" s="36">
        <f t="shared" si="86"/>
        <v>2</v>
      </c>
      <c r="W47" s="36">
        <f t="shared" si="87"/>
        <v>2</v>
      </c>
      <c r="X47" s="79">
        <f t="shared" si="88"/>
        <v>0</v>
      </c>
      <c r="Y47" s="79">
        <f t="shared" si="89"/>
        <v>0</v>
      </c>
      <c r="Z47" s="79">
        <f t="shared" si="90"/>
        <v>1</v>
      </c>
      <c r="AA47" s="79" t="str">
        <f>+VLOOKUP(C47,'EMP STATUS'!$D$3:$J$77,7,0)</f>
        <v>OLD</v>
      </c>
      <c r="AB47" s="72" t="str">
        <f t="shared" si="91"/>
        <v>YES</v>
      </c>
      <c r="AC47" s="72" t="str">
        <f t="shared" si="92"/>
        <v>YES</v>
      </c>
      <c r="AD47" s="64">
        <f t="shared" si="93"/>
        <v>0</v>
      </c>
      <c r="AE47" s="64">
        <f t="shared" si="94"/>
        <v>1000</v>
      </c>
      <c r="AF47" s="64">
        <f t="shared" si="95"/>
        <v>0</v>
      </c>
      <c r="AG47" s="71">
        <f t="shared" si="96"/>
        <v>1000</v>
      </c>
      <c r="AH47" s="68">
        <v>0</v>
      </c>
      <c r="AI47" s="68">
        <f t="shared" si="97"/>
        <v>0</v>
      </c>
      <c r="AJ47" s="64">
        <f t="shared" si="98"/>
        <v>0</v>
      </c>
      <c r="AK47" s="66">
        <f>+VLOOKUP(C47,'DSE WISE MGA SALE '!$B$5:$G$116,6,0)</f>
        <v>0</v>
      </c>
      <c r="AL47" s="67">
        <f t="shared" si="99"/>
        <v>0</v>
      </c>
      <c r="AM47" s="67">
        <f t="shared" si="100"/>
        <v>0</v>
      </c>
      <c r="AN47" s="70">
        <f>+COUNTIFS(SALES!$S$2:$S$171,'CALCULATION DSE'!$C$7:$C$80,SALES!$AH$2:$AH$171,"&gt;0")</f>
        <v>0</v>
      </c>
      <c r="AO47" s="68">
        <f t="shared" si="101"/>
        <v>0</v>
      </c>
      <c r="AP47" s="69">
        <f>+COUNTIFS(SALES!$S$2:$S$171,'CALCULATION DSE'!$C$8:$C$80,SALES!$BH$2:$BH$171,"MSSF")</f>
        <v>2</v>
      </c>
      <c r="AQ47" s="69">
        <f t="shared" si="102"/>
        <v>0</v>
      </c>
      <c r="AR47" s="98">
        <f t="shared" si="103"/>
        <v>1</v>
      </c>
      <c r="AS47" s="68">
        <f t="shared" si="104"/>
        <v>500</v>
      </c>
      <c r="AT47" s="68">
        <f t="shared" si="105"/>
        <v>0</v>
      </c>
      <c r="AU47" s="39">
        <f>+COUNTIFS(SALES!$S$2:$S$171,'CALCULATION DSE'!$C$8:$C$80,SALES!$Y$2:$Y$171,"&gt;0")</f>
        <v>1</v>
      </c>
      <c r="AV47" s="39">
        <f t="shared" si="106"/>
        <v>1</v>
      </c>
      <c r="AW47" s="65">
        <f t="shared" si="107"/>
        <v>0.5</v>
      </c>
      <c r="AX47" s="67">
        <f t="shared" si="108"/>
        <v>0</v>
      </c>
      <c r="AY47" s="67">
        <f t="shared" si="109"/>
        <v>400</v>
      </c>
      <c r="AZ47" s="39">
        <f>+COUNTIFS(SALES!$S$2:$S$171,'CALCULATION DSE'!$C$8:$C$80,SALES!$AC$2:$AC$171,"&gt;0")</f>
        <v>0</v>
      </c>
      <c r="BA47" s="39">
        <f t="shared" si="110"/>
        <v>2</v>
      </c>
      <c r="BB47" s="65">
        <f t="shared" si="111"/>
        <v>0</v>
      </c>
      <c r="BC47" s="66">
        <f t="shared" si="112"/>
        <v>0</v>
      </c>
      <c r="BD47" s="66">
        <f t="shared" si="113"/>
        <v>500</v>
      </c>
      <c r="BE47" s="99">
        <f>+COUNTIFS(SALES!$S$2:$S$171,'CALCULATION DSE'!$C$8:$C$80,SALES!$CA$2:$CA$171,"YES")</f>
        <v>0</v>
      </c>
      <c r="BF47" s="66">
        <f t="shared" si="114"/>
        <v>0</v>
      </c>
      <c r="BG47" s="37">
        <f>+SUMIFS(SALES!$BA$2:$BA$171,SALES!$S$2:$S$171,'CALCULATION DSE'!$C$8:$C$80)</f>
        <v>5500</v>
      </c>
      <c r="BH47" s="37">
        <f t="shared" si="115"/>
        <v>2750</v>
      </c>
      <c r="BI47" s="65">
        <f t="shared" si="116"/>
        <v>1.1000000000000001</v>
      </c>
      <c r="BJ47" s="64">
        <f t="shared" si="117"/>
        <v>1100</v>
      </c>
      <c r="BK47" s="64">
        <f t="shared" si="118"/>
        <v>700</v>
      </c>
      <c r="BL47" s="64">
        <v>0</v>
      </c>
      <c r="BM47" s="64">
        <f t="shared" si="119"/>
        <v>0</v>
      </c>
      <c r="BN47" s="37">
        <f t="shared" si="120"/>
        <v>700</v>
      </c>
      <c r="BO47" s="38">
        <f t="shared" si="121"/>
        <v>0</v>
      </c>
      <c r="BP47" s="64">
        <f t="shared" si="122"/>
        <v>0</v>
      </c>
      <c r="BQ47" s="64">
        <f t="shared" si="123"/>
        <v>0</v>
      </c>
      <c r="BR47" s="64">
        <f t="shared" si="81"/>
        <v>0</v>
      </c>
      <c r="BS47" s="64">
        <f t="shared" si="124"/>
        <v>0</v>
      </c>
      <c r="BT47" s="64">
        <f t="shared" si="125"/>
        <v>1</v>
      </c>
      <c r="BU47" s="64">
        <f t="shared" si="126"/>
        <v>1000</v>
      </c>
      <c r="BV47" s="63">
        <f t="shared" si="127"/>
        <v>1700</v>
      </c>
      <c r="CB47" s="50"/>
      <c r="CC47" s="50"/>
      <c r="CD47" s="62"/>
      <c r="CF47" s="46"/>
    </row>
    <row r="48" spans="1:84" customFormat="1" hidden="1" x14ac:dyDescent="0.3">
      <c r="A48" s="74" t="s">
        <v>3070</v>
      </c>
      <c r="B48" s="40" t="s">
        <v>2539</v>
      </c>
      <c r="C48" s="40" t="s">
        <v>2539</v>
      </c>
      <c r="D48" s="40" t="s">
        <v>2432</v>
      </c>
      <c r="E48" s="73" t="s">
        <v>1844</v>
      </c>
      <c r="F48" s="79" t="str">
        <f>+VLOOKUP(C48,'EMP STATUS'!$D$3:$K$77,8,0)</f>
        <v>BAD018</v>
      </c>
      <c r="G48" s="39">
        <f>+COUNTIFS(SALES!$S$2:$S$171,'CALCULATION DSE'!$C$8:$C$80,SALES!$N$2:$N$171,'CALCULATION DSE'!$G$6:$U$6)</f>
        <v>0</v>
      </c>
      <c r="H48" s="39">
        <f>+COUNTIFS(SALES!$S$2:$S$171,'CALCULATION DSE'!$C$8:$C$80,SALES!$N$2:$N$171,'CALCULATION DSE'!$G$6:$U$6)</f>
        <v>0</v>
      </c>
      <c r="I48" s="39">
        <f>+COUNTIFS(SALES!$S$2:$S$171,'CALCULATION DSE'!$C$8:$C$80,SALES!$N$2:$N$171,'CALCULATION DSE'!$G$6:$U$6)</f>
        <v>0</v>
      </c>
      <c r="J48" s="39">
        <f>+COUNTIFS(SALES!$S$2:$S$171,'CALCULATION DSE'!$C$8:$C$80,SALES!$N$2:$N$171,'CALCULATION DSE'!$G$6:$U$6)</f>
        <v>0</v>
      </c>
      <c r="K48" s="39">
        <f>+COUNTIFS(SALES!$S$2:$S$171,'CALCULATION DSE'!$C$8:$C$80,SALES!$N$2:$N$171,'CALCULATION DSE'!$G$6:$U$6)</f>
        <v>0</v>
      </c>
      <c r="L48" s="39">
        <f>+COUNTIFS(SALES!$S$2:$S$171,'CALCULATION DSE'!$C$8:$C$80,SALES!$N$2:$N$171,'CALCULATION DSE'!$G$6:$U$6)</f>
        <v>0</v>
      </c>
      <c r="M48" s="39">
        <f>+COUNTIFS(SALES!$S$2:$S$171,'CALCULATION DSE'!$C$8:$C$80,SALES!$N$2:$N$171,'CALCULATION DSE'!$G$6:$U$6)</f>
        <v>0</v>
      </c>
      <c r="N48" s="39">
        <f>+COUNTIFS(SALES!$S$2:$S$171,'CALCULATION DSE'!$C$8:$C$80,SALES!$N$2:$N$171,'CALCULATION DSE'!$G$6:$U$6)</f>
        <v>0</v>
      </c>
      <c r="O48" s="39">
        <f>+COUNTIFS(SALES!$S$2:$S$171,'CALCULATION DSE'!$C$8:$C$80,SALES!$N$2:$N$171,'CALCULATION DSE'!$G$6:$U$6)</f>
        <v>0</v>
      </c>
      <c r="P48" s="39">
        <f>+COUNTIFS(SALES!$S$2:$S$171,'CALCULATION DSE'!$C$8:$C$80,SALES!$N$2:$N$171,'CALCULATION DSE'!$G$6:$U$6)</f>
        <v>0</v>
      </c>
      <c r="Q48" s="39">
        <f>+COUNTIFS(SALES!$S$2:$S$171,'CALCULATION DSE'!$C$8:$C$80,SALES!$N$2:$N$171,'CALCULATION DSE'!$G$6:$U$6)</f>
        <v>2</v>
      </c>
      <c r="R48" s="39">
        <f>+COUNTIFS(SALES!$S$2:$S$171,'CALCULATION DSE'!$C$8:$C$80,SALES!$N$2:$N$171,'CALCULATION DSE'!$G$6:$U$6)</f>
        <v>0</v>
      </c>
      <c r="S48" s="39">
        <f>+COUNTIFS(SALES!$S$2:$S$171,'CALCULATION DSE'!$C$8:$C$80,SALES!$N$2:$N$171,'CALCULATION DSE'!$G$6:$U$6)</f>
        <v>0</v>
      </c>
      <c r="T48" s="39">
        <f>+COUNTIFS(SALES!$S$2:$S$171,'CALCULATION DSE'!$C$8:$C$80,SALES!$N$2:$N$171,'CALCULATION DSE'!$G$6:$U$6)</f>
        <v>0</v>
      </c>
      <c r="U48" s="39">
        <f>+COUNTIFS(SALES!$S$2:$S$171,'CALCULATION DSE'!$C$8:$C$80,SALES!$N$2:$N$171,'CALCULATION DSE'!$G$6:$U$6)</f>
        <v>0</v>
      </c>
      <c r="V48" s="36">
        <f t="shared" si="86"/>
        <v>2</v>
      </c>
      <c r="W48" s="36">
        <f t="shared" si="87"/>
        <v>2</v>
      </c>
      <c r="X48" s="79">
        <f t="shared" si="88"/>
        <v>0</v>
      </c>
      <c r="Y48" s="79">
        <f t="shared" si="89"/>
        <v>0</v>
      </c>
      <c r="Z48" s="79">
        <f t="shared" si="90"/>
        <v>0</v>
      </c>
      <c r="AA48" s="79" t="str">
        <f>+VLOOKUP(C48,'EMP STATUS'!$D$3:$J$77,7,0)</f>
        <v>OLD</v>
      </c>
      <c r="AB48" s="72" t="str">
        <f t="shared" si="91"/>
        <v>YES</v>
      </c>
      <c r="AC48" s="72" t="str">
        <f t="shared" si="92"/>
        <v>NO</v>
      </c>
      <c r="AD48" s="64">
        <f t="shared" si="93"/>
        <v>0</v>
      </c>
      <c r="AE48" s="64">
        <f t="shared" si="94"/>
        <v>0</v>
      </c>
      <c r="AF48" s="64">
        <f t="shared" si="95"/>
        <v>0</v>
      </c>
      <c r="AG48" s="71">
        <f t="shared" si="96"/>
        <v>0</v>
      </c>
      <c r="AH48" s="68">
        <v>0</v>
      </c>
      <c r="AI48" s="68">
        <f t="shared" si="97"/>
        <v>0</v>
      </c>
      <c r="AJ48" s="64">
        <f t="shared" si="98"/>
        <v>0</v>
      </c>
      <c r="AK48" s="66">
        <f>+VLOOKUP(C48,'DSE WISE MGA SALE '!$B$5:$G$116,6,0)</f>
        <v>27860.273972602739</v>
      </c>
      <c r="AL48" s="67">
        <f t="shared" si="99"/>
        <v>13930.13698630137</v>
      </c>
      <c r="AM48" s="67">
        <f t="shared" si="100"/>
        <v>0</v>
      </c>
      <c r="AN48" s="70">
        <f>+COUNTIFS(SALES!$S$2:$S$171,'CALCULATION DSE'!$C$7:$C$80,SALES!$AH$2:$AH$171,"&gt;0")</f>
        <v>0</v>
      </c>
      <c r="AO48" s="68">
        <f t="shared" si="101"/>
        <v>0</v>
      </c>
      <c r="AP48" s="69">
        <f>+COUNTIFS(SALES!$S$2:$S$171,'CALCULATION DSE'!$C$8:$C$80,SALES!$BH$2:$BH$171,"MSSF")</f>
        <v>2</v>
      </c>
      <c r="AQ48" s="69">
        <f t="shared" si="102"/>
        <v>0</v>
      </c>
      <c r="AR48" s="98">
        <f t="shared" si="103"/>
        <v>1</v>
      </c>
      <c r="AS48" s="68">
        <f t="shared" si="104"/>
        <v>500</v>
      </c>
      <c r="AT48" s="68">
        <f t="shared" si="105"/>
        <v>0</v>
      </c>
      <c r="AU48" s="39">
        <f>+COUNTIFS(SALES!$S$2:$S$171,'CALCULATION DSE'!$C$8:$C$80,SALES!$Y$2:$Y$171,"&gt;0")</f>
        <v>0</v>
      </c>
      <c r="AV48" s="39">
        <f t="shared" si="106"/>
        <v>2</v>
      </c>
      <c r="AW48" s="65">
        <f t="shared" si="107"/>
        <v>0</v>
      </c>
      <c r="AX48" s="67">
        <f t="shared" si="108"/>
        <v>0</v>
      </c>
      <c r="AY48" s="67">
        <f t="shared" si="109"/>
        <v>0</v>
      </c>
      <c r="AZ48" s="39">
        <f>+COUNTIFS(SALES!$S$2:$S$171,'CALCULATION DSE'!$C$8:$C$80,SALES!$AC$2:$AC$171,"&gt;0")</f>
        <v>0</v>
      </c>
      <c r="BA48" s="39">
        <f t="shared" si="110"/>
        <v>2</v>
      </c>
      <c r="BB48" s="65">
        <f t="shared" si="111"/>
        <v>0</v>
      </c>
      <c r="BC48" s="66">
        <f t="shared" si="112"/>
        <v>0</v>
      </c>
      <c r="BD48" s="66">
        <f t="shared" si="113"/>
        <v>0</v>
      </c>
      <c r="BE48" s="99">
        <f>+COUNTIFS(SALES!$S$2:$S$171,'CALCULATION DSE'!$C$8:$C$80,SALES!$CA$2:$CA$171,"YES")</f>
        <v>0</v>
      </c>
      <c r="BF48" s="66">
        <f t="shared" si="114"/>
        <v>0</v>
      </c>
      <c r="BG48" s="37">
        <f>+SUMIFS(SALES!$BA$2:$BA$171,SALES!$S$2:$S$171,'CALCULATION DSE'!$C$8:$C$80)</f>
        <v>22602</v>
      </c>
      <c r="BH48" s="37">
        <f t="shared" si="115"/>
        <v>11301</v>
      </c>
      <c r="BI48" s="65">
        <f t="shared" si="116"/>
        <v>0.4</v>
      </c>
      <c r="BJ48" s="64">
        <f t="shared" si="117"/>
        <v>0</v>
      </c>
      <c r="BK48" s="64">
        <f t="shared" si="118"/>
        <v>500</v>
      </c>
      <c r="BL48" s="64">
        <v>0</v>
      </c>
      <c r="BM48" s="64">
        <f t="shared" si="119"/>
        <v>0</v>
      </c>
      <c r="BN48" s="37">
        <f t="shared" si="120"/>
        <v>500</v>
      </c>
      <c r="BO48" s="38">
        <f t="shared" si="121"/>
        <v>0</v>
      </c>
      <c r="BP48" s="64">
        <f t="shared" si="122"/>
        <v>0</v>
      </c>
      <c r="BQ48" s="64">
        <f t="shared" si="123"/>
        <v>0</v>
      </c>
      <c r="BR48" s="64">
        <f t="shared" si="81"/>
        <v>0</v>
      </c>
      <c r="BS48" s="64">
        <f t="shared" si="124"/>
        <v>0</v>
      </c>
      <c r="BT48" s="64">
        <f t="shared" si="125"/>
        <v>0</v>
      </c>
      <c r="BU48" s="64">
        <f t="shared" si="126"/>
        <v>0</v>
      </c>
      <c r="BV48" s="63">
        <f t="shared" si="127"/>
        <v>500</v>
      </c>
      <c r="CB48" s="50"/>
      <c r="CC48" s="50"/>
      <c r="CD48" s="62"/>
      <c r="CF48" s="46"/>
    </row>
    <row r="49" spans="1:84" customFormat="1" hidden="1" x14ac:dyDescent="0.3">
      <c r="A49" s="74">
        <v>2231</v>
      </c>
      <c r="B49" s="75" t="s">
        <v>2862</v>
      </c>
      <c r="C49" s="40" t="s">
        <v>2582</v>
      </c>
      <c r="D49" s="40" t="s">
        <v>2862</v>
      </c>
      <c r="E49" s="73" t="s">
        <v>2878</v>
      </c>
      <c r="F49" s="79">
        <f>+VLOOKUP(C49,'EMP STATUS'!$D$3:$K$77,8,0)</f>
        <v>2231</v>
      </c>
      <c r="G49" s="39">
        <f>+COUNTIFS(SALES!$S$2:$S$171,'CALCULATION DSE'!$C$8:$C$80,SALES!$N$2:$N$171,'CALCULATION DSE'!$G$6:$U$6)</f>
        <v>0</v>
      </c>
      <c r="H49" s="39">
        <f>+COUNTIFS(SALES!$S$2:$S$171,'CALCULATION DSE'!$C$8:$C$80,SALES!$N$2:$N$171,'CALCULATION DSE'!$G$6:$U$6)</f>
        <v>0</v>
      </c>
      <c r="I49" s="39">
        <f>+COUNTIFS(SALES!$S$2:$S$171,'CALCULATION DSE'!$C$8:$C$80,SALES!$N$2:$N$171,'CALCULATION DSE'!$G$6:$U$6)</f>
        <v>0</v>
      </c>
      <c r="J49" s="39">
        <f>+COUNTIFS(SALES!$S$2:$S$171,'CALCULATION DSE'!$C$8:$C$80,SALES!$N$2:$N$171,'CALCULATION DSE'!$G$6:$U$6)</f>
        <v>0</v>
      </c>
      <c r="K49" s="39">
        <f>+COUNTIFS(SALES!$S$2:$S$171,'CALCULATION DSE'!$C$8:$C$80,SALES!$N$2:$N$171,'CALCULATION DSE'!$G$6:$U$6)</f>
        <v>0</v>
      </c>
      <c r="L49" s="39">
        <f>+COUNTIFS(SALES!$S$2:$S$171,'CALCULATION DSE'!$C$8:$C$80,SALES!$N$2:$N$171,'CALCULATION DSE'!$G$6:$U$6)</f>
        <v>0</v>
      </c>
      <c r="M49" s="39">
        <f>+COUNTIFS(SALES!$S$2:$S$171,'CALCULATION DSE'!$C$8:$C$80,SALES!$N$2:$N$171,'CALCULATION DSE'!$G$6:$U$6)</f>
        <v>0</v>
      </c>
      <c r="N49" s="39">
        <f>+COUNTIFS(SALES!$S$2:$S$171,'CALCULATION DSE'!$C$8:$C$80,SALES!$N$2:$N$171,'CALCULATION DSE'!$G$6:$U$6)</f>
        <v>1</v>
      </c>
      <c r="O49" s="39">
        <f>+COUNTIFS(SALES!$S$2:$S$171,'CALCULATION DSE'!$C$8:$C$80,SALES!$N$2:$N$171,'CALCULATION DSE'!$G$6:$U$6)</f>
        <v>0</v>
      </c>
      <c r="P49" s="39">
        <f>+COUNTIFS(SALES!$S$2:$S$171,'CALCULATION DSE'!$C$8:$C$80,SALES!$N$2:$N$171,'CALCULATION DSE'!$G$6:$U$6)</f>
        <v>0</v>
      </c>
      <c r="Q49" s="39">
        <f>+COUNTIFS(SALES!$S$2:$S$171,'CALCULATION DSE'!$C$8:$C$80,SALES!$N$2:$N$171,'CALCULATION DSE'!$G$6:$U$6)</f>
        <v>0</v>
      </c>
      <c r="R49" s="39">
        <f>+COUNTIFS(SALES!$S$2:$S$171,'CALCULATION DSE'!$C$8:$C$80,SALES!$N$2:$N$171,'CALCULATION DSE'!$G$6:$U$6)</f>
        <v>0</v>
      </c>
      <c r="S49" s="39">
        <f>+COUNTIFS(SALES!$S$2:$S$171,'CALCULATION DSE'!$C$8:$C$80,SALES!$N$2:$N$171,'CALCULATION DSE'!$G$6:$U$6)</f>
        <v>0</v>
      </c>
      <c r="T49" s="39">
        <f>+COUNTIFS(SALES!$S$2:$S$171,'CALCULATION DSE'!$C$8:$C$80,SALES!$N$2:$N$171,'CALCULATION DSE'!$G$6:$U$6)</f>
        <v>0</v>
      </c>
      <c r="U49" s="39">
        <f>+COUNTIFS(SALES!$S$2:$S$171,'CALCULATION DSE'!$C$8:$C$80,SALES!$N$2:$N$171,'CALCULATION DSE'!$G$6:$U$6)</f>
        <v>0</v>
      </c>
      <c r="V49" s="36">
        <f t="shared" si="86"/>
        <v>1</v>
      </c>
      <c r="W49" s="36">
        <f t="shared" si="87"/>
        <v>1</v>
      </c>
      <c r="X49" s="79">
        <f t="shared" si="88"/>
        <v>0</v>
      </c>
      <c r="Y49" s="79">
        <f t="shared" si="89"/>
        <v>0</v>
      </c>
      <c r="Z49" s="79">
        <f t="shared" si="90"/>
        <v>0</v>
      </c>
      <c r="AA49" s="79" t="s">
        <v>3005</v>
      </c>
      <c r="AB49" s="72" t="str">
        <f t="shared" si="91"/>
        <v>NO</v>
      </c>
      <c r="AC49" s="72" t="str">
        <f t="shared" si="92"/>
        <v>YES</v>
      </c>
      <c r="AD49" s="64">
        <f t="shared" si="93"/>
        <v>500</v>
      </c>
      <c r="AE49" s="64">
        <f t="shared" si="94"/>
        <v>0</v>
      </c>
      <c r="AF49" s="64">
        <f t="shared" si="95"/>
        <v>0</v>
      </c>
      <c r="AG49" s="71">
        <f t="shared" si="96"/>
        <v>500</v>
      </c>
      <c r="AH49" s="68">
        <v>0</v>
      </c>
      <c r="AI49" s="68">
        <f t="shared" si="97"/>
        <v>0</v>
      </c>
      <c r="AJ49" s="64">
        <f t="shared" si="98"/>
        <v>0</v>
      </c>
      <c r="AK49" s="66">
        <f>+VLOOKUP(C49,'DSE WISE MGA SALE '!$B$5:$G$116,6,0)</f>
        <v>1163.6986301369864</v>
      </c>
      <c r="AL49" s="67">
        <f t="shared" si="99"/>
        <v>1163.6986301369864</v>
      </c>
      <c r="AM49" s="67">
        <f t="shared" si="100"/>
        <v>0</v>
      </c>
      <c r="AN49" s="70">
        <f>+COUNTIFS(SALES!$S$2:$S$171,'CALCULATION DSE'!$C$7:$C$80,SALES!$AH$2:$AH$171,"&gt;0")</f>
        <v>0</v>
      </c>
      <c r="AO49" s="68">
        <f t="shared" si="101"/>
        <v>0</v>
      </c>
      <c r="AP49" s="69">
        <f>+COUNTIFS(SALES!$S$2:$S$171,'CALCULATION DSE'!$C$8:$C$80,SALES!$BH$2:$BH$171,"MSSF")</f>
        <v>0</v>
      </c>
      <c r="AQ49" s="69">
        <f t="shared" si="102"/>
        <v>1</v>
      </c>
      <c r="AR49" s="98">
        <f t="shared" si="103"/>
        <v>0</v>
      </c>
      <c r="AS49" s="68">
        <f t="shared" si="104"/>
        <v>0</v>
      </c>
      <c r="AT49" s="68">
        <f t="shared" si="105"/>
        <v>250</v>
      </c>
      <c r="AU49" s="39">
        <f>+COUNTIFS(SALES!$S$2:$S$171,'CALCULATION DSE'!$C$8:$C$80,SALES!$Y$2:$Y$171,"&gt;0")</f>
        <v>1</v>
      </c>
      <c r="AV49" s="39">
        <f t="shared" si="106"/>
        <v>0</v>
      </c>
      <c r="AW49" s="65">
        <f t="shared" si="107"/>
        <v>1</v>
      </c>
      <c r="AX49" s="67">
        <f t="shared" si="108"/>
        <v>1000</v>
      </c>
      <c r="AY49" s="67">
        <f t="shared" si="109"/>
        <v>0</v>
      </c>
      <c r="AZ49" s="39">
        <f>+COUNTIFS(SALES!$S$2:$S$171,'CALCULATION DSE'!$C$8:$C$80,SALES!$AC$2:$AC$171,"&gt;0")</f>
        <v>1</v>
      </c>
      <c r="BA49" s="39">
        <f t="shared" si="110"/>
        <v>0</v>
      </c>
      <c r="BB49" s="65">
        <f t="shared" si="111"/>
        <v>1</v>
      </c>
      <c r="BC49" s="66">
        <f t="shared" si="112"/>
        <v>750</v>
      </c>
      <c r="BD49" s="66">
        <f t="shared" si="113"/>
        <v>0</v>
      </c>
      <c r="BE49" s="99">
        <f>+COUNTIFS(SALES!$S$2:$S$171,'CALCULATION DSE'!$C$8:$C$80,SALES!$CA$2:$CA$171,"YES")</f>
        <v>0</v>
      </c>
      <c r="BF49" s="66">
        <f t="shared" si="114"/>
        <v>0</v>
      </c>
      <c r="BG49" s="37">
        <f>+SUMIFS(SALES!$BA$2:$BA$171,SALES!$S$2:$S$171,'CALCULATION DSE'!$C$8:$C$80)</f>
        <v>3499</v>
      </c>
      <c r="BH49" s="37">
        <f t="shared" si="115"/>
        <v>3499</v>
      </c>
      <c r="BI49" s="65">
        <f t="shared" si="116"/>
        <v>1.1000000000000001</v>
      </c>
      <c r="BJ49" s="64">
        <f t="shared" si="117"/>
        <v>550</v>
      </c>
      <c r="BK49" s="64">
        <f t="shared" si="118"/>
        <v>2050</v>
      </c>
      <c r="BL49" s="64">
        <v>0</v>
      </c>
      <c r="BM49" s="64">
        <f t="shared" si="119"/>
        <v>0</v>
      </c>
      <c r="BN49" s="37">
        <f t="shared" si="120"/>
        <v>2050</v>
      </c>
      <c r="BO49" s="38">
        <f t="shared" si="121"/>
        <v>0</v>
      </c>
      <c r="BP49" s="64">
        <f t="shared" si="122"/>
        <v>0</v>
      </c>
      <c r="BQ49" s="64">
        <f t="shared" si="123"/>
        <v>0</v>
      </c>
      <c r="BR49" s="64">
        <f t="shared" si="81"/>
        <v>0</v>
      </c>
      <c r="BS49" s="64">
        <f t="shared" si="124"/>
        <v>0</v>
      </c>
      <c r="BT49" s="64">
        <f t="shared" si="125"/>
        <v>0</v>
      </c>
      <c r="BU49" s="64">
        <f t="shared" si="126"/>
        <v>0</v>
      </c>
      <c r="BV49" s="63">
        <f t="shared" si="127"/>
        <v>2050</v>
      </c>
      <c r="CB49" s="50"/>
      <c r="CC49" s="50"/>
      <c r="CD49" s="62"/>
      <c r="CF49" s="46"/>
    </row>
    <row r="50" spans="1:84" customFormat="1" hidden="1" x14ac:dyDescent="0.3">
      <c r="A50" s="74">
        <v>2350</v>
      </c>
      <c r="B50" s="75" t="s">
        <v>2862</v>
      </c>
      <c r="C50" s="40" t="s">
        <v>2995</v>
      </c>
      <c r="D50" s="40" t="s">
        <v>2862</v>
      </c>
      <c r="E50" s="73" t="s">
        <v>2878</v>
      </c>
      <c r="F50" s="79">
        <f>+VLOOKUP(C50,'EMP STATUS'!$D$3:$K$77,8,0)</f>
        <v>2350</v>
      </c>
      <c r="G50" s="39">
        <f>+COUNTIFS(SALES!$S$2:$S$171,'CALCULATION DSE'!$C$8:$C$80,SALES!$N$2:$N$171,'CALCULATION DSE'!$G$6:$U$6)</f>
        <v>0</v>
      </c>
      <c r="H50" s="39">
        <f>+COUNTIFS(SALES!$S$2:$S$171,'CALCULATION DSE'!$C$8:$C$80,SALES!$N$2:$N$171,'CALCULATION DSE'!$G$6:$U$6)</f>
        <v>0</v>
      </c>
      <c r="I50" s="39">
        <f>+COUNTIFS(SALES!$S$2:$S$171,'CALCULATION DSE'!$C$8:$C$80,SALES!$N$2:$N$171,'CALCULATION DSE'!$G$6:$U$6)</f>
        <v>0</v>
      </c>
      <c r="J50" s="39">
        <f>+COUNTIFS(SALES!$S$2:$S$171,'CALCULATION DSE'!$C$8:$C$80,SALES!$N$2:$N$171,'CALCULATION DSE'!$G$6:$U$6)</f>
        <v>0</v>
      </c>
      <c r="K50" s="39">
        <f>+COUNTIFS(SALES!$S$2:$S$171,'CALCULATION DSE'!$C$8:$C$80,SALES!$N$2:$N$171,'CALCULATION DSE'!$G$6:$U$6)</f>
        <v>0</v>
      </c>
      <c r="L50" s="39">
        <f>+COUNTIFS(SALES!$S$2:$S$171,'CALCULATION DSE'!$C$8:$C$80,SALES!$N$2:$N$171,'CALCULATION DSE'!$G$6:$U$6)</f>
        <v>0</v>
      </c>
      <c r="M50" s="39">
        <f>+COUNTIFS(SALES!$S$2:$S$171,'CALCULATION DSE'!$C$8:$C$80,SALES!$N$2:$N$171,'CALCULATION DSE'!$G$6:$U$6)</f>
        <v>0</v>
      </c>
      <c r="N50" s="39">
        <f>+COUNTIFS(SALES!$S$2:$S$171,'CALCULATION DSE'!$C$8:$C$80,SALES!$N$2:$N$171,'CALCULATION DSE'!$G$6:$U$6)</f>
        <v>0</v>
      </c>
      <c r="O50" s="39">
        <f>+COUNTIFS(SALES!$S$2:$S$171,'CALCULATION DSE'!$C$8:$C$80,SALES!$N$2:$N$171,'CALCULATION DSE'!$G$6:$U$6)</f>
        <v>0</v>
      </c>
      <c r="P50" s="39">
        <f>+COUNTIFS(SALES!$S$2:$S$171,'CALCULATION DSE'!$C$8:$C$80,SALES!$N$2:$N$171,'CALCULATION DSE'!$G$6:$U$6)</f>
        <v>0</v>
      </c>
      <c r="Q50" s="39">
        <f>+COUNTIFS(SALES!$S$2:$S$171,'CALCULATION DSE'!$C$8:$C$80,SALES!$N$2:$N$171,'CALCULATION DSE'!$G$6:$U$6)</f>
        <v>0</v>
      </c>
      <c r="R50" s="39">
        <f>+COUNTIFS(SALES!$S$2:$S$171,'CALCULATION DSE'!$C$8:$C$80,SALES!$N$2:$N$171,'CALCULATION DSE'!$G$6:$U$6)</f>
        <v>0</v>
      </c>
      <c r="S50" s="39">
        <f>+COUNTIFS(SALES!$S$2:$S$171,'CALCULATION DSE'!$C$8:$C$80,SALES!$N$2:$N$171,'CALCULATION DSE'!$G$6:$U$6)</f>
        <v>0</v>
      </c>
      <c r="T50" s="39">
        <f>+COUNTIFS(SALES!$S$2:$S$171,'CALCULATION DSE'!$C$8:$C$80,SALES!$N$2:$N$171,'CALCULATION DSE'!$G$6:$U$6)</f>
        <v>0</v>
      </c>
      <c r="U50" s="39">
        <f>+COUNTIFS(SALES!$S$2:$S$171,'CALCULATION DSE'!$C$8:$C$80,SALES!$N$2:$N$171,'CALCULATION DSE'!$G$6:$U$6)</f>
        <v>0</v>
      </c>
      <c r="V50" s="36">
        <f t="shared" si="86"/>
        <v>0</v>
      </c>
      <c r="W50" s="36">
        <f t="shared" si="87"/>
        <v>0</v>
      </c>
      <c r="X50" s="79">
        <f t="shared" si="88"/>
        <v>0</v>
      </c>
      <c r="Y50" s="79">
        <f t="shared" si="89"/>
        <v>0</v>
      </c>
      <c r="Z50" s="79">
        <f t="shared" si="90"/>
        <v>0</v>
      </c>
      <c r="AA50" s="79" t="s">
        <v>3005</v>
      </c>
      <c r="AB50" s="72" t="str">
        <f t="shared" si="91"/>
        <v>NO</v>
      </c>
      <c r="AC50" s="72" t="str">
        <f t="shared" si="92"/>
        <v>YES</v>
      </c>
      <c r="AD50" s="64">
        <f t="shared" si="93"/>
        <v>0</v>
      </c>
      <c r="AE50" s="64">
        <f t="shared" si="94"/>
        <v>0</v>
      </c>
      <c r="AF50" s="64">
        <f t="shared" si="95"/>
        <v>0</v>
      </c>
      <c r="AG50" s="71">
        <f t="shared" si="96"/>
        <v>0</v>
      </c>
      <c r="AH50" s="68">
        <v>0</v>
      </c>
      <c r="AI50" s="68">
        <f t="shared" si="97"/>
        <v>0</v>
      </c>
      <c r="AJ50" s="64">
        <f t="shared" si="98"/>
        <v>0</v>
      </c>
      <c r="AK50" s="66" t="e">
        <f>+VLOOKUP(C50,'DSE WISE MGA SALE '!$B$5:$G$116,6,0)</f>
        <v>#N/A</v>
      </c>
      <c r="AL50" s="67">
        <f t="shared" si="99"/>
        <v>0</v>
      </c>
      <c r="AM50" s="67">
        <f t="shared" si="100"/>
        <v>0</v>
      </c>
      <c r="AN50" s="70">
        <f>+COUNTIFS(SALES!$S$2:$S$171,'CALCULATION DSE'!$C$7:$C$80,SALES!$AH$2:$AH$171,"&gt;0")</f>
        <v>0</v>
      </c>
      <c r="AO50" s="68">
        <f t="shared" si="101"/>
        <v>0</v>
      </c>
      <c r="AP50" s="69">
        <f>+COUNTIFS(SALES!$S$2:$S$171,'CALCULATION DSE'!$C$8:$C$80,SALES!$BH$2:$BH$171,"MSSF")</f>
        <v>0</v>
      </c>
      <c r="AQ50" s="69">
        <f t="shared" si="102"/>
        <v>0</v>
      </c>
      <c r="AR50" s="98">
        <f t="shared" si="103"/>
        <v>0</v>
      </c>
      <c r="AS50" s="68">
        <f t="shared" si="104"/>
        <v>0</v>
      </c>
      <c r="AT50" s="68">
        <f t="shared" si="105"/>
        <v>0</v>
      </c>
      <c r="AU50" s="39">
        <f>+COUNTIFS(SALES!$S$2:$S$171,'CALCULATION DSE'!$C$8:$C$80,SALES!$Y$2:$Y$171,"&gt;0")</f>
        <v>0</v>
      </c>
      <c r="AV50" s="39">
        <f t="shared" si="106"/>
        <v>0</v>
      </c>
      <c r="AW50" s="65">
        <f t="shared" si="107"/>
        <v>0</v>
      </c>
      <c r="AX50" s="67">
        <f t="shared" si="108"/>
        <v>0</v>
      </c>
      <c r="AY50" s="67">
        <f t="shared" si="109"/>
        <v>0</v>
      </c>
      <c r="AZ50" s="39">
        <f>+COUNTIFS(SALES!$S$2:$S$171,'CALCULATION DSE'!$C$8:$C$80,SALES!$AC$2:$AC$171,"&gt;0")</f>
        <v>0</v>
      </c>
      <c r="BA50" s="39">
        <f t="shared" si="110"/>
        <v>0</v>
      </c>
      <c r="BB50" s="65">
        <f t="shared" si="111"/>
        <v>0</v>
      </c>
      <c r="BC50" s="66">
        <f t="shared" si="112"/>
        <v>0</v>
      </c>
      <c r="BD50" s="66">
        <f t="shared" si="113"/>
        <v>0</v>
      </c>
      <c r="BE50" s="99">
        <f>+COUNTIFS(SALES!$S$2:$S$171,'CALCULATION DSE'!$C$8:$C$80,SALES!$CA$2:$CA$171,"YES")</f>
        <v>0</v>
      </c>
      <c r="BF50" s="66">
        <f t="shared" si="114"/>
        <v>0</v>
      </c>
      <c r="BG50" s="37">
        <f>+SUMIFS(SALES!$BA$2:$BA$171,SALES!$S$2:$S$171,'CALCULATION DSE'!$C$8:$C$80)</f>
        <v>0</v>
      </c>
      <c r="BH50" s="37">
        <f t="shared" si="115"/>
        <v>0</v>
      </c>
      <c r="BI50" s="65">
        <f t="shared" si="116"/>
        <v>1.5</v>
      </c>
      <c r="BJ50" s="64">
        <f t="shared" si="117"/>
        <v>0</v>
      </c>
      <c r="BK50" s="64">
        <f t="shared" si="118"/>
        <v>0</v>
      </c>
      <c r="BL50" s="64">
        <v>0</v>
      </c>
      <c r="BM50" s="64">
        <f t="shared" si="119"/>
        <v>0</v>
      </c>
      <c r="BN50" s="37">
        <f t="shared" si="120"/>
        <v>0</v>
      </c>
      <c r="BO50" s="38">
        <f t="shared" si="121"/>
        <v>0</v>
      </c>
      <c r="BP50" s="64">
        <f t="shared" si="122"/>
        <v>0</v>
      </c>
      <c r="BQ50" s="64">
        <f t="shared" si="123"/>
        <v>0</v>
      </c>
      <c r="BR50" s="64">
        <f t="shared" si="81"/>
        <v>0</v>
      </c>
      <c r="BS50" s="64">
        <f t="shared" si="124"/>
        <v>0</v>
      </c>
      <c r="BT50" s="64">
        <f t="shared" si="125"/>
        <v>0</v>
      </c>
      <c r="BU50" s="64">
        <f t="shared" si="126"/>
        <v>0</v>
      </c>
      <c r="BV50" s="63">
        <f t="shared" si="127"/>
        <v>0</v>
      </c>
      <c r="CB50" s="50"/>
      <c r="CC50" s="50"/>
      <c r="CD50" s="62"/>
      <c r="CF50" s="46"/>
    </row>
    <row r="51" spans="1:84" customFormat="1" hidden="1" x14ac:dyDescent="0.3">
      <c r="A51" s="74">
        <v>2347</v>
      </c>
      <c r="B51" s="75" t="s">
        <v>2862</v>
      </c>
      <c r="C51" s="40" t="s">
        <v>2996</v>
      </c>
      <c r="D51" s="40" t="s">
        <v>2862</v>
      </c>
      <c r="E51" s="73" t="s">
        <v>2878</v>
      </c>
      <c r="F51" s="79">
        <f>+VLOOKUP(C51,'EMP STATUS'!$D$3:$K$77,8,0)</f>
        <v>2347</v>
      </c>
      <c r="G51" s="39">
        <f>+COUNTIFS(SALES!$S$2:$S$171,'CALCULATION DSE'!$C$8:$C$80,SALES!$N$2:$N$171,'CALCULATION DSE'!$G$6:$U$6)</f>
        <v>0</v>
      </c>
      <c r="H51" s="39">
        <f>+COUNTIFS(SALES!$S$2:$S$171,'CALCULATION DSE'!$C$8:$C$80,SALES!$N$2:$N$171,'CALCULATION DSE'!$G$6:$U$6)</f>
        <v>0</v>
      </c>
      <c r="I51" s="39">
        <f>+COUNTIFS(SALES!$S$2:$S$171,'CALCULATION DSE'!$C$8:$C$80,SALES!$N$2:$N$171,'CALCULATION DSE'!$G$6:$U$6)</f>
        <v>0</v>
      </c>
      <c r="J51" s="39">
        <f>+COUNTIFS(SALES!$S$2:$S$171,'CALCULATION DSE'!$C$8:$C$80,SALES!$N$2:$N$171,'CALCULATION DSE'!$G$6:$U$6)</f>
        <v>0</v>
      </c>
      <c r="K51" s="39">
        <f>+COUNTIFS(SALES!$S$2:$S$171,'CALCULATION DSE'!$C$8:$C$80,SALES!$N$2:$N$171,'CALCULATION DSE'!$G$6:$U$6)</f>
        <v>0</v>
      </c>
      <c r="L51" s="39">
        <f>+COUNTIFS(SALES!$S$2:$S$171,'CALCULATION DSE'!$C$8:$C$80,SALES!$N$2:$N$171,'CALCULATION DSE'!$G$6:$U$6)</f>
        <v>0</v>
      </c>
      <c r="M51" s="39">
        <f>+COUNTIFS(SALES!$S$2:$S$171,'CALCULATION DSE'!$C$8:$C$80,SALES!$N$2:$N$171,'CALCULATION DSE'!$G$6:$U$6)</f>
        <v>0</v>
      </c>
      <c r="N51" s="39">
        <f>+COUNTIFS(SALES!$S$2:$S$171,'CALCULATION DSE'!$C$8:$C$80,SALES!$N$2:$N$171,'CALCULATION DSE'!$G$6:$U$6)</f>
        <v>0</v>
      </c>
      <c r="O51" s="39">
        <f>+COUNTIFS(SALES!$S$2:$S$171,'CALCULATION DSE'!$C$8:$C$80,SALES!$N$2:$N$171,'CALCULATION DSE'!$G$6:$U$6)</f>
        <v>0</v>
      </c>
      <c r="P51" s="39">
        <f>+COUNTIFS(SALES!$S$2:$S$171,'CALCULATION DSE'!$C$8:$C$80,SALES!$N$2:$N$171,'CALCULATION DSE'!$G$6:$U$6)</f>
        <v>0</v>
      </c>
      <c r="Q51" s="39">
        <f>+COUNTIFS(SALES!$S$2:$S$171,'CALCULATION DSE'!$C$8:$C$80,SALES!$N$2:$N$171,'CALCULATION DSE'!$G$6:$U$6)</f>
        <v>0</v>
      </c>
      <c r="R51" s="39">
        <f>+COUNTIFS(SALES!$S$2:$S$171,'CALCULATION DSE'!$C$8:$C$80,SALES!$N$2:$N$171,'CALCULATION DSE'!$G$6:$U$6)</f>
        <v>0</v>
      </c>
      <c r="S51" s="39">
        <f>+COUNTIFS(SALES!$S$2:$S$171,'CALCULATION DSE'!$C$8:$C$80,SALES!$N$2:$N$171,'CALCULATION DSE'!$G$6:$U$6)</f>
        <v>0</v>
      </c>
      <c r="T51" s="39">
        <f>+COUNTIFS(SALES!$S$2:$S$171,'CALCULATION DSE'!$C$8:$C$80,SALES!$N$2:$N$171,'CALCULATION DSE'!$G$6:$U$6)</f>
        <v>0</v>
      </c>
      <c r="U51" s="39">
        <f>+COUNTIFS(SALES!$S$2:$S$171,'CALCULATION DSE'!$C$8:$C$80,SALES!$N$2:$N$171,'CALCULATION DSE'!$G$6:$U$6)</f>
        <v>0</v>
      </c>
      <c r="V51" s="36">
        <f t="shared" si="86"/>
        <v>0</v>
      </c>
      <c r="W51" s="36">
        <f t="shared" si="87"/>
        <v>0</v>
      </c>
      <c r="X51" s="79">
        <f t="shared" si="88"/>
        <v>0</v>
      </c>
      <c r="Y51" s="79">
        <f t="shared" si="89"/>
        <v>0</v>
      </c>
      <c r="Z51" s="79">
        <f t="shared" si="90"/>
        <v>0</v>
      </c>
      <c r="AA51" s="79" t="s">
        <v>3005</v>
      </c>
      <c r="AB51" s="72" t="str">
        <f t="shared" si="91"/>
        <v>NO</v>
      </c>
      <c r="AC51" s="72" t="str">
        <f t="shared" si="92"/>
        <v>YES</v>
      </c>
      <c r="AD51" s="64">
        <f t="shared" si="93"/>
        <v>0</v>
      </c>
      <c r="AE51" s="64">
        <f t="shared" si="94"/>
        <v>0</v>
      </c>
      <c r="AF51" s="64">
        <f t="shared" si="95"/>
        <v>0</v>
      </c>
      <c r="AG51" s="71">
        <f t="shared" si="96"/>
        <v>0</v>
      </c>
      <c r="AH51" s="68">
        <v>0</v>
      </c>
      <c r="AI51" s="68">
        <f t="shared" si="97"/>
        <v>0</v>
      </c>
      <c r="AJ51" s="64">
        <f t="shared" si="98"/>
        <v>0</v>
      </c>
      <c r="AK51" s="66" t="e">
        <f>+VLOOKUP(C51,'DSE WISE MGA SALE '!$B$5:$G$116,6,0)</f>
        <v>#N/A</v>
      </c>
      <c r="AL51" s="67">
        <f t="shared" si="99"/>
        <v>0</v>
      </c>
      <c r="AM51" s="67">
        <f t="shared" si="100"/>
        <v>0</v>
      </c>
      <c r="AN51" s="70">
        <f>+COUNTIFS(SALES!$S$2:$S$171,'CALCULATION DSE'!$C$7:$C$80,SALES!$AH$2:$AH$171,"&gt;0")</f>
        <v>0</v>
      </c>
      <c r="AO51" s="68">
        <f t="shared" si="101"/>
        <v>0</v>
      </c>
      <c r="AP51" s="69">
        <f>+COUNTIFS(SALES!$S$2:$S$171,'CALCULATION DSE'!$C$8:$C$80,SALES!$BH$2:$BH$171,"MSSF")</f>
        <v>0</v>
      </c>
      <c r="AQ51" s="69">
        <f t="shared" si="102"/>
        <v>0</v>
      </c>
      <c r="AR51" s="98">
        <f t="shared" si="103"/>
        <v>0</v>
      </c>
      <c r="AS51" s="68">
        <f t="shared" si="104"/>
        <v>0</v>
      </c>
      <c r="AT51" s="68">
        <f t="shared" si="105"/>
        <v>0</v>
      </c>
      <c r="AU51" s="39">
        <f>+COUNTIFS(SALES!$S$2:$S$171,'CALCULATION DSE'!$C$8:$C$80,SALES!$Y$2:$Y$171,"&gt;0")</f>
        <v>0</v>
      </c>
      <c r="AV51" s="39">
        <f t="shared" si="106"/>
        <v>0</v>
      </c>
      <c r="AW51" s="65">
        <f t="shared" si="107"/>
        <v>0</v>
      </c>
      <c r="AX51" s="67">
        <f t="shared" si="108"/>
        <v>0</v>
      </c>
      <c r="AY51" s="67">
        <f t="shared" si="109"/>
        <v>0</v>
      </c>
      <c r="AZ51" s="39">
        <f>+COUNTIFS(SALES!$S$2:$S$171,'CALCULATION DSE'!$C$8:$C$80,SALES!$AC$2:$AC$171,"&gt;0")</f>
        <v>0</v>
      </c>
      <c r="BA51" s="39">
        <f t="shared" si="110"/>
        <v>0</v>
      </c>
      <c r="BB51" s="65">
        <f t="shared" si="111"/>
        <v>0</v>
      </c>
      <c r="BC51" s="66">
        <f t="shared" si="112"/>
        <v>0</v>
      </c>
      <c r="BD51" s="66">
        <f t="shared" si="113"/>
        <v>0</v>
      </c>
      <c r="BE51" s="99">
        <f>+COUNTIFS(SALES!$S$2:$S$171,'CALCULATION DSE'!$C$8:$C$80,SALES!$CA$2:$CA$171,"YES")</f>
        <v>0</v>
      </c>
      <c r="BF51" s="66">
        <f t="shared" si="114"/>
        <v>0</v>
      </c>
      <c r="BG51" s="37">
        <f>+SUMIFS(SALES!$BA$2:$BA$171,SALES!$S$2:$S$171,'CALCULATION DSE'!$C$8:$C$80)</f>
        <v>0</v>
      </c>
      <c r="BH51" s="37">
        <f t="shared" si="115"/>
        <v>0</v>
      </c>
      <c r="BI51" s="65">
        <f t="shared" si="116"/>
        <v>1.5</v>
      </c>
      <c r="BJ51" s="64">
        <f t="shared" si="117"/>
        <v>0</v>
      </c>
      <c r="BK51" s="64">
        <f t="shared" si="118"/>
        <v>0</v>
      </c>
      <c r="BL51" s="64">
        <v>0</v>
      </c>
      <c r="BM51" s="64">
        <f t="shared" si="119"/>
        <v>0</v>
      </c>
      <c r="BN51" s="37">
        <f t="shared" si="120"/>
        <v>0</v>
      </c>
      <c r="BO51" s="38">
        <f t="shared" si="121"/>
        <v>0</v>
      </c>
      <c r="BP51" s="64">
        <f t="shared" si="122"/>
        <v>0</v>
      </c>
      <c r="BQ51" s="64">
        <f t="shared" si="123"/>
        <v>0</v>
      </c>
      <c r="BR51" s="64">
        <f t="shared" si="81"/>
        <v>0</v>
      </c>
      <c r="BS51" s="64">
        <f t="shared" si="124"/>
        <v>0</v>
      </c>
      <c r="BT51" s="64">
        <f t="shared" si="125"/>
        <v>0</v>
      </c>
      <c r="BU51" s="64">
        <f t="shared" si="126"/>
        <v>0</v>
      </c>
      <c r="BV51" s="63">
        <f t="shared" si="127"/>
        <v>0</v>
      </c>
      <c r="CB51" s="50"/>
      <c r="CC51" s="50"/>
      <c r="CD51" s="62"/>
      <c r="CF51" s="46"/>
    </row>
    <row r="52" spans="1:84" customFormat="1" hidden="1" x14ac:dyDescent="0.3">
      <c r="A52" s="74">
        <v>2349</v>
      </c>
      <c r="B52" s="75" t="s">
        <v>2862</v>
      </c>
      <c r="C52" s="40" t="s">
        <v>2997</v>
      </c>
      <c r="D52" s="40" t="s">
        <v>2862</v>
      </c>
      <c r="E52" s="73" t="s">
        <v>2878</v>
      </c>
      <c r="F52" s="79">
        <f>+VLOOKUP(C52,'EMP STATUS'!$D$3:$K$77,8,0)</f>
        <v>2349</v>
      </c>
      <c r="G52" s="39">
        <f>+COUNTIFS(SALES!$S$2:$S$171,'CALCULATION DSE'!$C$8:$C$80,SALES!$N$2:$N$171,'CALCULATION DSE'!$G$6:$U$6)</f>
        <v>0</v>
      </c>
      <c r="H52" s="39">
        <f>+COUNTIFS(SALES!$S$2:$S$171,'CALCULATION DSE'!$C$8:$C$80,SALES!$N$2:$N$171,'CALCULATION DSE'!$G$6:$U$6)</f>
        <v>0</v>
      </c>
      <c r="I52" s="39">
        <f>+COUNTIFS(SALES!$S$2:$S$171,'CALCULATION DSE'!$C$8:$C$80,SALES!$N$2:$N$171,'CALCULATION DSE'!$G$6:$U$6)</f>
        <v>0</v>
      </c>
      <c r="J52" s="39">
        <f>+COUNTIFS(SALES!$S$2:$S$171,'CALCULATION DSE'!$C$8:$C$80,SALES!$N$2:$N$171,'CALCULATION DSE'!$G$6:$U$6)</f>
        <v>0</v>
      </c>
      <c r="K52" s="39">
        <f>+COUNTIFS(SALES!$S$2:$S$171,'CALCULATION DSE'!$C$8:$C$80,SALES!$N$2:$N$171,'CALCULATION DSE'!$G$6:$U$6)</f>
        <v>0</v>
      </c>
      <c r="L52" s="39">
        <f>+COUNTIFS(SALES!$S$2:$S$171,'CALCULATION DSE'!$C$8:$C$80,SALES!$N$2:$N$171,'CALCULATION DSE'!$G$6:$U$6)</f>
        <v>0</v>
      </c>
      <c r="M52" s="39">
        <f>+COUNTIFS(SALES!$S$2:$S$171,'CALCULATION DSE'!$C$8:$C$80,SALES!$N$2:$N$171,'CALCULATION DSE'!$G$6:$U$6)</f>
        <v>0</v>
      </c>
      <c r="N52" s="39">
        <f>+COUNTIFS(SALES!$S$2:$S$171,'CALCULATION DSE'!$C$8:$C$80,SALES!$N$2:$N$171,'CALCULATION DSE'!$G$6:$U$6)</f>
        <v>0</v>
      </c>
      <c r="O52" s="39">
        <f>+COUNTIFS(SALES!$S$2:$S$171,'CALCULATION DSE'!$C$8:$C$80,SALES!$N$2:$N$171,'CALCULATION DSE'!$G$6:$U$6)</f>
        <v>0</v>
      </c>
      <c r="P52" s="39">
        <f>+COUNTIFS(SALES!$S$2:$S$171,'CALCULATION DSE'!$C$8:$C$80,SALES!$N$2:$N$171,'CALCULATION DSE'!$G$6:$U$6)</f>
        <v>0</v>
      </c>
      <c r="Q52" s="39">
        <f>+COUNTIFS(SALES!$S$2:$S$171,'CALCULATION DSE'!$C$8:$C$80,SALES!$N$2:$N$171,'CALCULATION DSE'!$G$6:$U$6)</f>
        <v>0</v>
      </c>
      <c r="R52" s="39">
        <f>+COUNTIFS(SALES!$S$2:$S$171,'CALCULATION DSE'!$C$8:$C$80,SALES!$N$2:$N$171,'CALCULATION DSE'!$G$6:$U$6)</f>
        <v>0</v>
      </c>
      <c r="S52" s="39">
        <f>+COUNTIFS(SALES!$S$2:$S$171,'CALCULATION DSE'!$C$8:$C$80,SALES!$N$2:$N$171,'CALCULATION DSE'!$G$6:$U$6)</f>
        <v>0</v>
      </c>
      <c r="T52" s="39">
        <f>+COUNTIFS(SALES!$S$2:$S$171,'CALCULATION DSE'!$C$8:$C$80,SALES!$N$2:$N$171,'CALCULATION DSE'!$G$6:$U$6)</f>
        <v>0</v>
      </c>
      <c r="U52" s="39">
        <f>+COUNTIFS(SALES!$S$2:$S$171,'CALCULATION DSE'!$C$8:$C$80,SALES!$N$2:$N$171,'CALCULATION DSE'!$G$6:$U$6)</f>
        <v>0</v>
      </c>
      <c r="V52" s="36">
        <f t="shared" si="86"/>
        <v>0</v>
      </c>
      <c r="W52" s="36">
        <f t="shared" si="87"/>
        <v>0</v>
      </c>
      <c r="X52" s="79">
        <f t="shared" si="88"/>
        <v>0</v>
      </c>
      <c r="Y52" s="79">
        <f t="shared" si="89"/>
        <v>0</v>
      </c>
      <c r="Z52" s="79">
        <f t="shared" si="90"/>
        <v>0</v>
      </c>
      <c r="AA52" s="79" t="s">
        <v>3005</v>
      </c>
      <c r="AB52" s="72" t="str">
        <f t="shared" si="91"/>
        <v>NO</v>
      </c>
      <c r="AC52" s="72" t="str">
        <f t="shared" si="92"/>
        <v>YES</v>
      </c>
      <c r="AD52" s="64">
        <f t="shared" si="93"/>
        <v>0</v>
      </c>
      <c r="AE52" s="64">
        <f t="shared" si="94"/>
        <v>0</v>
      </c>
      <c r="AF52" s="64">
        <f t="shared" si="95"/>
        <v>0</v>
      </c>
      <c r="AG52" s="71">
        <f t="shared" si="96"/>
        <v>0</v>
      </c>
      <c r="AH52" s="68">
        <v>0</v>
      </c>
      <c r="AI52" s="68">
        <f t="shared" si="97"/>
        <v>0</v>
      </c>
      <c r="AJ52" s="64">
        <f t="shared" si="98"/>
        <v>0</v>
      </c>
      <c r="AK52" s="66" t="e">
        <f>+VLOOKUP(C52,'DSE WISE MGA SALE '!$B$5:$G$116,6,0)</f>
        <v>#N/A</v>
      </c>
      <c r="AL52" s="67">
        <f t="shared" si="99"/>
        <v>0</v>
      </c>
      <c r="AM52" s="67">
        <f t="shared" si="100"/>
        <v>0</v>
      </c>
      <c r="AN52" s="70">
        <f>+COUNTIFS(SALES!$S$2:$S$171,'CALCULATION DSE'!$C$7:$C$80,SALES!$AH$2:$AH$171,"&gt;0")</f>
        <v>0</v>
      </c>
      <c r="AO52" s="68">
        <f t="shared" si="101"/>
        <v>0</v>
      </c>
      <c r="AP52" s="69">
        <f>+COUNTIFS(SALES!$S$2:$S$171,'CALCULATION DSE'!$C$8:$C$80,SALES!$BH$2:$BH$171,"MSSF")</f>
        <v>0</v>
      </c>
      <c r="AQ52" s="69">
        <f t="shared" si="102"/>
        <v>0</v>
      </c>
      <c r="AR52" s="98">
        <f t="shared" si="103"/>
        <v>0</v>
      </c>
      <c r="AS52" s="68">
        <f t="shared" si="104"/>
        <v>0</v>
      </c>
      <c r="AT52" s="68">
        <f t="shared" si="105"/>
        <v>0</v>
      </c>
      <c r="AU52" s="39">
        <f>+COUNTIFS(SALES!$S$2:$S$171,'CALCULATION DSE'!$C$8:$C$80,SALES!$Y$2:$Y$171,"&gt;0")</f>
        <v>0</v>
      </c>
      <c r="AV52" s="39">
        <f t="shared" si="106"/>
        <v>0</v>
      </c>
      <c r="AW52" s="65">
        <f t="shared" si="107"/>
        <v>0</v>
      </c>
      <c r="AX52" s="67">
        <f t="shared" si="108"/>
        <v>0</v>
      </c>
      <c r="AY52" s="67">
        <f t="shared" si="109"/>
        <v>0</v>
      </c>
      <c r="AZ52" s="39">
        <f>+COUNTIFS(SALES!$S$2:$S$171,'CALCULATION DSE'!$C$8:$C$80,SALES!$AC$2:$AC$171,"&gt;0")</f>
        <v>0</v>
      </c>
      <c r="BA52" s="39">
        <f t="shared" si="110"/>
        <v>0</v>
      </c>
      <c r="BB52" s="65">
        <f t="shared" si="111"/>
        <v>0</v>
      </c>
      <c r="BC52" s="66">
        <f t="shared" si="112"/>
        <v>0</v>
      </c>
      <c r="BD52" s="66">
        <f t="shared" si="113"/>
        <v>0</v>
      </c>
      <c r="BE52" s="99">
        <f>+COUNTIFS(SALES!$S$2:$S$171,'CALCULATION DSE'!$C$8:$C$80,SALES!$CA$2:$CA$171,"YES")</f>
        <v>0</v>
      </c>
      <c r="BF52" s="66">
        <f t="shared" si="114"/>
        <v>0</v>
      </c>
      <c r="BG52" s="37">
        <f>+SUMIFS(SALES!$BA$2:$BA$171,SALES!$S$2:$S$171,'CALCULATION DSE'!$C$8:$C$80)</f>
        <v>0</v>
      </c>
      <c r="BH52" s="37">
        <f t="shared" si="115"/>
        <v>0</v>
      </c>
      <c r="BI52" s="65">
        <f t="shared" si="116"/>
        <v>1.5</v>
      </c>
      <c r="BJ52" s="64">
        <f t="shared" si="117"/>
        <v>0</v>
      </c>
      <c r="BK52" s="64">
        <f t="shared" si="118"/>
        <v>0</v>
      </c>
      <c r="BL52" s="64">
        <v>0</v>
      </c>
      <c r="BM52" s="64">
        <f t="shared" si="119"/>
        <v>0</v>
      </c>
      <c r="BN52" s="37">
        <f t="shared" si="120"/>
        <v>0</v>
      </c>
      <c r="BO52" s="38">
        <f t="shared" si="121"/>
        <v>0</v>
      </c>
      <c r="BP52" s="64">
        <f t="shared" si="122"/>
        <v>0</v>
      </c>
      <c r="BQ52" s="64">
        <f t="shared" si="123"/>
        <v>0</v>
      </c>
      <c r="BR52" s="64">
        <f t="shared" si="81"/>
        <v>0</v>
      </c>
      <c r="BS52" s="64">
        <f t="shared" si="124"/>
        <v>0</v>
      </c>
      <c r="BT52" s="64">
        <f t="shared" si="125"/>
        <v>0</v>
      </c>
      <c r="BU52" s="64">
        <f t="shared" si="126"/>
        <v>0</v>
      </c>
      <c r="BV52" s="63">
        <f t="shared" si="127"/>
        <v>0</v>
      </c>
      <c r="CB52" s="50"/>
      <c r="CC52" s="50"/>
      <c r="CD52" s="62"/>
      <c r="CF52" s="46"/>
    </row>
    <row r="53" spans="1:84" customFormat="1" hidden="1" x14ac:dyDescent="0.3">
      <c r="A53" s="74" t="s">
        <v>3082</v>
      </c>
      <c r="B53" s="40" t="s">
        <v>2862</v>
      </c>
      <c r="C53" s="40" t="s">
        <v>2669</v>
      </c>
      <c r="D53" s="40" t="s">
        <v>2862</v>
      </c>
      <c r="E53" s="73" t="s">
        <v>2878</v>
      </c>
      <c r="F53" s="79" t="str">
        <f>+VLOOKUP(C53,'EMP STATUS'!$D$3:$K$77,8,0)</f>
        <v>1224</v>
      </c>
      <c r="G53" s="39">
        <f>+COUNTIFS(SALES!$S$2:$S$171,'CALCULATION DSE'!$C$8:$C$80,SALES!$N$2:$N$171,'CALCULATION DSE'!$G$6:$U$6)</f>
        <v>0</v>
      </c>
      <c r="H53" s="39">
        <f>+COUNTIFS(SALES!$S$2:$S$171,'CALCULATION DSE'!$C$8:$C$80,SALES!$N$2:$N$171,'CALCULATION DSE'!$G$6:$U$6)</f>
        <v>0</v>
      </c>
      <c r="I53" s="39">
        <f>+COUNTIFS(SALES!$S$2:$S$171,'CALCULATION DSE'!$C$8:$C$80,SALES!$N$2:$N$171,'CALCULATION DSE'!$G$6:$U$6)</f>
        <v>0</v>
      </c>
      <c r="J53" s="39">
        <f>+COUNTIFS(SALES!$S$2:$S$171,'CALCULATION DSE'!$C$8:$C$80,SALES!$N$2:$N$171,'CALCULATION DSE'!$G$6:$U$6)</f>
        <v>0</v>
      </c>
      <c r="K53" s="39">
        <f>+COUNTIFS(SALES!$S$2:$S$171,'CALCULATION DSE'!$C$8:$C$80,SALES!$N$2:$N$171,'CALCULATION DSE'!$G$6:$U$6)</f>
        <v>0</v>
      </c>
      <c r="L53" s="39">
        <f>+COUNTIFS(SALES!$S$2:$S$171,'CALCULATION DSE'!$C$8:$C$80,SALES!$N$2:$N$171,'CALCULATION DSE'!$G$6:$U$6)</f>
        <v>0</v>
      </c>
      <c r="M53" s="39">
        <f>+COUNTIFS(SALES!$S$2:$S$171,'CALCULATION DSE'!$C$8:$C$80,SALES!$N$2:$N$171,'CALCULATION DSE'!$G$6:$U$6)</f>
        <v>0</v>
      </c>
      <c r="N53" s="39">
        <f>+COUNTIFS(SALES!$S$2:$S$171,'CALCULATION DSE'!$C$8:$C$80,SALES!$N$2:$N$171,'CALCULATION DSE'!$G$6:$U$6)</f>
        <v>0</v>
      </c>
      <c r="O53" s="39">
        <f>+COUNTIFS(SALES!$S$2:$S$171,'CALCULATION DSE'!$C$8:$C$80,SALES!$N$2:$N$171,'CALCULATION DSE'!$G$6:$U$6)</f>
        <v>0</v>
      </c>
      <c r="P53" s="39">
        <f>+COUNTIFS(SALES!$S$2:$S$171,'CALCULATION DSE'!$C$8:$C$80,SALES!$N$2:$N$171,'CALCULATION DSE'!$G$6:$U$6)</f>
        <v>0</v>
      </c>
      <c r="Q53" s="39">
        <f>+COUNTIFS(SALES!$S$2:$S$171,'CALCULATION DSE'!$C$8:$C$80,SALES!$N$2:$N$171,'CALCULATION DSE'!$G$6:$U$6)</f>
        <v>2</v>
      </c>
      <c r="R53" s="39">
        <f>+COUNTIFS(SALES!$S$2:$S$171,'CALCULATION DSE'!$C$8:$C$80,SALES!$N$2:$N$171,'CALCULATION DSE'!$G$6:$U$6)</f>
        <v>0</v>
      </c>
      <c r="S53" s="39">
        <f>+COUNTIFS(SALES!$S$2:$S$171,'CALCULATION DSE'!$C$8:$C$80,SALES!$N$2:$N$171,'CALCULATION DSE'!$G$6:$U$6)</f>
        <v>0</v>
      </c>
      <c r="T53" s="39">
        <f>+COUNTIFS(SALES!$S$2:$S$171,'CALCULATION DSE'!$C$8:$C$80,SALES!$N$2:$N$171,'CALCULATION DSE'!$G$6:$U$6)</f>
        <v>0</v>
      </c>
      <c r="U53" s="39">
        <f>+COUNTIFS(SALES!$S$2:$S$171,'CALCULATION DSE'!$C$8:$C$80,SALES!$N$2:$N$171,'CALCULATION DSE'!$G$6:$U$6)</f>
        <v>0</v>
      </c>
      <c r="V53" s="36">
        <f t="shared" si="86"/>
        <v>2</v>
      </c>
      <c r="W53" s="36">
        <f t="shared" si="87"/>
        <v>2</v>
      </c>
      <c r="X53" s="79">
        <f t="shared" si="88"/>
        <v>0</v>
      </c>
      <c r="Y53" s="79">
        <f t="shared" si="89"/>
        <v>0</v>
      </c>
      <c r="Z53" s="79">
        <f t="shared" si="90"/>
        <v>0</v>
      </c>
      <c r="AA53" s="79" t="s">
        <v>3005</v>
      </c>
      <c r="AB53" s="72" t="str">
        <f t="shared" si="91"/>
        <v>NO</v>
      </c>
      <c r="AC53" s="72" t="str">
        <f t="shared" si="92"/>
        <v>YES</v>
      </c>
      <c r="AD53" s="64">
        <f t="shared" si="93"/>
        <v>1000</v>
      </c>
      <c r="AE53" s="64">
        <f t="shared" si="94"/>
        <v>0</v>
      </c>
      <c r="AF53" s="64">
        <f t="shared" si="95"/>
        <v>0</v>
      </c>
      <c r="AG53" s="71">
        <f t="shared" si="96"/>
        <v>1000</v>
      </c>
      <c r="AH53" s="68">
        <v>0</v>
      </c>
      <c r="AI53" s="68">
        <f t="shared" si="97"/>
        <v>0</v>
      </c>
      <c r="AJ53" s="64">
        <f t="shared" si="98"/>
        <v>0</v>
      </c>
      <c r="AK53" s="66">
        <f>+VLOOKUP(C53,'DSE WISE MGA SALE '!$B$5:$G$116,6,0)</f>
        <v>38219.178082191778</v>
      </c>
      <c r="AL53" s="67">
        <f t="shared" si="99"/>
        <v>19109.589041095889</v>
      </c>
      <c r="AM53" s="67">
        <f t="shared" si="100"/>
        <v>1146.5753424657532</v>
      </c>
      <c r="AN53" s="70">
        <f>+COUNTIFS(SALES!$S$2:$S$171,'CALCULATION DSE'!$C$7:$C$80,SALES!$AH$2:$AH$171,"&gt;0")</f>
        <v>0</v>
      </c>
      <c r="AO53" s="68">
        <f t="shared" si="101"/>
        <v>0</v>
      </c>
      <c r="AP53" s="69">
        <f>+COUNTIFS(SALES!$S$2:$S$171,'CALCULATION DSE'!$C$8:$C$80,SALES!$BH$2:$BH$171,"MSSF")</f>
        <v>1</v>
      </c>
      <c r="AQ53" s="69">
        <f t="shared" si="102"/>
        <v>1</v>
      </c>
      <c r="AR53" s="98">
        <f t="shared" si="103"/>
        <v>0.5</v>
      </c>
      <c r="AS53" s="68">
        <f t="shared" si="104"/>
        <v>0</v>
      </c>
      <c r="AT53" s="68">
        <f t="shared" si="105"/>
        <v>250</v>
      </c>
      <c r="AU53" s="39">
        <f>+COUNTIFS(SALES!$S$2:$S$171,'CALCULATION DSE'!$C$8:$C$80,SALES!$Y$2:$Y$171,"&gt;0")</f>
        <v>2</v>
      </c>
      <c r="AV53" s="39">
        <f t="shared" si="106"/>
        <v>0</v>
      </c>
      <c r="AW53" s="65">
        <f t="shared" si="107"/>
        <v>1</v>
      </c>
      <c r="AX53" s="67">
        <f t="shared" si="108"/>
        <v>2000</v>
      </c>
      <c r="AY53" s="67">
        <f t="shared" si="109"/>
        <v>0</v>
      </c>
      <c r="AZ53" s="39">
        <f>+COUNTIFS(SALES!$S$2:$S$171,'CALCULATION DSE'!$C$8:$C$80,SALES!$AC$2:$AC$171,"&gt;0")</f>
        <v>2</v>
      </c>
      <c r="BA53" s="39">
        <f t="shared" si="110"/>
        <v>0</v>
      </c>
      <c r="BB53" s="65">
        <f t="shared" si="111"/>
        <v>1</v>
      </c>
      <c r="BC53" s="66">
        <f t="shared" si="112"/>
        <v>1500</v>
      </c>
      <c r="BD53" s="66">
        <f t="shared" si="113"/>
        <v>0</v>
      </c>
      <c r="BE53" s="99">
        <f>+COUNTIFS(SALES!$S$2:$S$171,'CALCULATION DSE'!$C$8:$C$80,SALES!$CA$2:$CA$171,"YES")</f>
        <v>0</v>
      </c>
      <c r="BF53" s="66">
        <f t="shared" si="114"/>
        <v>0</v>
      </c>
      <c r="BG53" s="37">
        <f>+SUMIFS(SALES!$BA$2:$BA$171,SALES!$S$2:$S$171,'CALCULATION DSE'!$C$8:$C$80)</f>
        <v>10806</v>
      </c>
      <c r="BH53" s="37">
        <f t="shared" si="115"/>
        <v>5403</v>
      </c>
      <c r="BI53" s="65">
        <f t="shared" si="116"/>
        <v>1</v>
      </c>
      <c r="BJ53" s="64">
        <f t="shared" si="117"/>
        <v>1000</v>
      </c>
      <c r="BK53" s="64">
        <f t="shared" si="118"/>
        <v>5396.5753424657532</v>
      </c>
      <c r="BL53" s="64">
        <v>0</v>
      </c>
      <c r="BM53" s="64">
        <f t="shared" si="119"/>
        <v>0</v>
      </c>
      <c r="BN53" s="37">
        <f t="shared" si="120"/>
        <v>5396.5753424657532</v>
      </c>
      <c r="BO53" s="38">
        <f t="shared" si="121"/>
        <v>0</v>
      </c>
      <c r="BP53" s="64">
        <f t="shared" si="122"/>
        <v>0</v>
      </c>
      <c r="BQ53" s="64">
        <f t="shared" si="123"/>
        <v>0</v>
      </c>
      <c r="BR53" s="64">
        <f t="shared" si="81"/>
        <v>0</v>
      </c>
      <c r="BS53" s="64">
        <f t="shared" si="124"/>
        <v>0</v>
      </c>
      <c r="BT53" s="64">
        <f t="shared" si="125"/>
        <v>0</v>
      </c>
      <c r="BU53" s="64">
        <f t="shared" si="126"/>
        <v>0</v>
      </c>
      <c r="BV53" s="63">
        <f t="shared" si="127"/>
        <v>5396.5753424657532</v>
      </c>
      <c r="CB53" s="50"/>
      <c r="CC53" s="50"/>
      <c r="CD53" s="62"/>
      <c r="CF53" s="46"/>
    </row>
    <row r="54" spans="1:84" customFormat="1" hidden="1" x14ac:dyDescent="0.3">
      <c r="A54" s="74" t="s">
        <v>1749</v>
      </c>
      <c r="B54" s="40" t="s">
        <v>2523</v>
      </c>
      <c r="C54" s="40" t="s">
        <v>2767</v>
      </c>
      <c r="D54" s="40" t="s">
        <v>2767</v>
      </c>
      <c r="E54" s="73" t="s">
        <v>2521</v>
      </c>
      <c r="F54" s="79" t="str">
        <f>+VLOOKUP(C54,'EMP STATUS'!$D$3:$K$77,8,0)</f>
        <v>PAN01</v>
      </c>
      <c r="G54" s="39">
        <f>+COUNTIFS(SALES!$S$2:$S$171,'CALCULATION DSE'!$C$8:$C$80,SALES!$N$2:$N$171,'CALCULATION DSE'!$G$6:$U$6)</f>
        <v>0</v>
      </c>
      <c r="H54" s="39">
        <f>+COUNTIFS(SALES!$S$2:$S$171,'CALCULATION DSE'!$C$8:$C$80,SALES!$N$2:$N$171,'CALCULATION DSE'!$G$6:$U$6)</f>
        <v>0</v>
      </c>
      <c r="I54" s="39">
        <f>+COUNTIFS(SALES!$S$2:$S$171,'CALCULATION DSE'!$C$8:$C$80,SALES!$N$2:$N$171,'CALCULATION DSE'!$G$6:$U$6)</f>
        <v>0</v>
      </c>
      <c r="J54" s="39">
        <f>+COUNTIFS(SALES!$S$2:$S$171,'CALCULATION DSE'!$C$8:$C$80,SALES!$N$2:$N$171,'CALCULATION DSE'!$G$6:$U$6)</f>
        <v>0</v>
      </c>
      <c r="K54" s="39">
        <f>+COUNTIFS(SALES!$S$2:$S$171,'CALCULATION DSE'!$C$8:$C$80,SALES!$N$2:$N$171,'CALCULATION DSE'!$G$6:$U$6)</f>
        <v>0</v>
      </c>
      <c r="L54" s="39">
        <f>+COUNTIFS(SALES!$S$2:$S$171,'CALCULATION DSE'!$C$8:$C$80,SALES!$N$2:$N$171,'CALCULATION DSE'!$G$6:$U$6)</f>
        <v>0</v>
      </c>
      <c r="M54" s="39">
        <f>+COUNTIFS(SALES!$S$2:$S$171,'CALCULATION DSE'!$C$8:$C$80,SALES!$N$2:$N$171,'CALCULATION DSE'!$G$6:$U$6)</f>
        <v>0</v>
      </c>
      <c r="N54" s="39">
        <f>+COUNTIFS(SALES!$S$2:$S$171,'CALCULATION DSE'!$C$8:$C$80,SALES!$N$2:$N$171,'CALCULATION DSE'!$G$6:$U$6)</f>
        <v>0</v>
      </c>
      <c r="O54" s="39">
        <f>+COUNTIFS(SALES!$S$2:$S$171,'CALCULATION DSE'!$C$8:$C$80,SALES!$N$2:$N$171,'CALCULATION DSE'!$G$6:$U$6)</f>
        <v>0</v>
      </c>
      <c r="P54" s="39">
        <f>+COUNTIFS(SALES!$S$2:$S$171,'CALCULATION DSE'!$C$8:$C$80,SALES!$N$2:$N$171,'CALCULATION DSE'!$G$6:$U$6)</f>
        <v>0</v>
      </c>
      <c r="Q54" s="39">
        <f>+COUNTIFS(SALES!$S$2:$S$171,'CALCULATION DSE'!$C$8:$C$80,SALES!$N$2:$N$171,'CALCULATION DSE'!$G$6:$U$6)</f>
        <v>0</v>
      </c>
      <c r="R54" s="39">
        <f>+COUNTIFS(SALES!$S$2:$S$171,'CALCULATION DSE'!$C$8:$C$80,SALES!$N$2:$N$171,'CALCULATION DSE'!$G$6:$U$6)</f>
        <v>1</v>
      </c>
      <c r="S54" s="39">
        <f>+COUNTIFS(SALES!$S$2:$S$171,'CALCULATION DSE'!$C$8:$C$80,SALES!$N$2:$N$171,'CALCULATION DSE'!$G$6:$U$6)</f>
        <v>0</v>
      </c>
      <c r="T54" s="39">
        <f>+COUNTIFS(SALES!$S$2:$S$171,'CALCULATION DSE'!$C$8:$C$80,SALES!$N$2:$N$171,'CALCULATION DSE'!$G$6:$U$6)</f>
        <v>0</v>
      </c>
      <c r="U54" s="39">
        <f>+COUNTIFS(SALES!$S$2:$S$171,'CALCULATION DSE'!$C$8:$C$80,SALES!$N$2:$N$171,'CALCULATION DSE'!$G$6:$U$6)</f>
        <v>0</v>
      </c>
      <c r="V54" s="36">
        <f t="shared" si="86"/>
        <v>1</v>
      </c>
      <c r="W54" s="36">
        <f t="shared" si="87"/>
        <v>0</v>
      </c>
      <c r="X54" s="79">
        <f t="shared" si="88"/>
        <v>1</v>
      </c>
      <c r="Y54" s="79">
        <f t="shared" si="89"/>
        <v>0</v>
      </c>
      <c r="Z54" s="79">
        <f t="shared" si="90"/>
        <v>0</v>
      </c>
      <c r="AA54" s="79" t="str">
        <f>+VLOOKUP(C54,'EMP STATUS'!$D$3:$J$77,7,0)</f>
        <v>OLD</v>
      </c>
      <c r="AB54" s="72" t="str">
        <f t="shared" si="91"/>
        <v>YES</v>
      </c>
      <c r="AC54" s="72" t="str">
        <f t="shared" si="92"/>
        <v>NO</v>
      </c>
      <c r="AD54" s="64">
        <f t="shared" si="93"/>
        <v>0</v>
      </c>
      <c r="AE54" s="64">
        <f t="shared" si="94"/>
        <v>0</v>
      </c>
      <c r="AF54" s="64">
        <f t="shared" si="95"/>
        <v>0</v>
      </c>
      <c r="AG54" s="71">
        <f t="shared" si="96"/>
        <v>0</v>
      </c>
      <c r="AH54" s="68">
        <v>0</v>
      </c>
      <c r="AI54" s="68">
        <f t="shared" si="97"/>
        <v>0</v>
      </c>
      <c r="AJ54" s="64">
        <f t="shared" si="98"/>
        <v>0</v>
      </c>
      <c r="AK54" s="66">
        <f>+VLOOKUP(C54,'DSE WISE MGA SALE '!$B$5:$G$116,6,0)</f>
        <v>15100</v>
      </c>
      <c r="AL54" s="67">
        <f t="shared" si="99"/>
        <v>15100</v>
      </c>
      <c r="AM54" s="67">
        <f t="shared" si="100"/>
        <v>0</v>
      </c>
      <c r="AN54" s="70">
        <f>+COUNTIFS(SALES!$S$2:$S$171,'CALCULATION DSE'!$C$7:$C$80,SALES!$AH$2:$AH$171,"&gt;0")</f>
        <v>0</v>
      </c>
      <c r="AO54" s="68">
        <f t="shared" si="101"/>
        <v>0</v>
      </c>
      <c r="AP54" s="69">
        <f>+COUNTIFS(SALES!$S$2:$S$171,'CALCULATION DSE'!$C$8:$C$80,SALES!$BH$2:$BH$171,"MSSF")</f>
        <v>1</v>
      </c>
      <c r="AQ54" s="69">
        <f t="shared" si="102"/>
        <v>0</v>
      </c>
      <c r="AR54" s="98">
        <f t="shared" si="103"/>
        <v>1</v>
      </c>
      <c r="AS54" s="68">
        <f t="shared" si="104"/>
        <v>0</v>
      </c>
      <c r="AT54" s="68">
        <f t="shared" si="105"/>
        <v>0</v>
      </c>
      <c r="AU54" s="39">
        <f>+COUNTIFS(SALES!$S$2:$S$171,'CALCULATION DSE'!$C$8:$C$80,SALES!$Y$2:$Y$171,"&gt;0")</f>
        <v>0</v>
      </c>
      <c r="AV54" s="39">
        <f t="shared" si="106"/>
        <v>1</v>
      </c>
      <c r="AW54" s="65">
        <f t="shared" si="107"/>
        <v>0</v>
      </c>
      <c r="AX54" s="67">
        <f t="shared" si="108"/>
        <v>0</v>
      </c>
      <c r="AY54" s="67">
        <f t="shared" si="109"/>
        <v>0</v>
      </c>
      <c r="AZ54" s="39">
        <f>+COUNTIFS(SALES!$S$2:$S$171,'CALCULATION DSE'!$C$8:$C$80,SALES!$AC$2:$AC$171,"&gt;0")</f>
        <v>0</v>
      </c>
      <c r="BA54" s="39">
        <f t="shared" si="110"/>
        <v>1</v>
      </c>
      <c r="BB54" s="65">
        <f t="shared" si="111"/>
        <v>0</v>
      </c>
      <c r="BC54" s="66">
        <f t="shared" si="112"/>
        <v>0</v>
      </c>
      <c r="BD54" s="66">
        <f t="shared" si="113"/>
        <v>0</v>
      </c>
      <c r="BE54" s="99">
        <f>+COUNTIFS(SALES!$S$2:$S$171,'CALCULATION DSE'!$C$8:$C$80,SALES!$CA$2:$CA$171,"YES")</f>
        <v>0</v>
      </c>
      <c r="BF54" s="66">
        <f t="shared" si="114"/>
        <v>0</v>
      </c>
      <c r="BG54" s="37">
        <f>+SUMIFS(SALES!$BA$2:$BA$171,SALES!$S$2:$S$171,'CALCULATION DSE'!$C$8:$C$80)</f>
        <v>0</v>
      </c>
      <c r="BH54" s="37">
        <f t="shared" si="115"/>
        <v>0</v>
      </c>
      <c r="BI54" s="65">
        <f t="shared" si="116"/>
        <v>1.5</v>
      </c>
      <c r="BJ54" s="64">
        <f t="shared" si="117"/>
        <v>0</v>
      </c>
      <c r="BK54" s="64">
        <f t="shared" si="118"/>
        <v>0</v>
      </c>
      <c r="BL54" s="64">
        <v>0</v>
      </c>
      <c r="BM54" s="64">
        <f t="shared" si="119"/>
        <v>0</v>
      </c>
      <c r="BN54" s="37">
        <f t="shared" si="120"/>
        <v>0</v>
      </c>
      <c r="BO54" s="38">
        <f t="shared" si="121"/>
        <v>0</v>
      </c>
      <c r="BP54" s="64">
        <f t="shared" si="122"/>
        <v>0</v>
      </c>
      <c r="BQ54" s="64">
        <f t="shared" si="123"/>
        <v>0</v>
      </c>
      <c r="BR54" s="64">
        <f t="shared" si="81"/>
        <v>0</v>
      </c>
      <c r="BS54" s="64">
        <f t="shared" si="124"/>
        <v>0</v>
      </c>
      <c r="BT54" s="64">
        <f t="shared" si="125"/>
        <v>0</v>
      </c>
      <c r="BU54" s="64">
        <f t="shared" si="126"/>
        <v>0</v>
      </c>
      <c r="BV54" s="63">
        <f t="shared" si="127"/>
        <v>0</v>
      </c>
      <c r="CB54" s="50"/>
      <c r="CC54" s="50"/>
      <c r="CD54" s="62"/>
      <c r="CF54" s="46"/>
    </row>
    <row r="55" spans="1:84" customFormat="1" hidden="1" x14ac:dyDescent="0.3">
      <c r="A55" s="74" t="s">
        <v>2021</v>
      </c>
      <c r="B55" s="40" t="s">
        <v>2586</v>
      </c>
      <c r="C55" s="40" t="s">
        <v>2359</v>
      </c>
      <c r="D55" s="40" t="s">
        <v>2586</v>
      </c>
      <c r="E55" s="73" t="s">
        <v>1744</v>
      </c>
      <c r="F55" s="79" t="str">
        <f>+VLOOKUP(C55,'EMP STATUS'!$D$3:$K$77,8,0)</f>
        <v>SEN182</v>
      </c>
      <c r="G55" s="39">
        <f>+COUNTIFS(SALES!$S$2:$S$171,'CALCULATION DSE'!$C$8:$C$80,SALES!$N$2:$N$171,'CALCULATION DSE'!$G$6:$U$6)</f>
        <v>0</v>
      </c>
      <c r="H55" s="39">
        <f>+COUNTIFS(SALES!$S$2:$S$171,'CALCULATION DSE'!$C$8:$C$80,SALES!$N$2:$N$171,'CALCULATION DSE'!$G$6:$U$6)</f>
        <v>0</v>
      </c>
      <c r="I55" s="39">
        <f>+COUNTIFS(SALES!$S$2:$S$171,'CALCULATION DSE'!$C$8:$C$80,SALES!$N$2:$N$171,'CALCULATION DSE'!$G$6:$U$6)</f>
        <v>0</v>
      </c>
      <c r="J55" s="39">
        <f>+COUNTIFS(SALES!$S$2:$S$171,'CALCULATION DSE'!$C$8:$C$80,SALES!$N$2:$N$171,'CALCULATION DSE'!$G$6:$U$6)</f>
        <v>0</v>
      </c>
      <c r="K55" s="39">
        <f>+COUNTIFS(SALES!$S$2:$S$171,'CALCULATION DSE'!$C$8:$C$80,SALES!$N$2:$N$171,'CALCULATION DSE'!$G$6:$U$6)</f>
        <v>0</v>
      </c>
      <c r="L55" s="39">
        <f>+COUNTIFS(SALES!$S$2:$S$171,'CALCULATION DSE'!$C$8:$C$80,SALES!$N$2:$N$171,'CALCULATION DSE'!$G$6:$U$6)</f>
        <v>0</v>
      </c>
      <c r="M55" s="39">
        <f>+COUNTIFS(SALES!$S$2:$S$171,'CALCULATION DSE'!$C$8:$C$80,SALES!$N$2:$N$171,'CALCULATION DSE'!$G$6:$U$6)</f>
        <v>0</v>
      </c>
      <c r="N55" s="39">
        <f>+COUNTIFS(SALES!$S$2:$S$171,'CALCULATION DSE'!$C$8:$C$80,SALES!$N$2:$N$171,'CALCULATION DSE'!$G$6:$U$6)</f>
        <v>0</v>
      </c>
      <c r="O55" s="39">
        <f>+COUNTIFS(SALES!$S$2:$S$171,'CALCULATION DSE'!$C$8:$C$80,SALES!$N$2:$N$171,'CALCULATION DSE'!$G$6:$U$6)</f>
        <v>0</v>
      </c>
      <c r="P55" s="39">
        <f>+COUNTIFS(SALES!$S$2:$S$171,'CALCULATION DSE'!$C$8:$C$80,SALES!$N$2:$N$171,'CALCULATION DSE'!$G$6:$U$6)</f>
        <v>0</v>
      </c>
      <c r="Q55" s="39">
        <f>+COUNTIFS(SALES!$S$2:$S$171,'CALCULATION DSE'!$C$8:$C$80,SALES!$N$2:$N$171,'CALCULATION DSE'!$G$6:$U$6)</f>
        <v>1</v>
      </c>
      <c r="R55" s="39">
        <f>+COUNTIFS(SALES!$S$2:$S$171,'CALCULATION DSE'!$C$8:$C$80,SALES!$N$2:$N$171,'CALCULATION DSE'!$G$6:$U$6)</f>
        <v>0</v>
      </c>
      <c r="S55" s="39">
        <f>+COUNTIFS(SALES!$S$2:$S$171,'CALCULATION DSE'!$C$8:$C$80,SALES!$N$2:$N$171,'CALCULATION DSE'!$G$6:$U$6)</f>
        <v>0</v>
      </c>
      <c r="T55" s="39">
        <f>+COUNTIFS(SALES!$S$2:$S$171,'CALCULATION DSE'!$C$8:$C$80,SALES!$N$2:$N$171,'CALCULATION DSE'!$G$6:$U$6)</f>
        <v>0</v>
      </c>
      <c r="U55" s="39">
        <f>+COUNTIFS(SALES!$S$2:$S$171,'CALCULATION DSE'!$C$8:$C$80,SALES!$N$2:$N$171,'CALCULATION DSE'!$G$6:$U$6)</f>
        <v>0</v>
      </c>
      <c r="V55" s="36">
        <f t="shared" si="86"/>
        <v>1</v>
      </c>
      <c r="W55" s="36">
        <f t="shared" si="87"/>
        <v>1</v>
      </c>
      <c r="X55" s="79">
        <f t="shared" si="88"/>
        <v>0</v>
      </c>
      <c r="Y55" s="79">
        <f t="shared" si="89"/>
        <v>0</v>
      </c>
      <c r="Z55" s="79">
        <f t="shared" si="90"/>
        <v>0</v>
      </c>
      <c r="AA55" s="79" t="str">
        <f>+VLOOKUP(C55,'EMP STATUS'!$D$3:$J$77,7,0)</f>
        <v>OLD</v>
      </c>
      <c r="AB55" s="72" t="str">
        <f t="shared" si="91"/>
        <v>YES</v>
      </c>
      <c r="AC55" s="72" t="str">
        <f t="shared" si="92"/>
        <v>NO</v>
      </c>
      <c r="AD55" s="64">
        <f t="shared" si="93"/>
        <v>0</v>
      </c>
      <c r="AE55" s="64">
        <f t="shared" si="94"/>
        <v>0</v>
      </c>
      <c r="AF55" s="64">
        <f t="shared" si="95"/>
        <v>0</v>
      </c>
      <c r="AG55" s="71">
        <f t="shared" si="96"/>
        <v>0</v>
      </c>
      <c r="AH55" s="68">
        <v>0</v>
      </c>
      <c r="AI55" s="68">
        <f t="shared" si="97"/>
        <v>0</v>
      </c>
      <c r="AJ55" s="64">
        <f t="shared" si="98"/>
        <v>0</v>
      </c>
      <c r="AK55" s="66">
        <f>+VLOOKUP(C55,'DSE WISE MGA SALE '!$B$5:$G$116,6,0)</f>
        <v>20548.630136986303</v>
      </c>
      <c r="AL55" s="67">
        <f t="shared" si="99"/>
        <v>20548.630136986303</v>
      </c>
      <c r="AM55" s="67">
        <f t="shared" si="100"/>
        <v>0</v>
      </c>
      <c r="AN55" s="70">
        <f>+COUNTIFS(SALES!$S$2:$S$171,'CALCULATION DSE'!$C$7:$C$80,SALES!$AH$2:$AH$171,"&gt;0")</f>
        <v>0</v>
      </c>
      <c r="AO55" s="68">
        <f t="shared" si="101"/>
        <v>0</v>
      </c>
      <c r="AP55" s="69">
        <f>+COUNTIFS(SALES!$S$2:$S$171,'CALCULATION DSE'!$C$8:$C$80,SALES!$BH$2:$BH$171,"MSSF")</f>
        <v>0</v>
      </c>
      <c r="AQ55" s="69">
        <f t="shared" si="102"/>
        <v>1</v>
      </c>
      <c r="AR55" s="98">
        <f t="shared" si="103"/>
        <v>0</v>
      </c>
      <c r="AS55" s="68">
        <f t="shared" si="104"/>
        <v>0</v>
      </c>
      <c r="AT55" s="68">
        <f t="shared" si="105"/>
        <v>0</v>
      </c>
      <c r="AU55" s="39">
        <f>+COUNTIFS(SALES!$S$2:$S$171,'CALCULATION DSE'!$C$8:$C$80,SALES!$Y$2:$Y$171,"&gt;0")</f>
        <v>0</v>
      </c>
      <c r="AV55" s="39">
        <f t="shared" si="106"/>
        <v>1</v>
      </c>
      <c r="AW55" s="65">
        <f t="shared" si="107"/>
        <v>0</v>
      </c>
      <c r="AX55" s="67">
        <f t="shared" si="108"/>
        <v>0</v>
      </c>
      <c r="AY55" s="67">
        <f t="shared" si="109"/>
        <v>0</v>
      </c>
      <c r="AZ55" s="39">
        <f>+COUNTIFS(SALES!$S$2:$S$171,'CALCULATION DSE'!$C$8:$C$80,SALES!$AC$2:$AC$171,"&gt;0")</f>
        <v>0</v>
      </c>
      <c r="BA55" s="39">
        <f t="shared" si="110"/>
        <v>1</v>
      </c>
      <c r="BB55" s="65">
        <f t="shared" si="111"/>
        <v>0</v>
      </c>
      <c r="BC55" s="66">
        <f t="shared" si="112"/>
        <v>0</v>
      </c>
      <c r="BD55" s="66">
        <f t="shared" si="113"/>
        <v>0</v>
      </c>
      <c r="BE55" s="99">
        <f>+COUNTIFS(SALES!$S$2:$S$171,'CALCULATION DSE'!$C$8:$C$80,SALES!$CA$2:$CA$171,"YES")</f>
        <v>0</v>
      </c>
      <c r="BF55" s="66">
        <f t="shared" si="114"/>
        <v>0</v>
      </c>
      <c r="BG55" s="37">
        <f>+SUMIFS(SALES!$BA$2:$BA$171,SALES!$S$2:$S$171,'CALCULATION DSE'!$C$8:$C$80)</f>
        <v>0</v>
      </c>
      <c r="BH55" s="37">
        <f t="shared" si="115"/>
        <v>0</v>
      </c>
      <c r="BI55" s="65">
        <f t="shared" si="116"/>
        <v>1.5</v>
      </c>
      <c r="BJ55" s="64">
        <f t="shared" si="117"/>
        <v>0</v>
      </c>
      <c r="BK55" s="64">
        <f t="shared" si="118"/>
        <v>0</v>
      </c>
      <c r="BL55" s="64">
        <v>0</v>
      </c>
      <c r="BM55" s="64">
        <f t="shared" si="119"/>
        <v>0</v>
      </c>
      <c r="BN55" s="37">
        <f t="shared" si="120"/>
        <v>0</v>
      </c>
      <c r="BO55" s="38">
        <f t="shared" si="121"/>
        <v>0</v>
      </c>
      <c r="BP55" s="64">
        <f t="shared" si="122"/>
        <v>0</v>
      </c>
      <c r="BQ55" s="64">
        <f t="shared" si="123"/>
        <v>0</v>
      </c>
      <c r="BR55" s="64">
        <f t="shared" si="81"/>
        <v>0</v>
      </c>
      <c r="BS55" s="64">
        <f t="shared" si="124"/>
        <v>0</v>
      </c>
      <c r="BT55" s="64">
        <f t="shared" si="125"/>
        <v>0</v>
      </c>
      <c r="BU55" s="64">
        <f t="shared" si="126"/>
        <v>0</v>
      </c>
      <c r="BV55" s="63">
        <f t="shared" si="127"/>
        <v>0</v>
      </c>
      <c r="CB55" s="50"/>
      <c r="CC55" s="50"/>
      <c r="CD55" s="62"/>
      <c r="CF55" s="46"/>
    </row>
    <row r="56" spans="1:84" customFormat="1" hidden="1" x14ac:dyDescent="0.3">
      <c r="A56" s="74" t="s">
        <v>3083</v>
      </c>
      <c r="B56" s="73" t="s">
        <v>2269</v>
      </c>
      <c r="C56" s="40" t="s">
        <v>2343</v>
      </c>
      <c r="D56" s="73" t="s">
        <v>2269</v>
      </c>
      <c r="E56" s="73" t="s">
        <v>2269</v>
      </c>
      <c r="F56" s="79" t="str">
        <f>+VLOOKUP(C56,'EMP STATUS'!$D$3:$K$77,8,0)</f>
        <v>0981</v>
      </c>
      <c r="G56" s="39">
        <f>+COUNTIFS(SALES!$S$2:$S$171,'CALCULATION DSE'!$C$8:$C$80,SALES!$N$2:$N$171,'CALCULATION DSE'!$G$6:$U$6)</f>
        <v>0</v>
      </c>
      <c r="H56" s="39">
        <f>+COUNTIFS(SALES!$S$2:$S$171,'CALCULATION DSE'!$C$8:$C$80,SALES!$N$2:$N$171,'CALCULATION DSE'!$G$6:$U$6)</f>
        <v>0</v>
      </c>
      <c r="I56" s="39">
        <f>+COUNTIFS(SALES!$S$2:$S$171,'CALCULATION DSE'!$C$8:$C$80,SALES!$N$2:$N$171,'CALCULATION DSE'!$G$6:$U$6)</f>
        <v>0</v>
      </c>
      <c r="J56" s="39">
        <f>+COUNTIFS(SALES!$S$2:$S$171,'CALCULATION DSE'!$C$8:$C$80,SALES!$N$2:$N$171,'CALCULATION DSE'!$G$6:$U$6)</f>
        <v>0</v>
      </c>
      <c r="K56" s="39">
        <f>+COUNTIFS(SALES!$S$2:$S$171,'CALCULATION DSE'!$C$8:$C$80,SALES!$N$2:$N$171,'CALCULATION DSE'!$G$6:$U$6)</f>
        <v>0</v>
      </c>
      <c r="L56" s="39">
        <f>+COUNTIFS(SALES!$S$2:$S$171,'CALCULATION DSE'!$C$8:$C$80,SALES!$N$2:$N$171,'CALCULATION DSE'!$G$6:$U$6)</f>
        <v>0</v>
      </c>
      <c r="M56" s="39">
        <f>+COUNTIFS(SALES!$S$2:$S$171,'CALCULATION DSE'!$C$8:$C$80,SALES!$N$2:$N$171,'CALCULATION DSE'!$G$6:$U$6)</f>
        <v>0</v>
      </c>
      <c r="N56" s="39">
        <f>+COUNTIFS(SALES!$S$2:$S$171,'CALCULATION DSE'!$C$8:$C$80,SALES!$N$2:$N$171,'CALCULATION DSE'!$G$6:$U$6)</f>
        <v>1</v>
      </c>
      <c r="O56" s="39">
        <f>+COUNTIFS(SALES!$S$2:$S$171,'CALCULATION DSE'!$C$8:$C$80,SALES!$N$2:$N$171,'CALCULATION DSE'!$G$6:$U$6)</f>
        <v>0</v>
      </c>
      <c r="P56" s="39">
        <f>+COUNTIFS(SALES!$S$2:$S$171,'CALCULATION DSE'!$C$8:$C$80,SALES!$N$2:$N$171,'CALCULATION DSE'!$G$6:$U$6)</f>
        <v>0</v>
      </c>
      <c r="Q56" s="39">
        <f>+COUNTIFS(SALES!$S$2:$S$171,'CALCULATION DSE'!$C$8:$C$80,SALES!$N$2:$N$171,'CALCULATION DSE'!$G$6:$U$6)</f>
        <v>3</v>
      </c>
      <c r="R56" s="39">
        <f>+COUNTIFS(SALES!$S$2:$S$171,'CALCULATION DSE'!$C$8:$C$80,SALES!$N$2:$N$171,'CALCULATION DSE'!$G$6:$U$6)</f>
        <v>0</v>
      </c>
      <c r="S56" s="39">
        <f>+COUNTIFS(SALES!$S$2:$S$171,'CALCULATION DSE'!$C$8:$C$80,SALES!$N$2:$N$171,'CALCULATION DSE'!$G$6:$U$6)</f>
        <v>1</v>
      </c>
      <c r="T56" s="39">
        <f>+COUNTIFS(SALES!$S$2:$S$171,'CALCULATION DSE'!$C$8:$C$80,SALES!$N$2:$N$171,'CALCULATION DSE'!$G$6:$U$6)</f>
        <v>0</v>
      </c>
      <c r="U56" s="39">
        <f>+COUNTIFS(SALES!$S$2:$S$171,'CALCULATION DSE'!$C$8:$C$80,SALES!$N$2:$N$171,'CALCULATION DSE'!$G$6:$U$6)</f>
        <v>0</v>
      </c>
      <c r="V56" s="36">
        <f t="shared" si="86"/>
        <v>5</v>
      </c>
      <c r="W56" s="36">
        <f t="shared" si="87"/>
        <v>5</v>
      </c>
      <c r="X56" s="79">
        <f t="shared" si="88"/>
        <v>0</v>
      </c>
      <c r="Y56" s="79">
        <f t="shared" si="89"/>
        <v>0</v>
      </c>
      <c r="Z56" s="79">
        <f t="shared" si="90"/>
        <v>0</v>
      </c>
      <c r="AA56" s="79" t="str">
        <f>+VLOOKUP(C56,'EMP STATUS'!$D$3:$J$77,7,0)</f>
        <v>OLD</v>
      </c>
      <c r="AB56" s="72" t="str">
        <f t="shared" si="91"/>
        <v>YES</v>
      </c>
      <c r="AC56" s="72" t="str">
        <f t="shared" si="92"/>
        <v>NO</v>
      </c>
      <c r="AD56" s="64">
        <f t="shared" si="93"/>
        <v>0</v>
      </c>
      <c r="AE56" s="64">
        <f t="shared" si="94"/>
        <v>0</v>
      </c>
      <c r="AF56" s="64">
        <f t="shared" si="95"/>
        <v>0</v>
      </c>
      <c r="AG56" s="71">
        <f t="shared" si="96"/>
        <v>0</v>
      </c>
      <c r="AH56" s="68">
        <v>150</v>
      </c>
      <c r="AI56" s="68">
        <f t="shared" si="97"/>
        <v>1800</v>
      </c>
      <c r="AJ56" s="64">
        <f t="shared" si="98"/>
        <v>0</v>
      </c>
      <c r="AK56" s="66">
        <f>+VLOOKUP(C56,'DSE WISE MGA SALE '!$B$5:$G$116,6,0)</f>
        <v>82025.34246575342</v>
      </c>
      <c r="AL56" s="67">
        <f t="shared" si="99"/>
        <v>16405.068493150684</v>
      </c>
      <c r="AM56" s="67">
        <f t="shared" si="100"/>
        <v>0</v>
      </c>
      <c r="AN56" s="70">
        <f>+COUNTIFS(SALES!$S$2:$S$171,'CALCULATION DSE'!$C$7:$C$80,SALES!$AH$2:$AH$171,"&gt;0")</f>
        <v>0</v>
      </c>
      <c r="AO56" s="68">
        <f t="shared" si="101"/>
        <v>0</v>
      </c>
      <c r="AP56" s="69">
        <f>+COUNTIFS(SALES!$S$2:$S$171,'CALCULATION DSE'!$C$8:$C$80,SALES!$BH$2:$BH$171,"MSSF")</f>
        <v>3</v>
      </c>
      <c r="AQ56" s="69">
        <f t="shared" si="102"/>
        <v>2</v>
      </c>
      <c r="AR56" s="98">
        <f t="shared" si="103"/>
        <v>0.6</v>
      </c>
      <c r="AS56" s="68">
        <f t="shared" si="104"/>
        <v>0</v>
      </c>
      <c r="AT56" s="68">
        <f t="shared" si="105"/>
        <v>0</v>
      </c>
      <c r="AU56" s="39">
        <f>+COUNTIFS(SALES!$S$2:$S$171,'CALCULATION DSE'!$C$8:$C$80,SALES!$Y$2:$Y$171,"&gt;0")</f>
        <v>1</v>
      </c>
      <c r="AV56" s="39">
        <f t="shared" si="106"/>
        <v>4</v>
      </c>
      <c r="AW56" s="65">
        <f t="shared" si="107"/>
        <v>0.2</v>
      </c>
      <c r="AX56" s="67">
        <f t="shared" si="108"/>
        <v>0</v>
      </c>
      <c r="AY56" s="67">
        <f t="shared" si="109"/>
        <v>0</v>
      </c>
      <c r="AZ56" s="39">
        <f>+COUNTIFS(SALES!$S$2:$S$171,'CALCULATION DSE'!$C$8:$C$80,SALES!$AC$2:$AC$171,"&gt;0")</f>
        <v>0</v>
      </c>
      <c r="BA56" s="39">
        <f t="shared" si="110"/>
        <v>5</v>
      </c>
      <c r="BB56" s="65">
        <f t="shared" si="111"/>
        <v>0</v>
      </c>
      <c r="BC56" s="66">
        <f t="shared" si="112"/>
        <v>0</v>
      </c>
      <c r="BD56" s="66">
        <f t="shared" si="113"/>
        <v>0</v>
      </c>
      <c r="BE56" s="99">
        <f>+COUNTIFS(SALES!$S$2:$S$171,'CALCULATION DSE'!$C$8:$C$80,SALES!$CA$2:$CA$171,"YES")</f>
        <v>0</v>
      </c>
      <c r="BF56" s="66">
        <f t="shared" si="114"/>
        <v>0</v>
      </c>
      <c r="BG56" s="37">
        <f>+SUMIFS(SALES!$BA$2:$BA$171,SALES!$S$2:$S$171,'CALCULATION DSE'!$C$8:$C$80)</f>
        <v>55573</v>
      </c>
      <c r="BH56" s="37">
        <f t="shared" si="115"/>
        <v>11114.6</v>
      </c>
      <c r="BI56" s="65">
        <f t="shared" si="116"/>
        <v>0.4</v>
      </c>
      <c r="BJ56" s="64">
        <f t="shared" si="117"/>
        <v>0</v>
      </c>
      <c r="BK56" s="64">
        <f t="shared" si="118"/>
        <v>1800</v>
      </c>
      <c r="BL56" s="64">
        <v>0</v>
      </c>
      <c r="BM56" s="64">
        <f t="shared" si="119"/>
        <v>0</v>
      </c>
      <c r="BN56" s="37">
        <f t="shared" si="120"/>
        <v>1800</v>
      </c>
      <c r="BO56" s="38">
        <f t="shared" si="121"/>
        <v>0</v>
      </c>
      <c r="BP56" s="64">
        <f t="shared" si="122"/>
        <v>0</v>
      </c>
      <c r="BQ56" s="64">
        <f t="shared" si="123"/>
        <v>0</v>
      </c>
      <c r="BR56" s="64">
        <f t="shared" si="81"/>
        <v>0</v>
      </c>
      <c r="BS56" s="64">
        <f t="shared" si="124"/>
        <v>0</v>
      </c>
      <c r="BT56" s="64">
        <f t="shared" si="125"/>
        <v>0</v>
      </c>
      <c r="BU56" s="64">
        <f t="shared" si="126"/>
        <v>0</v>
      </c>
      <c r="BV56" s="63">
        <f t="shared" si="127"/>
        <v>1800</v>
      </c>
      <c r="CB56" s="50"/>
      <c r="CC56" s="50"/>
      <c r="CD56" s="62"/>
      <c r="CF56" s="46"/>
    </row>
    <row r="57" spans="1:84" x14ac:dyDescent="0.3">
      <c r="A57" s="72" t="s">
        <v>966</v>
      </c>
      <c r="B57" s="145" t="s">
        <v>2280</v>
      </c>
      <c r="C57" s="145" t="s">
        <v>967</v>
      </c>
      <c r="D57" s="145" t="s">
        <v>2280</v>
      </c>
      <c r="E57" s="145" t="s">
        <v>2877</v>
      </c>
      <c r="F57" s="79" t="str">
        <f>+VLOOKUP(C57,'EMP STATUS'!$D$3:$K$77,8,0)</f>
        <v>KDW0023</v>
      </c>
      <c r="G57" s="72">
        <f>+COUNTIFS(SALES!$S$2:$S$171,'CALCULATION DSE'!$C$8:$C$80,SALES!$N$2:$N$171,'CALCULATION DSE'!$G$6:$U$6)</f>
        <v>0</v>
      </c>
      <c r="H57" s="72">
        <f>+COUNTIFS(SALES!$S$2:$S$171,'CALCULATION DSE'!$C$8:$C$80,SALES!$N$2:$N$171,'CALCULATION DSE'!$G$6:$U$6)</f>
        <v>0</v>
      </c>
      <c r="I57" s="72">
        <f>+COUNTIFS(SALES!$S$2:$S$171,'CALCULATION DSE'!$C$8:$C$80,SALES!$N$2:$N$171,'CALCULATION DSE'!$G$6:$U$6)</f>
        <v>0</v>
      </c>
      <c r="J57" s="72">
        <f>+COUNTIFS(SALES!$S$2:$S$171,'CALCULATION DSE'!$C$8:$C$80,SALES!$N$2:$N$171,'CALCULATION DSE'!$G$6:$U$6)</f>
        <v>0</v>
      </c>
      <c r="K57" s="72">
        <f>+COUNTIFS(SALES!$S$2:$S$171,'CALCULATION DSE'!$C$8:$C$80,SALES!$N$2:$N$171,'CALCULATION DSE'!$G$6:$U$6)</f>
        <v>0</v>
      </c>
      <c r="L57" s="72">
        <f>+COUNTIFS(SALES!$S$2:$S$171,'CALCULATION DSE'!$C$8:$C$80,SALES!$N$2:$N$171,'CALCULATION DSE'!$G$6:$U$6)</f>
        <v>1</v>
      </c>
      <c r="M57" s="72">
        <f>+COUNTIFS(SALES!$S$2:$S$171,'CALCULATION DSE'!$C$8:$C$80,SALES!$N$2:$N$171,'CALCULATION DSE'!$G$6:$U$6)</f>
        <v>1</v>
      </c>
      <c r="N57" s="72">
        <f>+COUNTIFS(SALES!$S$2:$S$171,'CALCULATION DSE'!$C$8:$C$80,SALES!$N$2:$N$171,'CALCULATION DSE'!$G$6:$U$6)</f>
        <v>0</v>
      </c>
      <c r="O57" s="72">
        <f>+COUNTIFS(SALES!$S$2:$S$171,'CALCULATION DSE'!$C$8:$C$80,SALES!$N$2:$N$171,'CALCULATION DSE'!$G$6:$U$6)</f>
        <v>0</v>
      </c>
      <c r="P57" s="72">
        <f>+COUNTIFS(SALES!$S$2:$S$171,'CALCULATION DSE'!$C$8:$C$80,SALES!$N$2:$N$171,'CALCULATION DSE'!$G$6:$U$6)</f>
        <v>0</v>
      </c>
      <c r="Q57" s="72">
        <f>+COUNTIFS(SALES!$S$2:$S$171,'CALCULATION DSE'!$C$8:$C$80,SALES!$N$2:$N$171,'CALCULATION DSE'!$G$6:$U$6)</f>
        <v>1</v>
      </c>
      <c r="R57" s="72">
        <f>+COUNTIFS(SALES!$S$2:$S$171,'CALCULATION DSE'!$C$8:$C$80,SALES!$N$2:$N$171,'CALCULATION DSE'!$G$6:$U$6)</f>
        <v>2</v>
      </c>
      <c r="S57" s="72">
        <f>+COUNTIFS(SALES!$S$2:$S$171,'CALCULATION DSE'!$C$8:$C$80,SALES!$N$2:$N$171,'CALCULATION DSE'!$G$6:$U$6)</f>
        <v>1</v>
      </c>
      <c r="T57" s="72">
        <f>+COUNTIFS(SALES!$S$2:$S$171,'CALCULATION DSE'!$C$8:$C$80,SALES!$N$2:$N$171,'CALCULATION DSE'!$G$6:$U$6)</f>
        <v>0</v>
      </c>
      <c r="U57" s="72">
        <f>+COUNTIFS(SALES!$S$2:$S$171,'CALCULATION DSE'!$C$8:$C$80,SALES!$N$2:$N$171,'CALCULATION DSE'!$G$6:$U$6)</f>
        <v>0</v>
      </c>
      <c r="V57" s="146">
        <f t="shared" si="86"/>
        <v>6</v>
      </c>
      <c r="W57" s="146">
        <f t="shared" si="87"/>
        <v>4</v>
      </c>
      <c r="X57" s="79">
        <f t="shared" si="88"/>
        <v>2</v>
      </c>
      <c r="Y57" s="79">
        <f t="shared" si="89"/>
        <v>0</v>
      </c>
      <c r="Z57" s="79">
        <f t="shared" si="90"/>
        <v>2</v>
      </c>
      <c r="AA57" s="79" t="str">
        <f>+VLOOKUP(C57,'EMP STATUS'!$D$3:$J$77,7,0)</f>
        <v>OLD</v>
      </c>
      <c r="AB57" s="72" t="str">
        <f t="shared" si="91"/>
        <v>YES</v>
      </c>
      <c r="AC57" s="72" t="str">
        <f t="shared" si="92"/>
        <v>YES</v>
      </c>
      <c r="AD57" s="147">
        <f t="shared" si="93"/>
        <v>0</v>
      </c>
      <c r="AE57" s="147">
        <f t="shared" si="94"/>
        <v>10000</v>
      </c>
      <c r="AF57" s="147">
        <f t="shared" si="95"/>
        <v>1000</v>
      </c>
      <c r="AG57" s="148">
        <f t="shared" si="96"/>
        <v>11000</v>
      </c>
      <c r="AH57" s="149">
        <v>0</v>
      </c>
      <c r="AI57" s="149">
        <f t="shared" si="97"/>
        <v>0</v>
      </c>
      <c r="AJ57" s="147">
        <f t="shared" si="98"/>
        <v>0</v>
      </c>
      <c r="AK57" s="99">
        <f>+VLOOKUP(C57,'DSE WISE MGA SALE '!$B$5:$G$116,6,0)</f>
        <v>120043.83561643836</v>
      </c>
      <c r="AL57" s="99">
        <f t="shared" si="99"/>
        <v>20007.305936073059</v>
      </c>
      <c r="AM57" s="99">
        <f t="shared" si="100"/>
        <v>4201.5342465753429</v>
      </c>
      <c r="AN57" s="150">
        <f>+COUNTIFS(SALES!$S$2:$S$171,'CALCULATION DSE'!$C$7:$C$80,SALES!$AH$2:$AH$171,"&gt;0")</f>
        <v>2</v>
      </c>
      <c r="AO57" s="149">
        <f t="shared" si="101"/>
        <v>1200</v>
      </c>
      <c r="AP57" s="151">
        <f>+COUNTIFS(SALES!$S$2:$S$171,'CALCULATION DSE'!$C$8:$C$80,SALES!$BH$2:$BH$171,"MSSF")</f>
        <v>5</v>
      </c>
      <c r="AQ57" s="151">
        <f t="shared" si="102"/>
        <v>1</v>
      </c>
      <c r="AR57" s="152">
        <f t="shared" si="103"/>
        <v>0.83333333333333337</v>
      </c>
      <c r="AS57" s="149">
        <f t="shared" si="104"/>
        <v>1250</v>
      </c>
      <c r="AT57" s="149">
        <f t="shared" si="105"/>
        <v>0</v>
      </c>
      <c r="AU57" s="72">
        <f>+COUNTIFS(SALES!$S$2:$S$171,'CALCULATION DSE'!$C$8:$C$80,SALES!$Y$2:$Y$171,"&gt;0")</f>
        <v>6</v>
      </c>
      <c r="AV57" s="72">
        <f t="shared" si="106"/>
        <v>0</v>
      </c>
      <c r="AW57" s="153">
        <f t="shared" si="107"/>
        <v>1</v>
      </c>
      <c r="AX57" s="99">
        <f t="shared" si="108"/>
        <v>6000</v>
      </c>
      <c r="AY57" s="99">
        <f t="shared" si="109"/>
        <v>0</v>
      </c>
      <c r="AZ57" s="72">
        <f>+COUNTIFS(SALES!$S$2:$S$171,'CALCULATION DSE'!$C$8:$C$80,SALES!$AC$2:$AC$171,"&gt;0")</f>
        <v>4</v>
      </c>
      <c r="BA57" s="72">
        <f t="shared" si="110"/>
        <v>2</v>
      </c>
      <c r="BB57" s="153">
        <f t="shared" si="111"/>
        <v>0.66666666666666663</v>
      </c>
      <c r="BC57" s="99">
        <f t="shared" si="112"/>
        <v>0</v>
      </c>
      <c r="BD57" s="99">
        <f t="shared" si="113"/>
        <v>0</v>
      </c>
      <c r="BE57" s="99">
        <f>+COUNTIFS(SALES!$S$2:$S$171,'CALCULATION DSE'!$C$8:$C$80,SALES!$CA$2:$CA$171,"YES")</f>
        <v>2</v>
      </c>
      <c r="BF57" s="99">
        <f t="shared" si="114"/>
        <v>6000</v>
      </c>
      <c r="BG57" s="148">
        <f>+SUMIFS(SALES!$BA$2:$BA$171,SALES!$S$2:$S$171,'CALCULATION DSE'!$C$8:$C$80)</f>
        <v>53027</v>
      </c>
      <c r="BH57" s="148">
        <f t="shared" si="115"/>
        <v>8837.8333333333339</v>
      </c>
      <c r="BI57" s="153">
        <f t="shared" si="116"/>
        <v>0.6</v>
      </c>
      <c r="BJ57" s="147">
        <f t="shared" si="117"/>
        <v>6600</v>
      </c>
      <c r="BK57" s="147">
        <f t="shared" si="118"/>
        <v>25251.534246575342</v>
      </c>
      <c r="BL57" s="147">
        <v>0</v>
      </c>
      <c r="BM57" s="147">
        <f t="shared" si="119"/>
        <v>0</v>
      </c>
      <c r="BN57" s="148">
        <f t="shared" si="120"/>
        <v>25251.534246575342</v>
      </c>
      <c r="BO57" s="99">
        <f t="shared" si="121"/>
        <v>0</v>
      </c>
      <c r="BP57" s="147">
        <f t="shared" si="122"/>
        <v>0</v>
      </c>
      <c r="BQ57" s="147">
        <f t="shared" si="123"/>
        <v>0</v>
      </c>
      <c r="BR57" s="147">
        <f t="shared" si="81"/>
        <v>0</v>
      </c>
      <c r="BS57" s="147">
        <f t="shared" si="124"/>
        <v>0</v>
      </c>
      <c r="BT57" s="147">
        <f t="shared" si="125"/>
        <v>2</v>
      </c>
      <c r="BU57" s="147">
        <f t="shared" si="126"/>
        <v>2000</v>
      </c>
      <c r="BV57" s="154">
        <f t="shared" si="127"/>
        <v>27251.534246575342</v>
      </c>
      <c r="CB57" s="155"/>
      <c r="CC57" s="155"/>
      <c r="CD57" s="156"/>
      <c r="CF57" s="157"/>
    </row>
    <row r="58" spans="1:84" hidden="1" x14ac:dyDescent="0.3">
      <c r="A58" s="72" t="s">
        <v>943</v>
      </c>
      <c r="B58" s="145" t="s">
        <v>2280</v>
      </c>
      <c r="C58" s="145" t="s">
        <v>2279</v>
      </c>
      <c r="D58" s="145" t="s">
        <v>2280</v>
      </c>
      <c r="E58" s="145" t="s">
        <v>2877</v>
      </c>
      <c r="F58" s="79" t="str">
        <f>+VLOOKUP(C58,'EMP STATUS'!$D$3:$K$77,8,0)</f>
        <v>KDW0081</v>
      </c>
      <c r="G58" s="72">
        <f>+COUNTIFS(SALES!$S$2:$S$171,'CALCULATION DSE'!$C$8:$C$80,SALES!$N$2:$N$171,'CALCULATION DSE'!$G$6:$U$6)</f>
        <v>0</v>
      </c>
      <c r="H58" s="72">
        <f>+COUNTIFS(SALES!$S$2:$S$171,'CALCULATION DSE'!$C$8:$C$80,SALES!$N$2:$N$171,'CALCULATION DSE'!$G$6:$U$6)</f>
        <v>0</v>
      </c>
      <c r="I58" s="72">
        <f>+COUNTIFS(SALES!$S$2:$S$171,'CALCULATION DSE'!$C$8:$C$80,SALES!$N$2:$N$171,'CALCULATION DSE'!$G$6:$U$6)</f>
        <v>0</v>
      </c>
      <c r="J58" s="72">
        <f>+COUNTIFS(SALES!$S$2:$S$171,'CALCULATION DSE'!$C$8:$C$80,SALES!$N$2:$N$171,'CALCULATION DSE'!$G$6:$U$6)</f>
        <v>0</v>
      </c>
      <c r="K58" s="72">
        <f>+COUNTIFS(SALES!$S$2:$S$171,'CALCULATION DSE'!$C$8:$C$80,SALES!$N$2:$N$171,'CALCULATION DSE'!$G$6:$U$6)</f>
        <v>0</v>
      </c>
      <c r="L58" s="72">
        <f>+COUNTIFS(SALES!$S$2:$S$171,'CALCULATION DSE'!$C$8:$C$80,SALES!$N$2:$N$171,'CALCULATION DSE'!$G$6:$U$6)</f>
        <v>0</v>
      </c>
      <c r="M58" s="72">
        <f>+COUNTIFS(SALES!$S$2:$S$171,'CALCULATION DSE'!$C$8:$C$80,SALES!$N$2:$N$171,'CALCULATION DSE'!$G$6:$U$6)</f>
        <v>1</v>
      </c>
      <c r="N58" s="72">
        <f>+COUNTIFS(SALES!$S$2:$S$171,'CALCULATION DSE'!$C$8:$C$80,SALES!$N$2:$N$171,'CALCULATION DSE'!$G$6:$U$6)</f>
        <v>0</v>
      </c>
      <c r="O58" s="72">
        <f>+COUNTIFS(SALES!$S$2:$S$171,'CALCULATION DSE'!$C$8:$C$80,SALES!$N$2:$N$171,'CALCULATION DSE'!$G$6:$U$6)</f>
        <v>1</v>
      </c>
      <c r="P58" s="72">
        <f>+COUNTIFS(SALES!$S$2:$S$171,'CALCULATION DSE'!$C$8:$C$80,SALES!$N$2:$N$171,'CALCULATION DSE'!$G$6:$U$6)</f>
        <v>0</v>
      </c>
      <c r="Q58" s="72">
        <f>+COUNTIFS(SALES!$S$2:$S$171,'CALCULATION DSE'!$C$8:$C$80,SALES!$N$2:$N$171,'CALCULATION DSE'!$G$6:$U$6)</f>
        <v>0</v>
      </c>
      <c r="R58" s="72">
        <f>+COUNTIFS(SALES!$S$2:$S$171,'CALCULATION DSE'!$C$8:$C$80,SALES!$N$2:$N$171,'CALCULATION DSE'!$G$6:$U$6)</f>
        <v>0</v>
      </c>
      <c r="S58" s="72">
        <f>+COUNTIFS(SALES!$S$2:$S$171,'CALCULATION DSE'!$C$8:$C$80,SALES!$N$2:$N$171,'CALCULATION DSE'!$G$6:$U$6)</f>
        <v>0</v>
      </c>
      <c r="T58" s="72">
        <f>+COUNTIFS(SALES!$S$2:$S$171,'CALCULATION DSE'!$C$8:$C$80,SALES!$N$2:$N$171,'CALCULATION DSE'!$G$6:$U$6)</f>
        <v>0</v>
      </c>
      <c r="U58" s="72">
        <f>+COUNTIFS(SALES!$S$2:$S$171,'CALCULATION DSE'!$C$8:$C$80,SALES!$N$2:$N$171,'CALCULATION DSE'!$G$6:$U$6)</f>
        <v>0</v>
      </c>
      <c r="V58" s="146">
        <f t="shared" si="86"/>
        <v>2</v>
      </c>
      <c r="W58" s="146">
        <f t="shared" si="87"/>
        <v>2</v>
      </c>
      <c r="X58" s="79">
        <f t="shared" si="88"/>
        <v>0</v>
      </c>
      <c r="Y58" s="79">
        <f t="shared" si="89"/>
        <v>0</v>
      </c>
      <c r="Z58" s="79">
        <f t="shared" si="90"/>
        <v>1</v>
      </c>
      <c r="AA58" s="79" t="str">
        <f>+VLOOKUP(C58,'EMP STATUS'!$D$3:$J$77,7,0)</f>
        <v>OLD</v>
      </c>
      <c r="AB58" s="72" t="str">
        <f t="shared" si="91"/>
        <v>YES</v>
      </c>
      <c r="AC58" s="72" t="str">
        <f t="shared" si="92"/>
        <v>YES</v>
      </c>
      <c r="AD58" s="147">
        <f t="shared" si="93"/>
        <v>0</v>
      </c>
      <c r="AE58" s="147">
        <f t="shared" si="94"/>
        <v>1000</v>
      </c>
      <c r="AF58" s="147">
        <f t="shared" si="95"/>
        <v>0</v>
      </c>
      <c r="AG58" s="148">
        <f t="shared" si="96"/>
        <v>1000</v>
      </c>
      <c r="AH58" s="149">
        <v>0</v>
      </c>
      <c r="AI58" s="149">
        <f t="shared" si="97"/>
        <v>0</v>
      </c>
      <c r="AJ58" s="147">
        <f t="shared" si="98"/>
        <v>0</v>
      </c>
      <c r="AK58" s="99">
        <f>+VLOOKUP(C58,'DSE WISE MGA SALE '!$B$5:$G$116,6,0)</f>
        <v>62002.054794520547</v>
      </c>
      <c r="AL58" s="99">
        <f t="shared" si="99"/>
        <v>31001.027397260274</v>
      </c>
      <c r="AM58" s="99">
        <f t="shared" si="100"/>
        <v>3100.1027397260277</v>
      </c>
      <c r="AN58" s="150">
        <f>+COUNTIFS(SALES!$S$2:$S$171,'CALCULATION DSE'!$C$7:$C$80,SALES!$AH$2:$AH$171,"&gt;0")</f>
        <v>0</v>
      </c>
      <c r="AO58" s="149">
        <f t="shared" si="101"/>
        <v>0</v>
      </c>
      <c r="AP58" s="151">
        <f>+COUNTIFS(SALES!$S$2:$S$171,'CALCULATION DSE'!$C$8:$C$80,SALES!$BH$2:$BH$171,"MSSF")</f>
        <v>2</v>
      </c>
      <c r="AQ58" s="151">
        <f t="shared" si="102"/>
        <v>0</v>
      </c>
      <c r="AR58" s="152">
        <f t="shared" si="103"/>
        <v>1</v>
      </c>
      <c r="AS58" s="149">
        <f t="shared" si="104"/>
        <v>500</v>
      </c>
      <c r="AT58" s="149">
        <f t="shared" si="105"/>
        <v>0</v>
      </c>
      <c r="AU58" s="72">
        <f>+COUNTIFS(SALES!$S$2:$S$171,'CALCULATION DSE'!$C$8:$C$80,SALES!$Y$2:$Y$171,"&gt;0")</f>
        <v>2</v>
      </c>
      <c r="AV58" s="72">
        <f t="shared" si="106"/>
        <v>0</v>
      </c>
      <c r="AW58" s="153">
        <f t="shared" si="107"/>
        <v>1</v>
      </c>
      <c r="AX58" s="99">
        <f t="shared" si="108"/>
        <v>2000</v>
      </c>
      <c r="AY58" s="99">
        <f t="shared" si="109"/>
        <v>0</v>
      </c>
      <c r="AZ58" s="72">
        <f>+COUNTIFS(SALES!$S$2:$S$171,'CALCULATION DSE'!$C$8:$C$80,SALES!$AC$2:$AC$171,"&gt;0")</f>
        <v>0</v>
      </c>
      <c r="BA58" s="72">
        <f t="shared" si="110"/>
        <v>2</v>
      </c>
      <c r="BB58" s="153">
        <f t="shared" si="111"/>
        <v>0</v>
      </c>
      <c r="BC58" s="99">
        <f t="shared" si="112"/>
        <v>0</v>
      </c>
      <c r="BD58" s="99">
        <f t="shared" si="113"/>
        <v>500</v>
      </c>
      <c r="BE58" s="99">
        <f>+COUNTIFS(SALES!$S$2:$S$171,'CALCULATION DSE'!$C$8:$C$80,SALES!$CA$2:$CA$171,"YES")</f>
        <v>0</v>
      </c>
      <c r="BF58" s="99">
        <f t="shared" si="114"/>
        <v>0</v>
      </c>
      <c r="BG58" s="148">
        <f>+SUMIFS(SALES!$BA$2:$BA$171,SALES!$S$2:$S$171,'CALCULATION DSE'!$C$8:$C$80)</f>
        <v>38366</v>
      </c>
      <c r="BH58" s="148">
        <f t="shared" si="115"/>
        <v>19183</v>
      </c>
      <c r="BI58" s="153">
        <f t="shared" si="116"/>
        <v>0</v>
      </c>
      <c r="BJ58" s="147">
        <f t="shared" si="117"/>
        <v>0</v>
      </c>
      <c r="BK58" s="147">
        <f t="shared" si="118"/>
        <v>5100.1027397260277</v>
      </c>
      <c r="BL58" s="147">
        <v>0</v>
      </c>
      <c r="BM58" s="147">
        <f t="shared" si="119"/>
        <v>0</v>
      </c>
      <c r="BN58" s="148">
        <f t="shared" si="120"/>
        <v>5100.1027397260277</v>
      </c>
      <c r="BO58" s="99">
        <f t="shared" si="121"/>
        <v>0</v>
      </c>
      <c r="BP58" s="147">
        <f t="shared" si="122"/>
        <v>0</v>
      </c>
      <c r="BQ58" s="147">
        <f t="shared" si="123"/>
        <v>0</v>
      </c>
      <c r="BR58" s="147">
        <f>+J58+O58+T58-1</f>
        <v>0</v>
      </c>
      <c r="BS58" s="147">
        <f t="shared" si="124"/>
        <v>0</v>
      </c>
      <c r="BT58" s="147">
        <f t="shared" si="125"/>
        <v>1</v>
      </c>
      <c r="BU58" s="147">
        <f t="shared" si="126"/>
        <v>1000</v>
      </c>
      <c r="BV58" s="154">
        <f t="shared" si="127"/>
        <v>6100.1027397260277</v>
      </c>
      <c r="CB58" s="155"/>
      <c r="CC58" s="155"/>
      <c r="CD58" s="156"/>
      <c r="CF58" s="157"/>
    </row>
    <row r="59" spans="1:84" hidden="1" x14ac:dyDescent="0.3">
      <c r="A59" s="72" t="s">
        <v>997</v>
      </c>
      <c r="B59" s="145" t="s">
        <v>986</v>
      </c>
      <c r="C59" s="145" t="s">
        <v>2416</v>
      </c>
      <c r="D59" s="145" t="s">
        <v>2463</v>
      </c>
      <c r="E59" s="145" t="s">
        <v>2879</v>
      </c>
      <c r="F59" s="79" t="str">
        <f>+VLOOKUP(C59,'EMP STATUS'!$D$3:$K$77,8,0)</f>
        <v>KDW87</v>
      </c>
      <c r="G59" s="72">
        <f>+COUNTIFS(SALES!$S$2:$S$171,'CALCULATION DSE'!$C$8:$C$80,SALES!$N$2:$N$171,'CALCULATION DSE'!$G$6:$U$6)</f>
        <v>0</v>
      </c>
      <c r="H59" s="72">
        <f>+COUNTIFS(SALES!$S$2:$S$171,'CALCULATION DSE'!$C$8:$C$80,SALES!$N$2:$N$171,'CALCULATION DSE'!$G$6:$U$6)</f>
        <v>0</v>
      </c>
      <c r="I59" s="72">
        <f>+COUNTIFS(SALES!$S$2:$S$171,'CALCULATION DSE'!$C$8:$C$80,SALES!$N$2:$N$171,'CALCULATION DSE'!$G$6:$U$6)</f>
        <v>0</v>
      </c>
      <c r="J59" s="72">
        <f>+COUNTIFS(SALES!$S$2:$S$171,'CALCULATION DSE'!$C$8:$C$80,SALES!$N$2:$N$171,'CALCULATION DSE'!$G$6:$U$6)</f>
        <v>0</v>
      </c>
      <c r="K59" s="72">
        <f>+COUNTIFS(SALES!$S$2:$S$171,'CALCULATION DSE'!$C$8:$C$80,SALES!$N$2:$N$171,'CALCULATION DSE'!$G$6:$U$6)</f>
        <v>0</v>
      </c>
      <c r="L59" s="72">
        <f>+COUNTIFS(SALES!$S$2:$S$171,'CALCULATION DSE'!$C$8:$C$80,SALES!$N$2:$N$171,'CALCULATION DSE'!$G$6:$U$6)</f>
        <v>0</v>
      </c>
      <c r="M59" s="72">
        <f>+COUNTIFS(SALES!$S$2:$S$171,'CALCULATION DSE'!$C$8:$C$80,SALES!$N$2:$N$171,'CALCULATION DSE'!$G$6:$U$6)</f>
        <v>1</v>
      </c>
      <c r="N59" s="72">
        <f>+COUNTIFS(SALES!$S$2:$S$171,'CALCULATION DSE'!$C$8:$C$80,SALES!$N$2:$N$171,'CALCULATION DSE'!$G$6:$U$6)</f>
        <v>0</v>
      </c>
      <c r="O59" s="72">
        <f>+COUNTIFS(SALES!$S$2:$S$171,'CALCULATION DSE'!$C$8:$C$80,SALES!$N$2:$N$171,'CALCULATION DSE'!$G$6:$U$6)</f>
        <v>0</v>
      </c>
      <c r="P59" s="72">
        <f>+COUNTIFS(SALES!$S$2:$S$171,'CALCULATION DSE'!$C$8:$C$80,SALES!$N$2:$N$171,'CALCULATION DSE'!$G$6:$U$6)</f>
        <v>1</v>
      </c>
      <c r="Q59" s="72">
        <f>+COUNTIFS(SALES!$S$2:$S$171,'CALCULATION DSE'!$C$8:$C$80,SALES!$N$2:$N$171,'CALCULATION DSE'!$G$6:$U$6)</f>
        <v>1</v>
      </c>
      <c r="R59" s="72">
        <f>+COUNTIFS(SALES!$S$2:$S$171,'CALCULATION DSE'!$C$8:$C$80,SALES!$N$2:$N$171,'CALCULATION DSE'!$G$6:$U$6)</f>
        <v>0</v>
      </c>
      <c r="S59" s="72">
        <f>+COUNTIFS(SALES!$S$2:$S$171,'CALCULATION DSE'!$C$8:$C$80,SALES!$N$2:$N$171,'CALCULATION DSE'!$G$6:$U$6)</f>
        <v>0</v>
      </c>
      <c r="T59" s="72">
        <f>+COUNTIFS(SALES!$S$2:$S$171,'CALCULATION DSE'!$C$8:$C$80,SALES!$N$2:$N$171,'CALCULATION DSE'!$G$6:$U$6)</f>
        <v>0</v>
      </c>
      <c r="U59" s="72">
        <f>+COUNTIFS(SALES!$S$2:$S$171,'CALCULATION DSE'!$C$8:$C$80,SALES!$N$2:$N$171,'CALCULATION DSE'!$G$6:$U$6)</f>
        <v>0</v>
      </c>
      <c r="V59" s="146">
        <f t="shared" si="86"/>
        <v>3</v>
      </c>
      <c r="W59" s="146">
        <f t="shared" si="87"/>
        <v>3</v>
      </c>
      <c r="X59" s="79">
        <f t="shared" si="88"/>
        <v>0</v>
      </c>
      <c r="Y59" s="79">
        <f t="shared" si="89"/>
        <v>0</v>
      </c>
      <c r="Z59" s="79">
        <f t="shared" si="90"/>
        <v>1</v>
      </c>
      <c r="AA59" s="79" t="str">
        <f>+VLOOKUP(C59,'EMP STATUS'!$D$3:$J$77,7,0)</f>
        <v>OLD</v>
      </c>
      <c r="AB59" s="72" t="str">
        <f t="shared" si="91"/>
        <v>YES</v>
      </c>
      <c r="AC59" s="72" t="str">
        <f t="shared" si="92"/>
        <v>YES</v>
      </c>
      <c r="AD59" s="147">
        <f t="shared" si="93"/>
        <v>0</v>
      </c>
      <c r="AE59" s="147">
        <f t="shared" si="94"/>
        <v>2250</v>
      </c>
      <c r="AF59" s="147">
        <f t="shared" si="95"/>
        <v>0</v>
      </c>
      <c r="AG59" s="148">
        <f t="shared" si="96"/>
        <v>2250</v>
      </c>
      <c r="AH59" s="149">
        <v>0</v>
      </c>
      <c r="AI59" s="149">
        <f t="shared" si="97"/>
        <v>0</v>
      </c>
      <c r="AJ59" s="147">
        <f t="shared" si="98"/>
        <v>0</v>
      </c>
      <c r="AK59" s="99">
        <f>+VLOOKUP(C59,'DSE WISE MGA SALE '!$B$5:$G$116,6,0)</f>
        <v>46902.739726027401</v>
      </c>
      <c r="AL59" s="99">
        <f t="shared" si="99"/>
        <v>15634.246575342468</v>
      </c>
      <c r="AM59" s="99">
        <f t="shared" si="100"/>
        <v>0</v>
      </c>
      <c r="AN59" s="150">
        <f>+COUNTIFS(SALES!$S$2:$S$171,'CALCULATION DSE'!$C$7:$C$80,SALES!$AH$2:$AH$171,"&gt;0")</f>
        <v>0</v>
      </c>
      <c r="AO59" s="149">
        <f t="shared" si="101"/>
        <v>0</v>
      </c>
      <c r="AP59" s="151">
        <f>+COUNTIFS(SALES!$S$2:$S$171,'CALCULATION DSE'!$C$8:$C$80,SALES!$BH$2:$BH$171,"MSSF")</f>
        <v>3</v>
      </c>
      <c r="AQ59" s="151">
        <f t="shared" si="102"/>
        <v>0</v>
      </c>
      <c r="AR59" s="152">
        <f t="shared" si="103"/>
        <v>1</v>
      </c>
      <c r="AS59" s="149">
        <f t="shared" si="104"/>
        <v>750</v>
      </c>
      <c r="AT59" s="149">
        <f t="shared" si="105"/>
        <v>0</v>
      </c>
      <c r="AU59" s="72">
        <f>+COUNTIFS(SALES!$S$2:$S$171,'CALCULATION DSE'!$C$8:$C$80,SALES!$Y$2:$Y$171,"&gt;0")</f>
        <v>0</v>
      </c>
      <c r="AV59" s="72">
        <f t="shared" si="106"/>
        <v>3</v>
      </c>
      <c r="AW59" s="153">
        <f t="shared" si="107"/>
        <v>0</v>
      </c>
      <c r="AX59" s="99">
        <f t="shared" si="108"/>
        <v>0</v>
      </c>
      <c r="AY59" s="99">
        <f t="shared" si="109"/>
        <v>1200</v>
      </c>
      <c r="AZ59" s="72">
        <f>+COUNTIFS(SALES!$S$2:$S$171,'CALCULATION DSE'!$C$8:$C$80,SALES!$AC$2:$AC$171,"&gt;0")</f>
        <v>0</v>
      </c>
      <c r="BA59" s="72">
        <f t="shared" si="110"/>
        <v>3</v>
      </c>
      <c r="BB59" s="153">
        <f t="shared" si="111"/>
        <v>0</v>
      </c>
      <c r="BC59" s="99">
        <f t="shared" si="112"/>
        <v>0</v>
      </c>
      <c r="BD59" s="99">
        <f t="shared" si="113"/>
        <v>750</v>
      </c>
      <c r="BE59" s="99">
        <f>+COUNTIFS(SALES!$S$2:$S$171,'CALCULATION DSE'!$C$8:$C$80,SALES!$CA$2:$CA$171,"YES")</f>
        <v>0</v>
      </c>
      <c r="BF59" s="99">
        <f t="shared" si="114"/>
        <v>0</v>
      </c>
      <c r="BG59" s="148">
        <f>+SUMIFS(SALES!$BA$2:$BA$171,SALES!$S$2:$S$171,'CALCULATION DSE'!$C$8:$C$80)</f>
        <v>34205</v>
      </c>
      <c r="BH59" s="148">
        <f t="shared" si="115"/>
        <v>11401.666666666666</v>
      </c>
      <c r="BI59" s="153">
        <f t="shared" si="116"/>
        <v>0.4</v>
      </c>
      <c r="BJ59" s="147">
        <f t="shared" si="117"/>
        <v>900</v>
      </c>
      <c r="BK59" s="147">
        <f t="shared" si="118"/>
        <v>0</v>
      </c>
      <c r="BL59" s="147">
        <v>0</v>
      </c>
      <c r="BM59" s="147">
        <f t="shared" si="119"/>
        <v>0</v>
      </c>
      <c r="BN59" s="148">
        <f t="shared" si="120"/>
        <v>0</v>
      </c>
      <c r="BO59" s="99">
        <f t="shared" si="121"/>
        <v>0</v>
      </c>
      <c r="BP59" s="147">
        <f t="shared" si="122"/>
        <v>0</v>
      </c>
      <c r="BQ59" s="147">
        <f t="shared" si="123"/>
        <v>0</v>
      </c>
      <c r="BR59" s="147">
        <f>+J59+O59+T59</f>
        <v>0</v>
      </c>
      <c r="BS59" s="147">
        <f t="shared" si="124"/>
        <v>0</v>
      </c>
      <c r="BT59" s="147">
        <f t="shared" si="125"/>
        <v>1</v>
      </c>
      <c r="BU59" s="147">
        <f t="shared" si="126"/>
        <v>1000</v>
      </c>
      <c r="BV59" s="154">
        <f t="shared" si="127"/>
        <v>1000</v>
      </c>
      <c r="CB59" s="155"/>
      <c r="CC59" s="155"/>
      <c r="CD59" s="156"/>
      <c r="CF59" s="157"/>
    </row>
    <row r="60" spans="1:84" customFormat="1" ht="17.25" hidden="1" customHeight="1" x14ac:dyDescent="0.3">
      <c r="A60" s="74" t="s">
        <v>889</v>
      </c>
      <c r="B60" s="73" t="s">
        <v>871</v>
      </c>
      <c r="C60" s="40" t="s">
        <v>2393</v>
      </c>
      <c r="D60" s="73" t="s">
        <v>871</v>
      </c>
      <c r="E60" s="73" t="s">
        <v>871</v>
      </c>
      <c r="F60" s="79" t="str">
        <f>+VLOOKUP(C60,'EMP STATUS'!$D$3:$K$77,8,0)</f>
        <v>ARCHN02</v>
      </c>
      <c r="G60" s="39">
        <f>+COUNTIFS(SALES!$S$2:$S$171,'CALCULATION DSE'!$C$8:$C$80,SALES!$N$2:$N$171,'CALCULATION DSE'!$G$6:$U$6)</f>
        <v>0</v>
      </c>
      <c r="H60" s="39">
        <f>+COUNTIFS(SALES!$S$2:$S$171,'CALCULATION DSE'!$C$8:$C$80,SALES!$N$2:$N$171,'CALCULATION DSE'!$G$6:$U$6)</f>
        <v>0</v>
      </c>
      <c r="I60" s="39">
        <f>+COUNTIFS(SALES!$S$2:$S$171,'CALCULATION DSE'!$C$8:$C$80,SALES!$N$2:$N$171,'CALCULATION DSE'!$G$6:$U$6)</f>
        <v>0</v>
      </c>
      <c r="J60" s="39">
        <f>+COUNTIFS(SALES!$S$2:$S$171,'CALCULATION DSE'!$C$8:$C$80,SALES!$N$2:$N$171,'CALCULATION DSE'!$G$6:$U$6)</f>
        <v>0</v>
      </c>
      <c r="K60" s="39">
        <f>+COUNTIFS(SALES!$S$2:$S$171,'CALCULATION DSE'!$C$8:$C$80,SALES!$N$2:$N$171,'CALCULATION DSE'!$G$6:$U$6)</f>
        <v>0</v>
      </c>
      <c r="L60" s="39">
        <f>+COUNTIFS(SALES!$S$2:$S$171,'CALCULATION DSE'!$C$8:$C$80,SALES!$N$2:$N$171,'CALCULATION DSE'!$G$6:$U$6)</f>
        <v>0</v>
      </c>
      <c r="M60" s="39">
        <f>+COUNTIFS(SALES!$S$2:$S$171,'CALCULATION DSE'!$C$8:$C$80,SALES!$N$2:$N$171,'CALCULATION DSE'!$G$6:$U$6)</f>
        <v>0</v>
      </c>
      <c r="N60" s="39">
        <f>+COUNTIFS(SALES!$S$2:$S$171,'CALCULATION DSE'!$C$8:$C$80,SALES!$N$2:$N$171,'CALCULATION DSE'!$G$6:$U$6)</f>
        <v>0</v>
      </c>
      <c r="O60" s="39">
        <f>+COUNTIFS(SALES!$S$2:$S$171,'CALCULATION DSE'!$C$8:$C$80,SALES!$N$2:$N$171,'CALCULATION DSE'!$G$6:$U$6)</f>
        <v>1</v>
      </c>
      <c r="P60" s="39">
        <f>+COUNTIFS(SALES!$S$2:$S$171,'CALCULATION DSE'!$C$8:$C$80,SALES!$N$2:$N$171,'CALCULATION DSE'!$G$6:$U$6)</f>
        <v>0</v>
      </c>
      <c r="Q60" s="39">
        <f>+COUNTIFS(SALES!$S$2:$S$171,'CALCULATION DSE'!$C$8:$C$80,SALES!$N$2:$N$171,'CALCULATION DSE'!$G$6:$U$6)</f>
        <v>1</v>
      </c>
      <c r="R60" s="39">
        <f>+COUNTIFS(SALES!$S$2:$S$171,'CALCULATION DSE'!$C$8:$C$80,SALES!$N$2:$N$171,'CALCULATION DSE'!$G$6:$U$6)</f>
        <v>0</v>
      </c>
      <c r="S60" s="39">
        <f>+COUNTIFS(SALES!$S$2:$S$171,'CALCULATION DSE'!$C$8:$C$80,SALES!$N$2:$N$171,'CALCULATION DSE'!$G$6:$U$6)</f>
        <v>0</v>
      </c>
      <c r="T60" s="39">
        <f>+COUNTIFS(SALES!$S$2:$S$171,'CALCULATION DSE'!$C$8:$C$80,SALES!$N$2:$N$171,'CALCULATION DSE'!$G$6:$U$6)</f>
        <v>0</v>
      </c>
      <c r="U60" s="39">
        <f>+COUNTIFS(SALES!$S$2:$S$171,'CALCULATION DSE'!$C$8:$C$80,SALES!$N$2:$N$171,'CALCULATION DSE'!$G$6:$U$6)</f>
        <v>0</v>
      </c>
      <c r="V60" s="36">
        <f t="shared" si="86"/>
        <v>2</v>
      </c>
      <c r="W60" s="36">
        <f t="shared" si="87"/>
        <v>2</v>
      </c>
      <c r="X60" s="79">
        <f t="shared" si="88"/>
        <v>0</v>
      </c>
      <c r="Y60" s="79">
        <f t="shared" si="89"/>
        <v>0</v>
      </c>
      <c r="Z60" s="79">
        <f t="shared" si="90"/>
        <v>0</v>
      </c>
      <c r="AA60" s="79" t="str">
        <f>+VLOOKUP(C60,'EMP STATUS'!$D$3:$J$77,7,0)</f>
        <v>NEW</v>
      </c>
      <c r="AB60" s="72" t="str">
        <f t="shared" si="91"/>
        <v>NO</v>
      </c>
      <c r="AC60" s="72" t="str">
        <f t="shared" si="92"/>
        <v>YES</v>
      </c>
      <c r="AD60" s="64">
        <f t="shared" si="93"/>
        <v>1000</v>
      </c>
      <c r="AE60" s="64">
        <f t="shared" si="94"/>
        <v>0</v>
      </c>
      <c r="AF60" s="64">
        <f t="shared" si="95"/>
        <v>0</v>
      </c>
      <c r="AG60" s="71">
        <f t="shared" si="96"/>
        <v>1000</v>
      </c>
      <c r="AH60" s="68">
        <v>0</v>
      </c>
      <c r="AI60" s="68">
        <f t="shared" si="97"/>
        <v>0</v>
      </c>
      <c r="AJ60" s="64">
        <f t="shared" si="98"/>
        <v>0</v>
      </c>
      <c r="AK60" s="66">
        <f>+VLOOKUP(C60,'DSE WISE MGA SALE '!$B$5:$G$116,6,0)</f>
        <v>39720.547945205479</v>
      </c>
      <c r="AL60" s="67">
        <f t="shared" si="99"/>
        <v>19860.273972602739</v>
      </c>
      <c r="AM60" s="67">
        <f t="shared" si="100"/>
        <v>1390.219178082192</v>
      </c>
      <c r="AN60" s="70">
        <f>+COUNTIFS(SALES!$S$2:$S$171,'CALCULATION DSE'!$C$7:$C$80,SALES!$AH$2:$AH$171,"&gt;0")</f>
        <v>0</v>
      </c>
      <c r="AO60" s="68">
        <f t="shared" si="101"/>
        <v>0</v>
      </c>
      <c r="AP60" s="69">
        <f>+COUNTIFS(SALES!$S$2:$S$171,'CALCULATION DSE'!$C$8:$C$80,SALES!$BH$2:$BH$171,"MSSF")</f>
        <v>2</v>
      </c>
      <c r="AQ60" s="69">
        <f t="shared" si="102"/>
        <v>0</v>
      </c>
      <c r="AR60" s="98">
        <f t="shared" si="103"/>
        <v>1</v>
      </c>
      <c r="AS60" s="68">
        <f t="shared" si="104"/>
        <v>500</v>
      </c>
      <c r="AT60" s="68">
        <f t="shared" si="105"/>
        <v>0</v>
      </c>
      <c r="AU60" s="39">
        <f>+COUNTIFS(SALES!$S$2:$S$171,'CALCULATION DSE'!$C$8:$C$80,SALES!$Y$2:$Y$171,"&gt;0")</f>
        <v>0</v>
      </c>
      <c r="AV60" s="39">
        <f t="shared" si="106"/>
        <v>2</v>
      </c>
      <c r="AW60" s="65">
        <f t="shared" si="107"/>
        <v>0</v>
      </c>
      <c r="AX60" s="67">
        <f t="shared" si="108"/>
        <v>0</v>
      </c>
      <c r="AY60" s="67">
        <f t="shared" si="109"/>
        <v>800</v>
      </c>
      <c r="AZ60" s="39">
        <f>+COUNTIFS(SALES!$S$2:$S$171,'CALCULATION DSE'!$C$8:$C$80,SALES!$AC$2:$AC$171,"&gt;0")</f>
        <v>0</v>
      </c>
      <c r="BA60" s="39">
        <f t="shared" si="110"/>
        <v>2</v>
      </c>
      <c r="BB60" s="65">
        <f t="shared" si="111"/>
        <v>0</v>
      </c>
      <c r="BC60" s="66">
        <f t="shared" si="112"/>
        <v>0</v>
      </c>
      <c r="BD60" s="66">
        <f t="shared" si="113"/>
        <v>500</v>
      </c>
      <c r="BE60" s="99">
        <f>+COUNTIFS(SALES!$S$2:$S$171,'CALCULATION DSE'!$C$8:$C$80,SALES!$CA$2:$CA$171,"YES")</f>
        <v>0</v>
      </c>
      <c r="BF60" s="66">
        <f t="shared" si="114"/>
        <v>0</v>
      </c>
      <c r="BG60" s="37">
        <f>+SUMIFS(SALES!$BA$2:$BA$171,SALES!$S$2:$S$171,'CALCULATION DSE'!$C$8:$C$80)</f>
        <v>11335</v>
      </c>
      <c r="BH60" s="37">
        <f t="shared" si="115"/>
        <v>5667.5</v>
      </c>
      <c r="BI60" s="65">
        <f t="shared" si="116"/>
        <v>1</v>
      </c>
      <c r="BJ60" s="64">
        <f t="shared" si="117"/>
        <v>1000</v>
      </c>
      <c r="BK60" s="64">
        <f t="shared" si="118"/>
        <v>1590.2191780821922</v>
      </c>
      <c r="BL60" s="64">
        <v>0</v>
      </c>
      <c r="BM60" s="64">
        <f t="shared" si="119"/>
        <v>0</v>
      </c>
      <c r="BN60" s="37">
        <f t="shared" si="120"/>
        <v>1590.2191780821922</v>
      </c>
      <c r="BO60" s="38">
        <f t="shared" si="121"/>
        <v>0</v>
      </c>
      <c r="BP60" s="64">
        <f t="shared" si="122"/>
        <v>0</v>
      </c>
      <c r="BQ60" s="64">
        <f t="shared" si="123"/>
        <v>0</v>
      </c>
      <c r="BR60" s="64">
        <f>+J60+O60+T60</f>
        <v>1</v>
      </c>
      <c r="BS60" s="64">
        <f t="shared" si="124"/>
        <v>2000</v>
      </c>
      <c r="BT60" s="64">
        <f t="shared" si="125"/>
        <v>0</v>
      </c>
      <c r="BU60" s="64">
        <f t="shared" si="126"/>
        <v>0</v>
      </c>
      <c r="BV60" s="63">
        <f t="shared" si="127"/>
        <v>3590.2191780821922</v>
      </c>
      <c r="CB60" s="50"/>
      <c r="CC60" s="50"/>
      <c r="CD60" s="62"/>
      <c r="CF60" s="46"/>
    </row>
    <row r="61" spans="1:84" customFormat="1" hidden="1" x14ac:dyDescent="0.3">
      <c r="A61" s="74" t="s">
        <v>3085</v>
      </c>
      <c r="B61" s="73" t="s">
        <v>871</v>
      </c>
      <c r="C61" s="40" t="s">
        <v>2778</v>
      </c>
      <c r="D61" s="73" t="s">
        <v>871</v>
      </c>
      <c r="E61" s="73" t="s">
        <v>871</v>
      </c>
      <c r="F61" s="79" t="str">
        <f>+VLOOKUP(C61,'EMP STATUS'!$D$3:$K$77,8,0)</f>
        <v>2327</v>
      </c>
      <c r="G61" s="39">
        <f>+COUNTIFS(SALES!$S$2:$S$171,'CALCULATION DSE'!$C$8:$C$80,SALES!$N$2:$N$171,'CALCULATION DSE'!$G$6:$U$6)</f>
        <v>0</v>
      </c>
      <c r="H61" s="39">
        <f>+COUNTIFS(SALES!$S$2:$S$171,'CALCULATION DSE'!$C$8:$C$80,SALES!$N$2:$N$171,'CALCULATION DSE'!$G$6:$U$6)</f>
        <v>0</v>
      </c>
      <c r="I61" s="39">
        <f>+COUNTIFS(SALES!$S$2:$S$171,'CALCULATION DSE'!$C$8:$C$80,SALES!$N$2:$N$171,'CALCULATION DSE'!$G$6:$U$6)</f>
        <v>0</v>
      </c>
      <c r="J61" s="39">
        <f>+COUNTIFS(SALES!$S$2:$S$171,'CALCULATION DSE'!$C$8:$C$80,SALES!$N$2:$N$171,'CALCULATION DSE'!$G$6:$U$6)</f>
        <v>0</v>
      </c>
      <c r="K61" s="39">
        <f>+COUNTIFS(SALES!$S$2:$S$171,'CALCULATION DSE'!$C$8:$C$80,SALES!$N$2:$N$171,'CALCULATION DSE'!$G$6:$U$6)</f>
        <v>0</v>
      </c>
      <c r="L61" s="39">
        <f>+COUNTIFS(SALES!$S$2:$S$171,'CALCULATION DSE'!$C$8:$C$80,SALES!$N$2:$N$171,'CALCULATION DSE'!$G$6:$U$6)</f>
        <v>0</v>
      </c>
      <c r="M61" s="39">
        <f>+COUNTIFS(SALES!$S$2:$S$171,'CALCULATION DSE'!$C$8:$C$80,SALES!$N$2:$N$171,'CALCULATION DSE'!$G$6:$U$6)</f>
        <v>0</v>
      </c>
      <c r="N61" s="39">
        <f>+COUNTIFS(SALES!$S$2:$S$171,'CALCULATION DSE'!$C$8:$C$80,SALES!$N$2:$N$171,'CALCULATION DSE'!$G$6:$U$6)</f>
        <v>0</v>
      </c>
      <c r="O61" s="39">
        <f>+COUNTIFS(SALES!$S$2:$S$171,'CALCULATION DSE'!$C$8:$C$80,SALES!$N$2:$N$171,'CALCULATION DSE'!$G$6:$U$6)</f>
        <v>0</v>
      </c>
      <c r="P61" s="39">
        <f>+COUNTIFS(SALES!$S$2:$S$171,'CALCULATION DSE'!$C$8:$C$80,SALES!$N$2:$N$171,'CALCULATION DSE'!$G$6:$U$6)</f>
        <v>0</v>
      </c>
      <c r="Q61" s="39">
        <f>+COUNTIFS(SALES!$S$2:$S$171,'CALCULATION DSE'!$C$8:$C$80,SALES!$N$2:$N$171,'CALCULATION DSE'!$G$6:$U$6)</f>
        <v>0</v>
      </c>
      <c r="R61" s="39">
        <f>+COUNTIFS(SALES!$S$2:$S$171,'CALCULATION DSE'!$C$8:$C$80,SALES!$N$2:$N$171,'CALCULATION DSE'!$G$6:$U$6)</f>
        <v>1</v>
      </c>
      <c r="S61" s="39">
        <f>+COUNTIFS(SALES!$S$2:$S$171,'CALCULATION DSE'!$C$8:$C$80,SALES!$N$2:$N$171,'CALCULATION DSE'!$G$6:$U$6)</f>
        <v>0</v>
      </c>
      <c r="T61" s="39">
        <f>+COUNTIFS(SALES!$S$2:$S$171,'CALCULATION DSE'!$C$8:$C$80,SALES!$N$2:$N$171,'CALCULATION DSE'!$G$6:$U$6)</f>
        <v>0</v>
      </c>
      <c r="U61" s="39">
        <f>+COUNTIFS(SALES!$S$2:$S$171,'CALCULATION DSE'!$C$8:$C$80,SALES!$N$2:$N$171,'CALCULATION DSE'!$G$6:$U$6)</f>
        <v>0</v>
      </c>
      <c r="V61" s="36">
        <f t="shared" si="86"/>
        <v>1</v>
      </c>
      <c r="W61" s="36">
        <f t="shared" si="87"/>
        <v>0</v>
      </c>
      <c r="X61" s="79">
        <f t="shared" si="88"/>
        <v>1</v>
      </c>
      <c r="Y61" s="79">
        <f t="shared" si="89"/>
        <v>0</v>
      </c>
      <c r="Z61" s="79">
        <f t="shared" si="90"/>
        <v>0</v>
      </c>
      <c r="AA61" s="79" t="str">
        <f>+VLOOKUP(C61,'EMP STATUS'!$D$3:$J$77,7,0)</f>
        <v>NEW</v>
      </c>
      <c r="AB61" s="72" t="str">
        <f t="shared" si="91"/>
        <v>NO</v>
      </c>
      <c r="AC61" s="72" t="str">
        <f t="shared" si="92"/>
        <v>YES</v>
      </c>
      <c r="AD61" s="64">
        <f t="shared" si="93"/>
        <v>500</v>
      </c>
      <c r="AE61" s="64">
        <f t="shared" si="94"/>
        <v>0</v>
      </c>
      <c r="AF61" s="64">
        <f t="shared" si="95"/>
        <v>0</v>
      </c>
      <c r="AG61" s="71">
        <f t="shared" si="96"/>
        <v>500</v>
      </c>
      <c r="AH61" s="68">
        <v>0</v>
      </c>
      <c r="AI61" s="68">
        <f t="shared" si="97"/>
        <v>0</v>
      </c>
      <c r="AJ61" s="64">
        <f t="shared" si="98"/>
        <v>0</v>
      </c>
      <c r="AK61" s="66">
        <f>+VLOOKUP(C61,'DSE WISE MGA SALE '!$B$5:$G$116,6,0)</f>
        <v>0</v>
      </c>
      <c r="AL61" s="67">
        <f t="shared" si="99"/>
        <v>0</v>
      </c>
      <c r="AM61" s="67">
        <f t="shared" si="100"/>
        <v>0</v>
      </c>
      <c r="AN61" s="70">
        <f>+COUNTIFS(SALES!$S$2:$S$171,'CALCULATION DSE'!$C$7:$C$80,SALES!$AH$2:$AH$171,"&gt;0")</f>
        <v>0</v>
      </c>
      <c r="AO61" s="68">
        <f t="shared" si="101"/>
        <v>0</v>
      </c>
      <c r="AP61" s="69">
        <f>+COUNTIFS(SALES!$S$2:$S$171,'CALCULATION DSE'!$C$8:$C$80,SALES!$BH$2:$BH$171,"MSSF")</f>
        <v>0</v>
      </c>
      <c r="AQ61" s="69">
        <f t="shared" si="102"/>
        <v>1</v>
      </c>
      <c r="AR61" s="98">
        <f t="shared" si="103"/>
        <v>0</v>
      </c>
      <c r="AS61" s="68">
        <f t="shared" si="104"/>
        <v>0</v>
      </c>
      <c r="AT61" s="68">
        <f t="shared" si="105"/>
        <v>250</v>
      </c>
      <c r="AU61" s="39">
        <f>+COUNTIFS(SALES!$S$2:$S$171,'CALCULATION DSE'!$C$8:$C$80,SALES!$Y$2:$Y$171,"&gt;0")</f>
        <v>1</v>
      </c>
      <c r="AV61" s="39">
        <f t="shared" si="106"/>
        <v>0</v>
      </c>
      <c r="AW61" s="65">
        <f t="shared" si="107"/>
        <v>1</v>
      </c>
      <c r="AX61" s="67">
        <f t="shared" si="108"/>
        <v>1000</v>
      </c>
      <c r="AY61" s="67">
        <f t="shared" si="109"/>
        <v>0</v>
      </c>
      <c r="AZ61" s="39">
        <f>+COUNTIFS(SALES!$S$2:$S$171,'CALCULATION DSE'!$C$8:$C$80,SALES!$AC$2:$AC$171,"&gt;0")</f>
        <v>0</v>
      </c>
      <c r="BA61" s="39">
        <f t="shared" si="110"/>
        <v>1</v>
      </c>
      <c r="BB61" s="65">
        <f t="shared" si="111"/>
        <v>0</v>
      </c>
      <c r="BC61" s="66">
        <f t="shared" si="112"/>
        <v>0</v>
      </c>
      <c r="BD61" s="66">
        <f t="shared" si="113"/>
        <v>250</v>
      </c>
      <c r="BE61" s="99">
        <f>+COUNTIFS(SALES!$S$2:$S$171,'CALCULATION DSE'!$C$8:$C$80,SALES!$CA$2:$CA$171,"YES")</f>
        <v>0</v>
      </c>
      <c r="BF61" s="66">
        <f t="shared" si="114"/>
        <v>0</v>
      </c>
      <c r="BG61" s="37">
        <f>+SUMIFS(SALES!$BA$2:$BA$171,SALES!$S$2:$S$171,'CALCULATION DSE'!$C$8:$C$80)</f>
        <v>0</v>
      </c>
      <c r="BH61" s="37">
        <f t="shared" si="115"/>
        <v>0</v>
      </c>
      <c r="BI61" s="65">
        <f t="shared" si="116"/>
        <v>1.5</v>
      </c>
      <c r="BJ61" s="64">
        <f t="shared" si="117"/>
        <v>750</v>
      </c>
      <c r="BK61" s="64">
        <f t="shared" si="118"/>
        <v>1250</v>
      </c>
      <c r="BL61" s="64">
        <v>0</v>
      </c>
      <c r="BM61" s="64">
        <f t="shared" si="119"/>
        <v>0</v>
      </c>
      <c r="BN61" s="37">
        <f t="shared" si="120"/>
        <v>1250</v>
      </c>
      <c r="BO61" s="38">
        <f t="shared" si="121"/>
        <v>0</v>
      </c>
      <c r="BP61" s="64">
        <f t="shared" si="122"/>
        <v>0</v>
      </c>
      <c r="BQ61" s="64">
        <f t="shared" si="123"/>
        <v>0</v>
      </c>
      <c r="BR61" s="64">
        <f>+J61+O61+T61</f>
        <v>0</v>
      </c>
      <c r="BS61" s="64">
        <f t="shared" si="124"/>
        <v>0</v>
      </c>
      <c r="BT61" s="64">
        <f t="shared" si="125"/>
        <v>0</v>
      </c>
      <c r="BU61" s="64">
        <f t="shared" si="126"/>
        <v>0</v>
      </c>
      <c r="BV61" s="63">
        <f t="shared" si="127"/>
        <v>1250</v>
      </c>
      <c r="CB61" s="50"/>
      <c r="CC61" s="50"/>
      <c r="CD61" s="62"/>
      <c r="CF61" s="46"/>
    </row>
    <row r="62" spans="1:84" hidden="1" x14ac:dyDescent="0.3">
      <c r="A62" s="72" t="s">
        <v>1041</v>
      </c>
      <c r="B62" s="145" t="s">
        <v>2280</v>
      </c>
      <c r="C62" s="145" t="s">
        <v>2507</v>
      </c>
      <c r="D62" s="145" t="s">
        <v>2280</v>
      </c>
      <c r="E62" s="145" t="s">
        <v>2877</v>
      </c>
      <c r="F62" s="79" t="str">
        <f>+VLOOKUP(C62,'EMP STATUS'!$D$3:$K$77,8,0)</f>
        <v>KNW20</v>
      </c>
      <c r="G62" s="72">
        <f>+COUNTIFS(SALES!$S$2:$S$171,'CALCULATION DSE'!$C$8:$C$80,SALES!$N$2:$N$171,'CALCULATION DSE'!$G$6:$U$6)</f>
        <v>1</v>
      </c>
      <c r="H62" s="72">
        <f>+COUNTIFS(SALES!$S$2:$S$171,'CALCULATION DSE'!$C$8:$C$80,SALES!$N$2:$N$171,'CALCULATION DSE'!$G$6:$U$6)</f>
        <v>0</v>
      </c>
      <c r="I62" s="72">
        <f>+COUNTIFS(SALES!$S$2:$S$171,'CALCULATION DSE'!$C$8:$C$80,SALES!$N$2:$N$171,'CALCULATION DSE'!$G$6:$U$6)</f>
        <v>0</v>
      </c>
      <c r="J62" s="72">
        <f>+COUNTIFS(SALES!$S$2:$S$171,'CALCULATION DSE'!$C$8:$C$80,SALES!$N$2:$N$171,'CALCULATION DSE'!$G$6:$U$6)</f>
        <v>0</v>
      </c>
      <c r="K62" s="72">
        <f>+COUNTIFS(SALES!$S$2:$S$171,'CALCULATION DSE'!$C$8:$C$80,SALES!$N$2:$N$171,'CALCULATION DSE'!$G$6:$U$6)</f>
        <v>0</v>
      </c>
      <c r="L62" s="72">
        <f>+COUNTIFS(SALES!$S$2:$S$171,'CALCULATION DSE'!$C$8:$C$80,SALES!$N$2:$N$171,'CALCULATION DSE'!$G$6:$U$6)</f>
        <v>0</v>
      </c>
      <c r="M62" s="72">
        <f>+COUNTIFS(SALES!$S$2:$S$171,'CALCULATION DSE'!$C$8:$C$80,SALES!$N$2:$N$171,'CALCULATION DSE'!$G$6:$U$6)</f>
        <v>0</v>
      </c>
      <c r="N62" s="72">
        <f>+COUNTIFS(SALES!$S$2:$S$171,'CALCULATION DSE'!$C$8:$C$80,SALES!$N$2:$N$171,'CALCULATION DSE'!$G$6:$U$6)</f>
        <v>1</v>
      </c>
      <c r="O62" s="72">
        <f>+COUNTIFS(SALES!$S$2:$S$171,'CALCULATION DSE'!$C$8:$C$80,SALES!$N$2:$N$171,'CALCULATION DSE'!$G$6:$U$6)</f>
        <v>2</v>
      </c>
      <c r="P62" s="72">
        <f>+COUNTIFS(SALES!$S$2:$S$171,'CALCULATION DSE'!$C$8:$C$80,SALES!$N$2:$N$171,'CALCULATION DSE'!$G$6:$U$6)</f>
        <v>1</v>
      </c>
      <c r="Q62" s="72">
        <f>+COUNTIFS(SALES!$S$2:$S$171,'CALCULATION DSE'!$C$8:$C$80,SALES!$N$2:$N$171,'CALCULATION DSE'!$G$6:$U$6)</f>
        <v>1</v>
      </c>
      <c r="R62" s="72">
        <f>+COUNTIFS(SALES!$S$2:$S$171,'CALCULATION DSE'!$C$8:$C$80,SALES!$N$2:$N$171,'CALCULATION DSE'!$G$6:$U$6)</f>
        <v>1</v>
      </c>
      <c r="S62" s="72">
        <f>+COUNTIFS(SALES!$S$2:$S$171,'CALCULATION DSE'!$C$8:$C$80,SALES!$N$2:$N$171,'CALCULATION DSE'!$G$6:$U$6)</f>
        <v>0</v>
      </c>
      <c r="T62" s="72">
        <f>+COUNTIFS(SALES!$S$2:$S$171,'CALCULATION DSE'!$C$8:$C$80,SALES!$N$2:$N$171,'CALCULATION DSE'!$G$6:$U$6)</f>
        <v>0</v>
      </c>
      <c r="U62" s="72">
        <f>+COUNTIFS(SALES!$S$2:$S$171,'CALCULATION DSE'!$C$8:$C$80,SALES!$N$2:$N$171,'CALCULATION DSE'!$G$6:$U$6)</f>
        <v>0</v>
      </c>
      <c r="V62" s="146">
        <f t="shared" si="86"/>
        <v>7</v>
      </c>
      <c r="W62" s="146">
        <f t="shared" si="87"/>
        <v>6</v>
      </c>
      <c r="X62" s="79">
        <f t="shared" si="88"/>
        <v>1</v>
      </c>
      <c r="Y62" s="79">
        <f t="shared" si="89"/>
        <v>0</v>
      </c>
      <c r="Z62" s="79">
        <f t="shared" si="90"/>
        <v>1</v>
      </c>
      <c r="AA62" s="79" t="str">
        <f>+VLOOKUP(C62,'EMP STATUS'!$D$3:$J$77,7,0)</f>
        <v>OLD</v>
      </c>
      <c r="AB62" s="72" t="str">
        <f t="shared" si="91"/>
        <v>YES</v>
      </c>
      <c r="AC62" s="72" t="str">
        <f t="shared" si="92"/>
        <v>YES</v>
      </c>
      <c r="AD62" s="147">
        <f t="shared" si="93"/>
        <v>0</v>
      </c>
      <c r="AE62" s="147">
        <f t="shared" si="94"/>
        <v>15000</v>
      </c>
      <c r="AF62" s="147">
        <f t="shared" si="95"/>
        <v>500</v>
      </c>
      <c r="AG62" s="148">
        <f t="shared" si="96"/>
        <v>15500</v>
      </c>
      <c r="AH62" s="149">
        <v>0</v>
      </c>
      <c r="AI62" s="149">
        <f t="shared" si="97"/>
        <v>0</v>
      </c>
      <c r="AJ62" s="147">
        <f t="shared" si="98"/>
        <v>0</v>
      </c>
      <c r="AK62" s="99">
        <f>+VLOOKUP(C62,'DSE WISE MGA SALE '!$B$5:$G$116,6,0)</f>
        <v>160088.35616438356</v>
      </c>
      <c r="AL62" s="99">
        <f t="shared" si="99"/>
        <v>22869.765166340509</v>
      </c>
      <c r="AM62" s="99">
        <f t="shared" si="100"/>
        <v>7203.9760273972597</v>
      </c>
      <c r="AN62" s="150">
        <f>+COUNTIFS(SALES!$S$2:$S$171,'CALCULATION DSE'!$C$7:$C$80,SALES!$AH$2:$AH$171,"&gt;0")</f>
        <v>3</v>
      </c>
      <c r="AO62" s="149">
        <f t="shared" si="101"/>
        <v>1800</v>
      </c>
      <c r="AP62" s="151">
        <f>+COUNTIFS(SALES!$S$2:$S$171,'CALCULATION DSE'!$C$8:$C$80,SALES!$BH$2:$BH$171,"MSSF")</f>
        <v>3</v>
      </c>
      <c r="AQ62" s="151">
        <f t="shared" si="102"/>
        <v>4</v>
      </c>
      <c r="AR62" s="152">
        <f t="shared" si="103"/>
        <v>0.42857142857142855</v>
      </c>
      <c r="AS62" s="149">
        <f t="shared" si="104"/>
        <v>0</v>
      </c>
      <c r="AT62" s="149">
        <f t="shared" si="105"/>
        <v>1000</v>
      </c>
      <c r="AU62" s="72">
        <f>+COUNTIFS(SALES!$S$2:$S$171,'CALCULATION DSE'!$C$8:$C$80,SALES!$Y$2:$Y$171,"&gt;0")</f>
        <v>6</v>
      </c>
      <c r="AV62" s="72">
        <f t="shared" si="106"/>
        <v>1</v>
      </c>
      <c r="AW62" s="153">
        <f t="shared" si="107"/>
        <v>0.8571428571428571</v>
      </c>
      <c r="AX62" s="99">
        <f t="shared" si="108"/>
        <v>6000</v>
      </c>
      <c r="AY62" s="99">
        <f t="shared" si="109"/>
        <v>0</v>
      </c>
      <c r="AZ62" s="72">
        <f>+COUNTIFS(SALES!$S$2:$S$171,'CALCULATION DSE'!$C$8:$C$80,SALES!$AC$2:$AC$171,"&gt;0")</f>
        <v>6</v>
      </c>
      <c r="BA62" s="72">
        <f t="shared" si="110"/>
        <v>1</v>
      </c>
      <c r="BB62" s="153">
        <f t="shared" si="111"/>
        <v>0.8571428571428571</v>
      </c>
      <c r="BC62" s="99">
        <f t="shared" si="112"/>
        <v>4500</v>
      </c>
      <c r="BD62" s="99">
        <f t="shared" si="113"/>
        <v>0</v>
      </c>
      <c r="BE62" s="99">
        <f>+COUNTIFS(SALES!$S$2:$S$171,'CALCULATION DSE'!$C$8:$C$80,SALES!$CA$2:$CA$171,"YES")</f>
        <v>0</v>
      </c>
      <c r="BF62" s="99">
        <f t="shared" si="114"/>
        <v>0</v>
      </c>
      <c r="BG62" s="148">
        <f>+SUMIFS(SALES!$BA$2:$BA$171,SALES!$S$2:$S$171,'CALCULATION DSE'!$C$8:$C$80)</f>
        <v>48450</v>
      </c>
      <c r="BH62" s="148">
        <f t="shared" si="115"/>
        <v>6921.4285714285716</v>
      </c>
      <c r="BI62" s="153">
        <f t="shared" si="116"/>
        <v>0.8</v>
      </c>
      <c r="BJ62" s="147">
        <f t="shared" si="117"/>
        <v>12400</v>
      </c>
      <c r="BK62" s="147">
        <f t="shared" si="118"/>
        <v>30903.976027397261</v>
      </c>
      <c r="BL62" s="147">
        <v>0</v>
      </c>
      <c r="BM62" s="147">
        <f t="shared" si="119"/>
        <v>0</v>
      </c>
      <c r="BN62" s="148">
        <f t="shared" si="120"/>
        <v>30903.976027397261</v>
      </c>
      <c r="BO62" s="99">
        <f t="shared" si="121"/>
        <v>0</v>
      </c>
      <c r="BP62" s="147">
        <f t="shared" si="122"/>
        <v>0</v>
      </c>
      <c r="BQ62" s="147">
        <f t="shared" si="123"/>
        <v>0</v>
      </c>
      <c r="BR62" s="147">
        <f>+J62+O62+T62-1</f>
        <v>1</v>
      </c>
      <c r="BS62" s="147">
        <f t="shared" si="124"/>
        <v>2000</v>
      </c>
      <c r="BT62" s="147">
        <f t="shared" si="125"/>
        <v>1</v>
      </c>
      <c r="BU62" s="147">
        <f t="shared" si="126"/>
        <v>1000</v>
      </c>
      <c r="BV62" s="154">
        <f t="shared" si="127"/>
        <v>33903.976027397264</v>
      </c>
      <c r="CB62" s="155"/>
      <c r="CC62" s="155"/>
      <c r="CD62" s="156"/>
      <c r="CF62" s="157"/>
    </row>
    <row r="63" spans="1:84" hidden="1" x14ac:dyDescent="0.3">
      <c r="A63" s="72" t="s">
        <v>1904</v>
      </c>
      <c r="B63" s="145" t="s">
        <v>2539</v>
      </c>
      <c r="C63" s="145" t="s">
        <v>2470</v>
      </c>
      <c r="D63" s="145" t="s">
        <v>2432</v>
      </c>
      <c r="E63" s="145" t="s">
        <v>1844</v>
      </c>
      <c r="F63" s="79" t="str">
        <f>+VLOOKUP(C63,'EMP STATUS'!$D$3:$K$77,8,0)</f>
        <v>MHS05</v>
      </c>
      <c r="G63" s="72">
        <f>+COUNTIFS(SALES!$S$2:$S$171,'CALCULATION DSE'!$C$8:$C$80,SALES!$N$2:$N$171,'CALCULATION DSE'!$G$6:$U$6)</f>
        <v>1</v>
      </c>
      <c r="H63" s="72">
        <f>+COUNTIFS(SALES!$S$2:$S$171,'CALCULATION DSE'!$C$8:$C$80,SALES!$N$2:$N$171,'CALCULATION DSE'!$G$6:$U$6)</f>
        <v>0</v>
      </c>
      <c r="I63" s="72">
        <f>+COUNTIFS(SALES!$S$2:$S$171,'CALCULATION DSE'!$C$8:$C$80,SALES!$N$2:$N$171,'CALCULATION DSE'!$G$6:$U$6)</f>
        <v>0</v>
      </c>
      <c r="J63" s="72">
        <f>+COUNTIFS(SALES!$S$2:$S$171,'CALCULATION DSE'!$C$8:$C$80,SALES!$N$2:$N$171,'CALCULATION DSE'!$G$6:$U$6)</f>
        <v>0</v>
      </c>
      <c r="K63" s="72">
        <f>+COUNTIFS(SALES!$S$2:$S$171,'CALCULATION DSE'!$C$8:$C$80,SALES!$N$2:$N$171,'CALCULATION DSE'!$G$6:$U$6)</f>
        <v>0</v>
      </c>
      <c r="L63" s="72">
        <f>+COUNTIFS(SALES!$S$2:$S$171,'CALCULATION DSE'!$C$8:$C$80,SALES!$N$2:$N$171,'CALCULATION DSE'!$G$6:$U$6)</f>
        <v>0</v>
      </c>
      <c r="M63" s="72">
        <f>+COUNTIFS(SALES!$S$2:$S$171,'CALCULATION DSE'!$C$8:$C$80,SALES!$N$2:$N$171,'CALCULATION DSE'!$G$6:$U$6)</f>
        <v>0</v>
      </c>
      <c r="N63" s="72">
        <f>+COUNTIFS(SALES!$S$2:$S$171,'CALCULATION DSE'!$C$8:$C$80,SALES!$N$2:$N$171,'CALCULATION DSE'!$G$6:$U$6)</f>
        <v>1</v>
      </c>
      <c r="O63" s="72">
        <f>+COUNTIFS(SALES!$S$2:$S$171,'CALCULATION DSE'!$C$8:$C$80,SALES!$N$2:$N$171,'CALCULATION DSE'!$G$6:$U$6)</f>
        <v>1</v>
      </c>
      <c r="P63" s="72">
        <f>+COUNTIFS(SALES!$S$2:$S$171,'CALCULATION DSE'!$C$8:$C$80,SALES!$N$2:$N$171,'CALCULATION DSE'!$G$6:$U$6)</f>
        <v>0</v>
      </c>
      <c r="Q63" s="72">
        <f>+COUNTIFS(SALES!$S$2:$S$171,'CALCULATION DSE'!$C$8:$C$80,SALES!$N$2:$N$171,'CALCULATION DSE'!$G$6:$U$6)</f>
        <v>1</v>
      </c>
      <c r="R63" s="72">
        <f>+COUNTIFS(SALES!$S$2:$S$171,'CALCULATION DSE'!$C$8:$C$80,SALES!$N$2:$N$171,'CALCULATION DSE'!$G$6:$U$6)</f>
        <v>1</v>
      </c>
      <c r="S63" s="72">
        <f>+COUNTIFS(SALES!$S$2:$S$171,'CALCULATION DSE'!$C$8:$C$80,SALES!$N$2:$N$171,'CALCULATION DSE'!$G$6:$U$6)</f>
        <v>0</v>
      </c>
      <c r="T63" s="72">
        <f>+COUNTIFS(SALES!$S$2:$S$171,'CALCULATION DSE'!$C$8:$C$80,SALES!$N$2:$N$171,'CALCULATION DSE'!$G$6:$U$6)</f>
        <v>0</v>
      </c>
      <c r="U63" s="72">
        <f>+COUNTIFS(SALES!$S$2:$S$171,'CALCULATION DSE'!$C$8:$C$80,SALES!$N$2:$N$171,'CALCULATION DSE'!$G$6:$U$6)</f>
        <v>0</v>
      </c>
      <c r="V63" s="146">
        <f t="shared" si="86"/>
        <v>5</v>
      </c>
      <c r="W63" s="146">
        <f t="shared" si="87"/>
        <v>4</v>
      </c>
      <c r="X63" s="79">
        <f t="shared" si="88"/>
        <v>1</v>
      </c>
      <c r="Y63" s="79">
        <f t="shared" si="89"/>
        <v>0</v>
      </c>
      <c r="Z63" s="79">
        <f t="shared" si="90"/>
        <v>1</v>
      </c>
      <c r="AA63" s="79" t="str">
        <f>+VLOOKUP(C63,'EMP STATUS'!$D$3:$J$77,7,0)</f>
        <v>OLD</v>
      </c>
      <c r="AB63" s="72" t="str">
        <f t="shared" si="91"/>
        <v>YES</v>
      </c>
      <c r="AC63" s="72" t="str">
        <f t="shared" si="92"/>
        <v>YES</v>
      </c>
      <c r="AD63" s="147">
        <f t="shared" si="93"/>
        <v>0</v>
      </c>
      <c r="AE63" s="147">
        <f t="shared" si="94"/>
        <v>8000</v>
      </c>
      <c r="AF63" s="147">
        <f t="shared" si="95"/>
        <v>500</v>
      </c>
      <c r="AG63" s="148">
        <f t="shared" si="96"/>
        <v>8500</v>
      </c>
      <c r="AH63" s="149">
        <v>0</v>
      </c>
      <c r="AI63" s="149">
        <f t="shared" si="97"/>
        <v>0</v>
      </c>
      <c r="AJ63" s="147">
        <f t="shared" si="98"/>
        <v>0</v>
      </c>
      <c r="AK63" s="99">
        <f>+VLOOKUP(C63,'DSE WISE MGA SALE '!$B$5:$G$116,6,0)</f>
        <v>92378.082191780821</v>
      </c>
      <c r="AL63" s="99">
        <f t="shared" si="99"/>
        <v>18475.616438356163</v>
      </c>
      <c r="AM63" s="99">
        <f t="shared" si="100"/>
        <v>2771.3424657534247</v>
      </c>
      <c r="AN63" s="150">
        <f>+COUNTIFS(SALES!$S$2:$S$171,'CALCULATION DSE'!$C$7:$C$80,SALES!$AH$2:$AH$171,"&gt;0")</f>
        <v>2</v>
      </c>
      <c r="AO63" s="149">
        <f t="shared" si="101"/>
        <v>1200</v>
      </c>
      <c r="AP63" s="151">
        <f>+COUNTIFS(SALES!$S$2:$S$171,'CALCULATION DSE'!$C$8:$C$80,SALES!$BH$2:$BH$171,"MSSF")</f>
        <v>4</v>
      </c>
      <c r="AQ63" s="151">
        <f t="shared" si="102"/>
        <v>1</v>
      </c>
      <c r="AR63" s="152">
        <f t="shared" si="103"/>
        <v>0.8</v>
      </c>
      <c r="AS63" s="149">
        <f t="shared" si="104"/>
        <v>1000</v>
      </c>
      <c r="AT63" s="149">
        <f t="shared" si="105"/>
        <v>0</v>
      </c>
      <c r="AU63" s="72">
        <f>+COUNTIFS(SALES!$S$2:$S$171,'CALCULATION DSE'!$C$8:$C$80,SALES!$Y$2:$Y$171,"&gt;0")</f>
        <v>2</v>
      </c>
      <c r="AV63" s="72">
        <f t="shared" si="106"/>
        <v>3</v>
      </c>
      <c r="AW63" s="153">
        <f t="shared" si="107"/>
        <v>0.4</v>
      </c>
      <c r="AX63" s="99">
        <f t="shared" si="108"/>
        <v>0</v>
      </c>
      <c r="AY63" s="99">
        <f t="shared" si="109"/>
        <v>1200</v>
      </c>
      <c r="AZ63" s="72">
        <f>+COUNTIFS(SALES!$S$2:$S$171,'CALCULATION DSE'!$C$8:$C$80,SALES!$AC$2:$AC$171,"&gt;0")</f>
        <v>1</v>
      </c>
      <c r="BA63" s="72">
        <f t="shared" si="110"/>
        <v>4</v>
      </c>
      <c r="BB63" s="153">
        <f t="shared" si="111"/>
        <v>0.2</v>
      </c>
      <c r="BC63" s="99">
        <f t="shared" si="112"/>
        <v>0</v>
      </c>
      <c r="BD63" s="99">
        <f t="shared" si="113"/>
        <v>1000</v>
      </c>
      <c r="BE63" s="99">
        <f>+COUNTIFS(SALES!$S$2:$S$171,'CALCULATION DSE'!$C$8:$C$80,SALES!$CA$2:$CA$171,"YES")</f>
        <v>0</v>
      </c>
      <c r="BF63" s="99">
        <f t="shared" si="114"/>
        <v>0</v>
      </c>
      <c r="BG63" s="148">
        <f>+SUMIFS(SALES!$BA$2:$BA$171,SALES!$S$2:$S$171,'CALCULATION DSE'!$C$8:$C$80)</f>
        <v>54442</v>
      </c>
      <c r="BH63" s="148">
        <f t="shared" si="115"/>
        <v>10888.4</v>
      </c>
      <c r="BI63" s="153">
        <f t="shared" si="116"/>
        <v>0.4</v>
      </c>
      <c r="BJ63" s="147">
        <f t="shared" si="117"/>
        <v>3400</v>
      </c>
      <c r="BK63" s="147">
        <f t="shared" si="118"/>
        <v>6171.3424657534251</v>
      </c>
      <c r="BL63" s="147">
        <v>0</v>
      </c>
      <c r="BM63" s="147">
        <f t="shared" si="119"/>
        <v>0</v>
      </c>
      <c r="BN63" s="148">
        <f t="shared" si="120"/>
        <v>6171.3424657534251</v>
      </c>
      <c r="BO63" s="99">
        <f t="shared" si="121"/>
        <v>0</v>
      </c>
      <c r="BP63" s="147">
        <f t="shared" si="122"/>
        <v>0</v>
      </c>
      <c r="BQ63" s="147">
        <f t="shared" si="123"/>
        <v>0</v>
      </c>
      <c r="BR63" s="147">
        <f t="shared" ref="BR63:BR77" si="128">+J63+O63+T63</f>
        <v>1</v>
      </c>
      <c r="BS63" s="147">
        <f t="shared" si="124"/>
        <v>2000</v>
      </c>
      <c r="BT63" s="147">
        <f t="shared" si="125"/>
        <v>1</v>
      </c>
      <c r="BU63" s="147">
        <f t="shared" si="126"/>
        <v>1000</v>
      </c>
      <c r="BV63" s="154">
        <f t="shared" si="127"/>
        <v>9171.3424657534251</v>
      </c>
      <c r="CB63" s="155"/>
      <c r="CC63" s="155"/>
      <c r="CD63" s="156"/>
      <c r="CF63" s="157"/>
    </row>
    <row r="64" spans="1:84" customFormat="1" hidden="1" x14ac:dyDescent="0.3">
      <c r="A64" s="74" t="s">
        <v>533</v>
      </c>
      <c r="B64" s="40" t="s">
        <v>2351</v>
      </c>
      <c r="C64" s="40" t="s">
        <v>2603</v>
      </c>
      <c r="D64" s="40" t="s">
        <v>2312</v>
      </c>
      <c r="E64" s="73" t="s">
        <v>393</v>
      </c>
      <c r="F64" s="79" t="str">
        <f>+VLOOKUP(C64,'EMP STATUS'!$D$3:$K$77,8,0)</f>
        <v>BAR013</v>
      </c>
      <c r="G64" s="39">
        <f>+COUNTIFS(SALES!$S$2:$S$171,'CALCULATION DSE'!$C$8:$C$80,SALES!$N$2:$N$171,'CALCULATION DSE'!$G$6:$U$6)</f>
        <v>0</v>
      </c>
      <c r="H64" s="39">
        <f>+COUNTIFS(SALES!$S$2:$S$171,'CALCULATION DSE'!$C$8:$C$80,SALES!$N$2:$N$171,'CALCULATION DSE'!$G$6:$U$6)</f>
        <v>0</v>
      </c>
      <c r="I64" s="39">
        <f>+COUNTIFS(SALES!$S$2:$S$171,'CALCULATION DSE'!$C$8:$C$80,SALES!$N$2:$N$171,'CALCULATION DSE'!$G$6:$U$6)</f>
        <v>0</v>
      </c>
      <c r="J64" s="39">
        <f>+COUNTIFS(SALES!$S$2:$S$171,'CALCULATION DSE'!$C$8:$C$80,SALES!$N$2:$N$171,'CALCULATION DSE'!$G$6:$U$6)</f>
        <v>0</v>
      </c>
      <c r="K64" s="39">
        <f>+COUNTIFS(SALES!$S$2:$S$171,'CALCULATION DSE'!$C$8:$C$80,SALES!$N$2:$N$171,'CALCULATION DSE'!$G$6:$U$6)</f>
        <v>0</v>
      </c>
      <c r="L64" s="39">
        <f>+COUNTIFS(SALES!$S$2:$S$171,'CALCULATION DSE'!$C$8:$C$80,SALES!$N$2:$N$171,'CALCULATION DSE'!$G$6:$U$6)</f>
        <v>0</v>
      </c>
      <c r="M64" s="39">
        <f>+COUNTIFS(SALES!$S$2:$S$171,'CALCULATION DSE'!$C$8:$C$80,SALES!$N$2:$N$171,'CALCULATION DSE'!$G$6:$U$6)</f>
        <v>0</v>
      </c>
      <c r="N64" s="39">
        <f>+COUNTIFS(SALES!$S$2:$S$171,'CALCULATION DSE'!$C$8:$C$80,SALES!$N$2:$N$171,'CALCULATION DSE'!$G$6:$U$6)</f>
        <v>0</v>
      </c>
      <c r="O64" s="39">
        <f>+COUNTIFS(SALES!$S$2:$S$171,'CALCULATION DSE'!$C$8:$C$80,SALES!$N$2:$N$171,'CALCULATION DSE'!$G$6:$U$6)</f>
        <v>0</v>
      </c>
      <c r="P64" s="39">
        <f>+COUNTIFS(SALES!$S$2:$S$171,'CALCULATION DSE'!$C$8:$C$80,SALES!$N$2:$N$171,'CALCULATION DSE'!$G$6:$U$6)</f>
        <v>0</v>
      </c>
      <c r="Q64" s="39">
        <f>+COUNTIFS(SALES!$S$2:$S$171,'CALCULATION DSE'!$C$8:$C$80,SALES!$N$2:$N$171,'CALCULATION DSE'!$G$6:$U$6)</f>
        <v>0</v>
      </c>
      <c r="R64" s="39">
        <f>+COUNTIFS(SALES!$S$2:$S$171,'CALCULATION DSE'!$C$8:$C$80,SALES!$N$2:$N$171,'CALCULATION DSE'!$G$6:$U$6)</f>
        <v>1</v>
      </c>
      <c r="S64" s="39">
        <f>+COUNTIFS(SALES!$S$2:$S$171,'CALCULATION DSE'!$C$8:$C$80,SALES!$N$2:$N$171,'CALCULATION DSE'!$G$6:$U$6)</f>
        <v>0</v>
      </c>
      <c r="T64" s="39">
        <f>+COUNTIFS(SALES!$S$2:$S$171,'CALCULATION DSE'!$C$8:$C$80,SALES!$N$2:$N$171,'CALCULATION DSE'!$G$6:$U$6)</f>
        <v>0</v>
      </c>
      <c r="U64" s="39">
        <f>+COUNTIFS(SALES!$S$2:$S$171,'CALCULATION DSE'!$C$8:$C$80,SALES!$N$2:$N$171,'CALCULATION DSE'!$G$6:$U$6)</f>
        <v>0</v>
      </c>
      <c r="V64" s="36">
        <f t="shared" si="86"/>
        <v>1</v>
      </c>
      <c r="W64" s="36">
        <f t="shared" si="87"/>
        <v>0</v>
      </c>
      <c r="X64" s="79">
        <f t="shared" si="88"/>
        <v>1</v>
      </c>
      <c r="Y64" s="79">
        <f t="shared" si="89"/>
        <v>0</v>
      </c>
      <c r="Z64" s="79">
        <f t="shared" si="90"/>
        <v>0</v>
      </c>
      <c r="AA64" s="79" t="str">
        <f>+VLOOKUP(C64,'EMP STATUS'!$D$3:$J$77,7,0)</f>
        <v>OLD</v>
      </c>
      <c r="AB64" s="72" t="str">
        <f t="shared" si="91"/>
        <v>YES</v>
      </c>
      <c r="AC64" s="72" t="str">
        <f t="shared" si="92"/>
        <v>NO</v>
      </c>
      <c r="AD64" s="64">
        <f t="shared" si="93"/>
        <v>0</v>
      </c>
      <c r="AE64" s="64">
        <f t="shared" si="94"/>
        <v>0</v>
      </c>
      <c r="AF64" s="64">
        <f t="shared" si="95"/>
        <v>0</v>
      </c>
      <c r="AG64" s="71">
        <f t="shared" si="96"/>
        <v>0</v>
      </c>
      <c r="AH64" s="68">
        <v>0</v>
      </c>
      <c r="AI64" s="68">
        <f t="shared" si="97"/>
        <v>0</v>
      </c>
      <c r="AJ64" s="64">
        <f t="shared" si="98"/>
        <v>0</v>
      </c>
      <c r="AK64" s="66">
        <f>+VLOOKUP(C64,'DSE WISE MGA SALE '!$B$5:$G$116,6,0)</f>
        <v>20569.178082191782</v>
      </c>
      <c r="AL64" s="67">
        <f t="shared" si="99"/>
        <v>20569.178082191782</v>
      </c>
      <c r="AM64" s="67">
        <f t="shared" si="100"/>
        <v>0</v>
      </c>
      <c r="AN64" s="70">
        <f>+COUNTIFS(SALES!$S$2:$S$171,'CALCULATION DSE'!$C$7:$C$80,SALES!$AH$2:$AH$171,"&gt;0")</f>
        <v>0</v>
      </c>
      <c r="AO64" s="68">
        <f t="shared" si="101"/>
        <v>0</v>
      </c>
      <c r="AP64" s="69">
        <f>+COUNTIFS(SALES!$S$2:$S$171,'CALCULATION DSE'!$C$8:$C$80,SALES!$BH$2:$BH$171,"MSSF")</f>
        <v>1</v>
      </c>
      <c r="AQ64" s="69">
        <f t="shared" si="102"/>
        <v>0</v>
      </c>
      <c r="AR64" s="98">
        <f t="shared" si="103"/>
        <v>1</v>
      </c>
      <c r="AS64" s="68">
        <f t="shared" si="104"/>
        <v>0</v>
      </c>
      <c r="AT64" s="68">
        <f t="shared" si="105"/>
        <v>0</v>
      </c>
      <c r="AU64" s="39">
        <f>+COUNTIFS(SALES!$S$2:$S$171,'CALCULATION DSE'!$C$8:$C$80,SALES!$Y$2:$Y$171,"&gt;0")</f>
        <v>1</v>
      </c>
      <c r="AV64" s="39">
        <f t="shared" si="106"/>
        <v>0</v>
      </c>
      <c r="AW64" s="65">
        <f t="shared" si="107"/>
        <v>1</v>
      </c>
      <c r="AX64" s="67">
        <f t="shared" si="108"/>
        <v>0</v>
      </c>
      <c r="AY64" s="67">
        <f t="shared" si="109"/>
        <v>0</v>
      </c>
      <c r="AZ64" s="39">
        <f>+COUNTIFS(SALES!$S$2:$S$171,'CALCULATION DSE'!$C$8:$C$80,SALES!$AC$2:$AC$171,"&gt;0")</f>
        <v>0</v>
      </c>
      <c r="BA64" s="39">
        <f t="shared" si="110"/>
        <v>1</v>
      </c>
      <c r="BB64" s="65">
        <f t="shared" si="111"/>
        <v>0</v>
      </c>
      <c r="BC64" s="66">
        <f t="shared" si="112"/>
        <v>0</v>
      </c>
      <c r="BD64" s="66">
        <f t="shared" si="113"/>
        <v>0</v>
      </c>
      <c r="BE64" s="99">
        <f>+COUNTIFS(SALES!$S$2:$S$171,'CALCULATION DSE'!$C$8:$C$80,SALES!$CA$2:$CA$171,"YES")</f>
        <v>0</v>
      </c>
      <c r="BF64" s="66">
        <f t="shared" si="114"/>
        <v>0</v>
      </c>
      <c r="BG64" s="37">
        <f>+SUMIFS(SALES!$BA$2:$BA$171,SALES!$S$2:$S$171,'CALCULATION DSE'!$C$8:$C$80)</f>
        <v>0</v>
      </c>
      <c r="BH64" s="37">
        <f t="shared" si="115"/>
        <v>0</v>
      </c>
      <c r="BI64" s="65">
        <f t="shared" si="116"/>
        <v>1.5</v>
      </c>
      <c r="BJ64" s="64">
        <f t="shared" si="117"/>
        <v>0</v>
      </c>
      <c r="BK64" s="64">
        <f t="shared" si="118"/>
        <v>0</v>
      </c>
      <c r="BL64" s="64">
        <v>0</v>
      </c>
      <c r="BM64" s="64">
        <f t="shared" si="119"/>
        <v>0</v>
      </c>
      <c r="BN64" s="37">
        <f t="shared" si="120"/>
        <v>0</v>
      </c>
      <c r="BO64" s="38">
        <f t="shared" si="121"/>
        <v>0</v>
      </c>
      <c r="BP64" s="64">
        <f t="shared" si="122"/>
        <v>0</v>
      </c>
      <c r="BQ64" s="64">
        <f t="shared" si="123"/>
        <v>0</v>
      </c>
      <c r="BR64" s="64">
        <f t="shared" si="128"/>
        <v>0</v>
      </c>
      <c r="BS64" s="64">
        <f t="shared" si="124"/>
        <v>0</v>
      </c>
      <c r="BT64" s="64">
        <f t="shared" si="125"/>
        <v>0</v>
      </c>
      <c r="BU64" s="64">
        <f t="shared" si="126"/>
        <v>0</v>
      </c>
      <c r="BV64" s="63">
        <f t="shared" si="127"/>
        <v>0</v>
      </c>
      <c r="CB64" s="50"/>
      <c r="CC64" s="50"/>
      <c r="CD64" s="62"/>
      <c r="CF64" s="46"/>
    </row>
    <row r="65" spans="1:84" customFormat="1" hidden="1" x14ac:dyDescent="0.3">
      <c r="A65" s="74" t="s">
        <v>3087</v>
      </c>
      <c r="B65" s="40" t="s">
        <v>2299</v>
      </c>
      <c r="C65" s="40" t="s">
        <v>2354</v>
      </c>
      <c r="D65" s="40" t="s">
        <v>2299</v>
      </c>
      <c r="E65" s="73" t="s">
        <v>2875</v>
      </c>
      <c r="F65" s="79" t="str">
        <f>+VLOOKUP(C65,'EMP STATUS'!$D$3:$K$77,8,0)</f>
        <v>1779</v>
      </c>
      <c r="G65" s="39">
        <f>+COUNTIFS(SALES!$S$2:$S$171,'CALCULATION DSE'!$C$8:$C$80,SALES!$N$2:$N$171,'CALCULATION DSE'!$G$6:$U$6)</f>
        <v>0</v>
      </c>
      <c r="H65" s="39">
        <f>+COUNTIFS(SALES!$S$2:$S$171,'CALCULATION DSE'!$C$8:$C$80,SALES!$N$2:$N$171,'CALCULATION DSE'!$G$6:$U$6)</f>
        <v>0</v>
      </c>
      <c r="I65" s="39">
        <f>+COUNTIFS(SALES!$S$2:$S$171,'CALCULATION DSE'!$C$8:$C$80,SALES!$N$2:$N$171,'CALCULATION DSE'!$G$6:$U$6)</f>
        <v>0</v>
      </c>
      <c r="J65" s="39">
        <f>+COUNTIFS(SALES!$S$2:$S$171,'CALCULATION DSE'!$C$8:$C$80,SALES!$N$2:$N$171,'CALCULATION DSE'!$G$6:$U$6)</f>
        <v>0</v>
      </c>
      <c r="K65" s="39">
        <f>+COUNTIFS(SALES!$S$2:$S$171,'CALCULATION DSE'!$C$8:$C$80,SALES!$N$2:$N$171,'CALCULATION DSE'!$G$6:$U$6)</f>
        <v>0</v>
      </c>
      <c r="L65" s="39">
        <f>+COUNTIFS(SALES!$S$2:$S$171,'CALCULATION DSE'!$C$8:$C$80,SALES!$N$2:$N$171,'CALCULATION DSE'!$G$6:$U$6)</f>
        <v>0</v>
      </c>
      <c r="M65" s="39">
        <f>+COUNTIFS(SALES!$S$2:$S$171,'CALCULATION DSE'!$C$8:$C$80,SALES!$N$2:$N$171,'CALCULATION DSE'!$G$6:$U$6)</f>
        <v>0</v>
      </c>
      <c r="N65" s="39">
        <f>+COUNTIFS(SALES!$S$2:$S$171,'CALCULATION DSE'!$C$8:$C$80,SALES!$N$2:$N$171,'CALCULATION DSE'!$G$6:$U$6)</f>
        <v>0</v>
      </c>
      <c r="O65" s="39">
        <f>+COUNTIFS(SALES!$S$2:$S$171,'CALCULATION DSE'!$C$8:$C$80,SALES!$N$2:$N$171,'CALCULATION DSE'!$G$6:$U$6)</f>
        <v>0</v>
      </c>
      <c r="P65" s="39">
        <f>+COUNTIFS(SALES!$S$2:$S$171,'CALCULATION DSE'!$C$8:$C$80,SALES!$N$2:$N$171,'CALCULATION DSE'!$G$6:$U$6)</f>
        <v>0</v>
      </c>
      <c r="Q65" s="39">
        <f>+COUNTIFS(SALES!$S$2:$S$171,'CALCULATION DSE'!$C$8:$C$80,SALES!$N$2:$N$171,'CALCULATION DSE'!$G$6:$U$6)</f>
        <v>1</v>
      </c>
      <c r="R65" s="39">
        <f>+COUNTIFS(SALES!$S$2:$S$171,'CALCULATION DSE'!$C$8:$C$80,SALES!$N$2:$N$171,'CALCULATION DSE'!$G$6:$U$6)</f>
        <v>1</v>
      </c>
      <c r="S65" s="39">
        <f>+COUNTIFS(SALES!$S$2:$S$171,'CALCULATION DSE'!$C$8:$C$80,SALES!$N$2:$N$171,'CALCULATION DSE'!$G$6:$U$6)</f>
        <v>0</v>
      </c>
      <c r="T65" s="39">
        <f>+COUNTIFS(SALES!$S$2:$S$171,'CALCULATION DSE'!$C$8:$C$80,SALES!$N$2:$N$171,'CALCULATION DSE'!$G$6:$U$6)</f>
        <v>0</v>
      </c>
      <c r="U65" s="39">
        <f>+COUNTIFS(SALES!$S$2:$S$171,'CALCULATION DSE'!$C$8:$C$80,SALES!$N$2:$N$171,'CALCULATION DSE'!$G$6:$U$6)</f>
        <v>0</v>
      </c>
      <c r="V65" s="36">
        <f t="shared" si="86"/>
        <v>2</v>
      </c>
      <c r="W65" s="36">
        <f t="shared" si="87"/>
        <v>1</v>
      </c>
      <c r="X65" s="79">
        <f t="shared" si="88"/>
        <v>1</v>
      </c>
      <c r="Y65" s="79">
        <f t="shared" si="89"/>
        <v>0</v>
      </c>
      <c r="Z65" s="79">
        <f t="shared" si="90"/>
        <v>0</v>
      </c>
      <c r="AA65" s="79" t="str">
        <f>+VLOOKUP(C65,'EMP STATUS'!$D$3:$J$77,7,0)</f>
        <v>OLD</v>
      </c>
      <c r="AB65" s="72" t="str">
        <f t="shared" si="91"/>
        <v>YES</v>
      </c>
      <c r="AC65" s="72" t="str">
        <f t="shared" si="92"/>
        <v>NO</v>
      </c>
      <c r="AD65" s="64">
        <f t="shared" si="93"/>
        <v>0</v>
      </c>
      <c r="AE65" s="64">
        <f t="shared" si="94"/>
        <v>0</v>
      </c>
      <c r="AF65" s="64">
        <f t="shared" si="95"/>
        <v>0</v>
      </c>
      <c r="AG65" s="71">
        <f t="shared" si="96"/>
        <v>0</v>
      </c>
      <c r="AH65" s="68">
        <v>0</v>
      </c>
      <c r="AI65" s="68">
        <f t="shared" si="97"/>
        <v>0</v>
      </c>
      <c r="AJ65" s="64">
        <f t="shared" si="98"/>
        <v>0</v>
      </c>
      <c r="AK65" s="66">
        <f>+VLOOKUP(C65,'DSE WISE MGA SALE '!$B$5:$G$116,6,0)</f>
        <v>49652.739726027401</v>
      </c>
      <c r="AL65" s="67">
        <f t="shared" si="99"/>
        <v>24826.369863013701</v>
      </c>
      <c r="AM65" s="67">
        <f t="shared" si="100"/>
        <v>2234.3732876712329</v>
      </c>
      <c r="AN65" s="70">
        <f>+COUNTIFS(SALES!$S$2:$S$171,'CALCULATION DSE'!$C$7:$C$80,SALES!$AH$2:$AH$171,"&gt;0")</f>
        <v>1</v>
      </c>
      <c r="AO65" s="68">
        <f t="shared" si="101"/>
        <v>400</v>
      </c>
      <c r="AP65" s="69">
        <f>+COUNTIFS(SALES!$S$2:$S$171,'CALCULATION DSE'!$C$8:$C$80,SALES!$BH$2:$BH$171,"MSSF")</f>
        <v>2</v>
      </c>
      <c r="AQ65" s="69">
        <f t="shared" si="102"/>
        <v>0</v>
      </c>
      <c r="AR65" s="98">
        <f t="shared" si="103"/>
        <v>1</v>
      </c>
      <c r="AS65" s="68">
        <f t="shared" si="104"/>
        <v>500</v>
      </c>
      <c r="AT65" s="68">
        <f t="shared" si="105"/>
        <v>0</v>
      </c>
      <c r="AU65" s="39">
        <f>+COUNTIFS(SALES!$S$2:$S$171,'CALCULATION DSE'!$C$8:$C$80,SALES!$Y$2:$Y$171,"&gt;0")</f>
        <v>2</v>
      </c>
      <c r="AV65" s="39">
        <f t="shared" si="106"/>
        <v>0</v>
      </c>
      <c r="AW65" s="65">
        <f t="shared" si="107"/>
        <v>1</v>
      </c>
      <c r="AX65" s="67">
        <f t="shared" si="108"/>
        <v>2000</v>
      </c>
      <c r="AY65" s="67">
        <f t="shared" si="109"/>
        <v>0</v>
      </c>
      <c r="AZ65" s="39">
        <f>+COUNTIFS(SALES!$S$2:$S$171,'CALCULATION DSE'!$C$8:$C$80,SALES!$AC$2:$AC$171,"&gt;0")</f>
        <v>1</v>
      </c>
      <c r="BA65" s="39">
        <f t="shared" si="110"/>
        <v>1</v>
      </c>
      <c r="BB65" s="65">
        <f t="shared" si="111"/>
        <v>0.5</v>
      </c>
      <c r="BC65" s="66">
        <f t="shared" si="112"/>
        <v>0</v>
      </c>
      <c r="BD65" s="66">
        <f t="shared" si="113"/>
        <v>0</v>
      </c>
      <c r="BE65" s="99">
        <f>+COUNTIFS(SALES!$S$2:$S$171,'CALCULATION DSE'!$C$8:$C$80,SALES!$CA$2:$CA$171,"YES")</f>
        <v>0</v>
      </c>
      <c r="BF65" s="66">
        <f t="shared" si="114"/>
        <v>0</v>
      </c>
      <c r="BG65" s="37">
        <f>+SUMIFS(SALES!$BA$2:$BA$171,SALES!$S$2:$S$171,'CALCULATION DSE'!$C$8:$C$80)</f>
        <v>2300</v>
      </c>
      <c r="BH65" s="37">
        <f t="shared" si="115"/>
        <v>1150</v>
      </c>
      <c r="BI65" s="65">
        <f t="shared" si="116"/>
        <v>1.3</v>
      </c>
      <c r="BJ65" s="64">
        <f t="shared" si="117"/>
        <v>0</v>
      </c>
      <c r="BK65" s="64">
        <f t="shared" si="118"/>
        <v>5134.3732876712329</v>
      </c>
      <c r="BL65" s="64">
        <v>0</v>
      </c>
      <c r="BM65" s="64">
        <f t="shared" si="119"/>
        <v>0</v>
      </c>
      <c r="BN65" s="37">
        <f t="shared" si="120"/>
        <v>5134.3732876712329</v>
      </c>
      <c r="BO65" s="38">
        <f t="shared" si="121"/>
        <v>0</v>
      </c>
      <c r="BP65" s="64">
        <f t="shared" si="122"/>
        <v>0</v>
      </c>
      <c r="BQ65" s="64">
        <f t="shared" si="123"/>
        <v>0</v>
      </c>
      <c r="BR65" s="64">
        <f t="shared" si="128"/>
        <v>0</v>
      </c>
      <c r="BS65" s="64">
        <f t="shared" si="124"/>
        <v>0</v>
      </c>
      <c r="BT65" s="64">
        <f t="shared" si="125"/>
        <v>0</v>
      </c>
      <c r="BU65" s="64">
        <f t="shared" si="126"/>
        <v>0</v>
      </c>
      <c r="BV65" s="63">
        <f t="shared" si="127"/>
        <v>5134.3732876712329</v>
      </c>
      <c r="CB65" s="50"/>
      <c r="CC65" s="50"/>
      <c r="CD65" s="62"/>
      <c r="CF65" s="46"/>
    </row>
    <row r="66" spans="1:84" hidden="1" x14ac:dyDescent="0.3">
      <c r="A66" s="72" t="s">
        <v>1893</v>
      </c>
      <c r="B66" s="145" t="s">
        <v>2539</v>
      </c>
      <c r="C66" s="145" t="s">
        <v>2431</v>
      </c>
      <c r="D66" s="145" t="s">
        <v>2432</v>
      </c>
      <c r="E66" s="145" t="s">
        <v>1844</v>
      </c>
      <c r="F66" s="79" t="str">
        <f>+VLOOKUP(C66,'EMP STATUS'!$D$3:$K$77,8,0)</f>
        <v>MHS09</v>
      </c>
      <c r="G66" s="72">
        <f>+COUNTIFS(SALES!$S$2:$S$171,'CALCULATION DSE'!$C$8:$C$80,SALES!$N$2:$N$171,'CALCULATION DSE'!$G$6:$U$6)</f>
        <v>0</v>
      </c>
      <c r="H66" s="72">
        <f>+COUNTIFS(SALES!$S$2:$S$171,'CALCULATION DSE'!$C$8:$C$80,SALES!$N$2:$N$171,'CALCULATION DSE'!$G$6:$U$6)</f>
        <v>0</v>
      </c>
      <c r="I66" s="72">
        <f>+COUNTIFS(SALES!$S$2:$S$171,'CALCULATION DSE'!$C$8:$C$80,SALES!$N$2:$N$171,'CALCULATION DSE'!$G$6:$U$6)</f>
        <v>0</v>
      </c>
      <c r="J66" s="72">
        <f>+COUNTIFS(SALES!$S$2:$S$171,'CALCULATION DSE'!$C$8:$C$80,SALES!$N$2:$N$171,'CALCULATION DSE'!$G$6:$U$6)</f>
        <v>0</v>
      </c>
      <c r="K66" s="72">
        <f>+COUNTIFS(SALES!$S$2:$S$171,'CALCULATION DSE'!$C$8:$C$80,SALES!$N$2:$N$171,'CALCULATION DSE'!$G$6:$U$6)</f>
        <v>0</v>
      </c>
      <c r="L66" s="72">
        <f>+COUNTIFS(SALES!$S$2:$S$171,'CALCULATION DSE'!$C$8:$C$80,SALES!$N$2:$N$171,'CALCULATION DSE'!$G$6:$U$6)</f>
        <v>0</v>
      </c>
      <c r="M66" s="72">
        <f>+COUNTIFS(SALES!$S$2:$S$171,'CALCULATION DSE'!$C$8:$C$80,SALES!$N$2:$N$171,'CALCULATION DSE'!$G$6:$U$6)</f>
        <v>1</v>
      </c>
      <c r="N66" s="72">
        <f>+COUNTIFS(SALES!$S$2:$S$171,'CALCULATION DSE'!$C$8:$C$80,SALES!$N$2:$N$171,'CALCULATION DSE'!$G$6:$U$6)</f>
        <v>0</v>
      </c>
      <c r="O66" s="72">
        <f>+COUNTIFS(SALES!$S$2:$S$171,'CALCULATION DSE'!$C$8:$C$80,SALES!$N$2:$N$171,'CALCULATION DSE'!$G$6:$U$6)</f>
        <v>0</v>
      </c>
      <c r="P66" s="72">
        <f>+COUNTIFS(SALES!$S$2:$S$171,'CALCULATION DSE'!$C$8:$C$80,SALES!$N$2:$N$171,'CALCULATION DSE'!$G$6:$U$6)</f>
        <v>0</v>
      </c>
      <c r="Q66" s="72">
        <f>+COUNTIFS(SALES!$S$2:$S$171,'CALCULATION DSE'!$C$8:$C$80,SALES!$N$2:$N$171,'CALCULATION DSE'!$G$6:$U$6)</f>
        <v>2</v>
      </c>
      <c r="R66" s="72">
        <f>+COUNTIFS(SALES!$S$2:$S$171,'CALCULATION DSE'!$C$8:$C$80,SALES!$N$2:$N$171,'CALCULATION DSE'!$G$6:$U$6)</f>
        <v>1</v>
      </c>
      <c r="S66" s="72">
        <f>+COUNTIFS(SALES!$S$2:$S$171,'CALCULATION DSE'!$C$8:$C$80,SALES!$N$2:$N$171,'CALCULATION DSE'!$G$6:$U$6)</f>
        <v>0</v>
      </c>
      <c r="T66" s="72">
        <f>+COUNTIFS(SALES!$S$2:$S$171,'CALCULATION DSE'!$C$8:$C$80,SALES!$N$2:$N$171,'CALCULATION DSE'!$G$6:$U$6)</f>
        <v>0</v>
      </c>
      <c r="U66" s="72">
        <f>+COUNTIFS(SALES!$S$2:$S$171,'CALCULATION DSE'!$C$8:$C$80,SALES!$N$2:$N$171,'CALCULATION DSE'!$G$6:$U$6)</f>
        <v>0</v>
      </c>
      <c r="V66" s="146">
        <f t="shared" si="86"/>
        <v>4</v>
      </c>
      <c r="W66" s="146">
        <f t="shared" si="87"/>
        <v>3</v>
      </c>
      <c r="X66" s="79">
        <f t="shared" si="88"/>
        <v>1</v>
      </c>
      <c r="Y66" s="79">
        <f t="shared" si="89"/>
        <v>0</v>
      </c>
      <c r="Z66" s="79">
        <f t="shared" si="90"/>
        <v>1</v>
      </c>
      <c r="AA66" s="79" t="str">
        <f>+VLOOKUP(C66,'EMP STATUS'!$D$3:$J$77,7,0)</f>
        <v>OLD</v>
      </c>
      <c r="AB66" s="72" t="str">
        <f t="shared" si="91"/>
        <v>YES</v>
      </c>
      <c r="AC66" s="72" t="str">
        <f t="shared" si="92"/>
        <v>YES</v>
      </c>
      <c r="AD66" s="147">
        <f t="shared" si="93"/>
        <v>0</v>
      </c>
      <c r="AE66" s="147">
        <f t="shared" si="94"/>
        <v>4500</v>
      </c>
      <c r="AF66" s="147">
        <f t="shared" si="95"/>
        <v>500</v>
      </c>
      <c r="AG66" s="148">
        <f t="shared" si="96"/>
        <v>5000</v>
      </c>
      <c r="AH66" s="149">
        <v>0</v>
      </c>
      <c r="AI66" s="149">
        <f t="shared" si="97"/>
        <v>0</v>
      </c>
      <c r="AJ66" s="147">
        <f t="shared" si="98"/>
        <v>0</v>
      </c>
      <c r="AK66" s="99">
        <f>+VLOOKUP(C66,'DSE WISE MGA SALE '!$B$5:$G$116,6,0)</f>
        <v>93165.068493150684</v>
      </c>
      <c r="AL66" s="99">
        <f t="shared" si="99"/>
        <v>23291.267123287671</v>
      </c>
      <c r="AM66" s="99">
        <f t="shared" si="100"/>
        <v>4192.428082191781</v>
      </c>
      <c r="AN66" s="150">
        <f>+COUNTIFS(SALES!$S$2:$S$171,'CALCULATION DSE'!$C$7:$C$80,SALES!$AH$2:$AH$171,"&gt;0")</f>
        <v>1</v>
      </c>
      <c r="AO66" s="149">
        <f t="shared" si="101"/>
        <v>400</v>
      </c>
      <c r="AP66" s="151">
        <f>+COUNTIFS(SALES!$S$2:$S$171,'CALCULATION DSE'!$C$8:$C$80,SALES!$BH$2:$BH$171,"MSSF")</f>
        <v>4</v>
      </c>
      <c r="AQ66" s="151">
        <f t="shared" si="102"/>
        <v>0</v>
      </c>
      <c r="AR66" s="152">
        <f t="shared" si="103"/>
        <v>1</v>
      </c>
      <c r="AS66" s="149">
        <f t="shared" si="104"/>
        <v>1000</v>
      </c>
      <c r="AT66" s="149">
        <f t="shared" si="105"/>
        <v>0</v>
      </c>
      <c r="AU66" s="72">
        <f>+COUNTIFS(SALES!$S$2:$S$171,'CALCULATION DSE'!$C$8:$C$80,SALES!$Y$2:$Y$171,"&gt;0")</f>
        <v>1</v>
      </c>
      <c r="AV66" s="72">
        <f t="shared" si="106"/>
        <v>3</v>
      </c>
      <c r="AW66" s="153">
        <f t="shared" si="107"/>
        <v>0.25</v>
      </c>
      <c r="AX66" s="99">
        <f t="shared" si="108"/>
        <v>0</v>
      </c>
      <c r="AY66" s="99">
        <f t="shared" si="109"/>
        <v>1200</v>
      </c>
      <c r="AZ66" s="72">
        <f>+COUNTIFS(SALES!$S$2:$S$171,'CALCULATION DSE'!$C$8:$C$80,SALES!$AC$2:$AC$171,"&gt;0")</f>
        <v>0</v>
      </c>
      <c r="BA66" s="72">
        <f t="shared" si="110"/>
        <v>4</v>
      </c>
      <c r="BB66" s="153">
        <f t="shared" si="111"/>
        <v>0</v>
      </c>
      <c r="BC66" s="99">
        <f t="shared" si="112"/>
        <v>0</v>
      </c>
      <c r="BD66" s="99">
        <f t="shared" si="113"/>
        <v>1000</v>
      </c>
      <c r="BE66" s="99">
        <f>+COUNTIFS(SALES!$S$2:$S$171,'CALCULATION DSE'!$C$8:$C$80,SALES!$CA$2:$CA$171,"YES")</f>
        <v>0</v>
      </c>
      <c r="BF66" s="99">
        <f t="shared" si="114"/>
        <v>0</v>
      </c>
      <c r="BG66" s="148">
        <f>+SUMIFS(SALES!$BA$2:$BA$171,SALES!$S$2:$S$171,'CALCULATION DSE'!$C$8:$C$80)</f>
        <v>39034</v>
      </c>
      <c r="BH66" s="148">
        <f t="shared" si="115"/>
        <v>9758.5</v>
      </c>
      <c r="BI66" s="153">
        <f t="shared" si="116"/>
        <v>0.6</v>
      </c>
      <c r="BJ66" s="147">
        <f t="shared" si="117"/>
        <v>3000</v>
      </c>
      <c r="BK66" s="147">
        <f t="shared" si="118"/>
        <v>6392.4280821917819</v>
      </c>
      <c r="BL66" s="147">
        <v>0</v>
      </c>
      <c r="BM66" s="147">
        <f t="shared" si="119"/>
        <v>0</v>
      </c>
      <c r="BN66" s="148">
        <f t="shared" si="120"/>
        <v>6392.4280821917819</v>
      </c>
      <c r="BO66" s="99">
        <f t="shared" si="121"/>
        <v>0</v>
      </c>
      <c r="BP66" s="147">
        <f t="shared" si="122"/>
        <v>0</v>
      </c>
      <c r="BQ66" s="147">
        <f t="shared" si="123"/>
        <v>0</v>
      </c>
      <c r="BR66" s="147">
        <f t="shared" si="128"/>
        <v>0</v>
      </c>
      <c r="BS66" s="147">
        <f t="shared" si="124"/>
        <v>0</v>
      </c>
      <c r="BT66" s="147">
        <f t="shared" si="125"/>
        <v>1</v>
      </c>
      <c r="BU66" s="147">
        <f t="shared" si="126"/>
        <v>1000</v>
      </c>
      <c r="BV66" s="154">
        <f t="shared" si="127"/>
        <v>7392.4280821917819</v>
      </c>
      <c r="CB66" s="155"/>
      <c r="CC66" s="155"/>
      <c r="CD66" s="156"/>
      <c r="CF66" s="157"/>
    </row>
    <row r="67" spans="1:84" customFormat="1" hidden="1" x14ac:dyDescent="0.3">
      <c r="A67" s="74" t="s">
        <v>381</v>
      </c>
      <c r="B67" s="40" t="s">
        <v>2351</v>
      </c>
      <c r="C67" s="40" t="s">
        <v>2311</v>
      </c>
      <c r="D67" s="40" t="s">
        <v>2312</v>
      </c>
      <c r="E67" s="73" t="s">
        <v>393</v>
      </c>
      <c r="F67" s="79" t="str">
        <f>+VLOOKUP(C67,'EMP STATUS'!$D$3:$K$77,8,0)</f>
        <v>BAR0025</v>
      </c>
      <c r="G67" s="39">
        <f>+COUNTIFS(SALES!$S$2:$S$171,'CALCULATION DSE'!$C$8:$C$80,SALES!$N$2:$N$171,'CALCULATION DSE'!$G$6:$U$6)</f>
        <v>0</v>
      </c>
      <c r="H67" s="39">
        <f>+COUNTIFS(SALES!$S$2:$S$171,'CALCULATION DSE'!$C$8:$C$80,SALES!$N$2:$N$171,'CALCULATION DSE'!$G$6:$U$6)</f>
        <v>0</v>
      </c>
      <c r="I67" s="39">
        <f>+COUNTIFS(SALES!$S$2:$S$171,'CALCULATION DSE'!$C$8:$C$80,SALES!$N$2:$N$171,'CALCULATION DSE'!$G$6:$U$6)</f>
        <v>0</v>
      </c>
      <c r="J67" s="39">
        <f>+COUNTIFS(SALES!$S$2:$S$171,'CALCULATION DSE'!$C$8:$C$80,SALES!$N$2:$N$171,'CALCULATION DSE'!$G$6:$U$6)</f>
        <v>0</v>
      </c>
      <c r="K67" s="39">
        <f>+COUNTIFS(SALES!$S$2:$S$171,'CALCULATION DSE'!$C$8:$C$80,SALES!$N$2:$N$171,'CALCULATION DSE'!$G$6:$U$6)</f>
        <v>0</v>
      </c>
      <c r="L67" s="39">
        <f>+COUNTIFS(SALES!$S$2:$S$171,'CALCULATION DSE'!$C$8:$C$80,SALES!$N$2:$N$171,'CALCULATION DSE'!$G$6:$U$6)</f>
        <v>0</v>
      </c>
      <c r="M67" s="39">
        <f>+COUNTIFS(SALES!$S$2:$S$171,'CALCULATION DSE'!$C$8:$C$80,SALES!$N$2:$N$171,'CALCULATION DSE'!$G$6:$U$6)</f>
        <v>0</v>
      </c>
      <c r="N67" s="39">
        <f>+COUNTIFS(SALES!$S$2:$S$171,'CALCULATION DSE'!$C$8:$C$80,SALES!$N$2:$N$171,'CALCULATION DSE'!$G$6:$U$6)</f>
        <v>0</v>
      </c>
      <c r="O67" s="39">
        <f>+COUNTIFS(SALES!$S$2:$S$171,'CALCULATION DSE'!$C$8:$C$80,SALES!$N$2:$N$171,'CALCULATION DSE'!$G$6:$U$6)</f>
        <v>0</v>
      </c>
      <c r="P67" s="39">
        <f>+COUNTIFS(SALES!$S$2:$S$171,'CALCULATION DSE'!$C$8:$C$80,SALES!$N$2:$N$171,'CALCULATION DSE'!$G$6:$U$6)</f>
        <v>0</v>
      </c>
      <c r="Q67" s="39">
        <f>+COUNTIFS(SALES!$S$2:$S$171,'CALCULATION DSE'!$C$8:$C$80,SALES!$N$2:$N$171,'CALCULATION DSE'!$G$6:$U$6)</f>
        <v>3</v>
      </c>
      <c r="R67" s="39">
        <f>+COUNTIFS(SALES!$S$2:$S$171,'CALCULATION DSE'!$C$8:$C$80,SALES!$N$2:$N$171,'CALCULATION DSE'!$G$6:$U$6)</f>
        <v>1</v>
      </c>
      <c r="S67" s="39">
        <f>+COUNTIFS(SALES!$S$2:$S$171,'CALCULATION DSE'!$C$8:$C$80,SALES!$N$2:$N$171,'CALCULATION DSE'!$G$6:$U$6)</f>
        <v>0</v>
      </c>
      <c r="T67" s="39">
        <f>+COUNTIFS(SALES!$S$2:$S$171,'CALCULATION DSE'!$C$8:$C$80,SALES!$N$2:$N$171,'CALCULATION DSE'!$G$6:$U$6)</f>
        <v>0</v>
      </c>
      <c r="U67" s="39">
        <f>+COUNTIFS(SALES!$S$2:$S$171,'CALCULATION DSE'!$C$8:$C$80,SALES!$N$2:$N$171,'CALCULATION DSE'!$G$6:$U$6)</f>
        <v>0</v>
      </c>
      <c r="V67" s="36">
        <f t="shared" si="86"/>
        <v>4</v>
      </c>
      <c r="W67" s="36">
        <f t="shared" si="87"/>
        <v>3</v>
      </c>
      <c r="X67" s="79">
        <f t="shared" si="88"/>
        <v>1</v>
      </c>
      <c r="Y67" s="79">
        <f t="shared" si="89"/>
        <v>0</v>
      </c>
      <c r="Z67" s="79">
        <f t="shared" si="90"/>
        <v>0</v>
      </c>
      <c r="AA67" s="79" t="str">
        <f>+VLOOKUP(C67,'EMP STATUS'!$D$3:$J$77,7,0)</f>
        <v>OLD</v>
      </c>
      <c r="AB67" s="72" t="str">
        <f t="shared" si="91"/>
        <v>YES</v>
      </c>
      <c r="AC67" s="72" t="str">
        <f t="shared" si="92"/>
        <v>NO</v>
      </c>
      <c r="AD67" s="64">
        <f t="shared" si="93"/>
        <v>0</v>
      </c>
      <c r="AE67" s="64">
        <f t="shared" si="94"/>
        <v>0</v>
      </c>
      <c r="AF67" s="64">
        <f t="shared" si="95"/>
        <v>0</v>
      </c>
      <c r="AG67" s="71">
        <f t="shared" si="96"/>
        <v>0</v>
      </c>
      <c r="AH67" s="68">
        <v>0</v>
      </c>
      <c r="AI67" s="68">
        <f t="shared" si="97"/>
        <v>0</v>
      </c>
      <c r="AJ67" s="64">
        <f t="shared" si="98"/>
        <v>0</v>
      </c>
      <c r="AK67" s="66">
        <f>+VLOOKUP(C67,'DSE WISE MGA SALE '!$B$5:$G$116,6,0)</f>
        <v>86485.61643835617</v>
      </c>
      <c r="AL67" s="67">
        <f t="shared" si="99"/>
        <v>21621.404109589042</v>
      </c>
      <c r="AM67" s="67">
        <f t="shared" si="100"/>
        <v>3459.4246575342468</v>
      </c>
      <c r="AN67" s="70">
        <f>+COUNTIFS(SALES!$S$2:$S$171,'CALCULATION DSE'!$C$7:$C$80,SALES!$AH$2:$AH$171,"&gt;0")</f>
        <v>0</v>
      </c>
      <c r="AO67" s="68">
        <f t="shared" si="101"/>
        <v>0</v>
      </c>
      <c r="AP67" s="69">
        <f>+COUNTIFS(SALES!$S$2:$S$171,'CALCULATION DSE'!$C$8:$C$80,SALES!$BH$2:$BH$171,"MSSF")</f>
        <v>3</v>
      </c>
      <c r="AQ67" s="69">
        <f t="shared" si="102"/>
        <v>1</v>
      </c>
      <c r="AR67" s="98">
        <f t="shared" si="103"/>
        <v>0.75</v>
      </c>
      <c r="AS67" s="68">
        <f t="shared" si="104"/>
        <v>750</v>
      </c>
      <c r="AT67" s="68">
        <f t="shared" si="105"/>
        <v>0</v>
      </c>
      <c r="AU67" s="39">
        <f>+COUNTIFS(SALES!$S$2:$S$171,'CALCULATION DSE'!$C$8:$C$80,SALES!$Y$2:$Y$171,"&gt;0")</f>
        <v>4</v>
      </c>
      <c r="AV67" s="39">
        <f t="shared" si="106"/>
        <v>0</v>
      </c>
      <c r="AW67" s="65">
        <f t="shared" si="107"/>
        <v>1</v>
      </c>
      <c r="AX67" s="67">
        <f t="shared" si="108"/>
        <v>4000</v>
      </c>
      <c r="AY67" s="67">
        <f t="shared" si="109"/>
        <v>0</v>
      </c>
      <c r="AZ67" s="39">
        <f>+COUNTIFS(SALES!$S$2:$S$171,'CALCULATION DSE'!$C$8:$C$80,SALES!$AC$2:$AC$171,"&gt;0")</f>
        <v>0</v>
      </c>
      <c r="BA67" s="39">
        <f t="shared" si="110"/>
        <v>4</v>
      </c>
      <c r="BB67" s="65">
        <f t="shared" si="111"/>
        <v>0</v>
      </c>
      <c r="BC67" s="66">
        <f t="shared" si="112"/>
        <v>0</v>
      </c>
      <c r="BD67" s="66">
        <f t="shared" si="113"/>
        <v>0</v>
      </c>
      <c r="BE67" s="99">
        <f>+COUNTIFS(SALES!$S$2:$S$171,'CALCULATION DSE'!$C$8:$C$80,SALES!$CA$2:$CA$171,"YES")</f>
        <v>0</v>
      </c>
      <c r="BF67" s="66">
        <f t="shared" si="114"/>
        <v>0</v>
      </c>
      <c r="BG67" s="37">
        <f>+SUMIFS(SALES!$BA$2:$BA$171,SALES!$S$2:$S$171,'CALCULATION DSE'!$C$8:$C$80)</f>
        <v>33906</v>
      </c>
      <c r="BH67" s="37">
        <f t="shared" si="115"/>
        <v>8476.5</v>
      </c>
      <c r="BI67" s="65">
        <f t="shared" si="116"/>
        <v>0.6</v>
      </c>
      <c r="BJ67" s="64">
        <f t="shared" si="117"/>
        <v>0</v>
      </c>
      <c r="BK67" s="64">
        <f t="shared" si="118"/>
        <v>8209.4246575342477</v>
      </c>
      <c r="BL67" s="64">
        <v>0</v>
      </c>
      <c r="BM67" s="64">
        <f t="shared" si="119"/>
        <v>0</v>
      </c>
      <c r="BN67" s="37">
        <f t="shared" si="120"/>
        <v>8209.4246575342477</v>
      </c>
      <c r="BO67" s="38">
        <f t="shared" si="121"/>
        <v>0</v>
      </c>
      <c r="BP67" s="64">
        <f t="shared" si="122"/>
        <v>0</v>
      </c>
      <c r="BQ67" s="64">
        <f t="shared" si="123"/>
        <v>0</v>
      </c>
      <c r="BR67" s="64">
        <f t="shared" si="128"/>
        <v>0</v>
      </c>
      <c r="BS67" s="64">
        <f t="shared" si="124"/>
        <v>0</v>
      </c>
      <c r="BT67" s="64">
        <f t="shared" si="125"/>
        <v>0</v>
      </c>
      <c r="BU67" s="64">
        <f t="shared" si="126"/>
        <v>0</v>
      </c>
      <c r="BV67" s="63">
        <f t="shared" si="127"/>
        <v>8209.4246575342477</v>
      </c>
      <c r="CB67" s="50"/>
      <c r="CC67" s="50"/>
      <c r="CD67" s="62"/>
      <c r="CF67" s="46"/>
    </row>
    <row r="68" spans="1:84" hidden="1" x14ac:dyDescent="0.3">
      <c r="A68" s="72" t="s">
        <v>440</v>
      </c>
      <c r="B68" s="145" t="s">
        <v>2351</v>
      </c>
      <c r="C68" s="145" t="s">
        <v>2378</v>
      </c>
      <c r="D68" s="145" t="s">
        <v>2312</v>
      </c>
      <c r="E68" s="145" t="s">
        <v>393</v>
      </c>
      <c r="F68" s="79" t="str">
        <f>+VLOOKUP(C68,'EMP STATUS'!$D$3:$K$77,8,0)</f>
        <v>R104</v>
      </c>
      <c r="G68" s="72">
        <f>+COUNTIFS(SALES!$S$2:$S$171,'CALCULATION DSE'!$C$8:$C$80,SALES!$N$2:$N$171,'CALCULATION DSE'!$G$6:$U$6)</f>
        <v>0</v>
      </c>
      <c r="H68" s="72">
        <f>+COUNTIFS(SALES!$S$2:$S$171,'CALCULATION DSE'!$C$8:$C$80,SALES!$N$2:$N$171,'CALCULATION DSE'!$G$6:$U$6)</f>
        <v>0</v>
      </c>
      <c r="I68" s="72">
        <f>+COUNTIFS(SALES!$S$2:$S$171,'CALCULATION DSE'!$C$8:$C$80,SALES!$N$2:$N$171,'CALCULATION DSE'!$G$6:$U$6)</f>
        <v>0</v>
      </c>
      <c r="J68" s="72">
        <f>+COUNTIFS(SALES!$S$2:$S$171,'CALCULATION DSE'!$C$8:$C$80,SALES!$N$2:$N$171,'CALCULATION DSE'!$G$6:$U$6)</f>
        <v>0</v>
      </c>
      <c r="K68" s="72">
        <f>+COUNTIFS(SALES!$S$2:$S$171,'CALCULATION DSE'!$C$8:$C$80,SALES!$N$2:$N$171,'CALCULATION DSE'!$G$6:$U$6)</f>
        <v>0</v>
      </c>
      <c r="L68" s="72">
        <f>+COUNTIFS(SALES!$S$2:$S$171,'CALCULATION DSE'!$C$8:$C$80,SALES!$N$2:$N$171,'CALCULATION DSE'!$G$6:$U$6)</f>
        <v>0</v>
      </c>
      <c r="M68" s="72">
        <f>+COUNTIFS(SALES!$S$2:$S$171,'CALCULATION DSE'!$C$8:$C$80,SALES!$N$2:$N$171,'CALCULATION DSE'!$G$6:$U$6)</f>
        <v>2</v>
      </c>
      <c r="N68" s="72">
        <f>+COUNTIFS(SALES!$S$2:$S$171,'CALCULATION DSE'!$C$8:$C$80,SALES!$N$2:$N$171,'CALCULATION DSE'!$G$6:$U$6)</f>
        <v>0</v>
      </c>
      <c r="O68" s="72">
        <f>+COUNTIFS(SALES!$S$2:$S$171,'CALCULATION DSE'!$C$8:$C$80,SALES!$N$2:$N$171,'CALCULATION DSE'!$G$6:$U$6)</f>
        <v>0</v>
      </c>
      <c r="P68" s="72">
        <f>+COUNTIFS(SALES!$S$2:$S$171,'CALCULATION DSE'!$C$8:$C$80,SALES!$N$2:$N$171,'CALCULATION DSE'!$G$6:$U$6)</f>
        <v>0</v>
      </c>
      <c r="Q68" s="72">
        <f>+COUNTIFS(SALES!$S$2:$S$171,'CALCULATION DSE'!$C$8:$C$80,SALES!$N$2:$N$171,'CALCULATION DSE'!$G$6:$U$6)</f>
        <v>1</v>
      </c>
      <c r="R68" s="72">
        <f>+COUNTIFS(SALES!$S$2:$S$171,'CALCULATION DSE'!$C$8:$C$80,SALES!$N$2:$N$171,'CALCULATION DSE'!$G$6:$U$6)</f>
        <v>1</v>
      </c>
      <c r="S68" s="72">
        <f>+COUNTIFS(SALES!$S$2:$S$171,'CALCULATION DSE'!$C$8:$C$80,SALES!$N$2:$N$171,'CALCULATION DSE'!$G$6:$U$6)</f>
        <v>0</v>
      </c>
      <c r="T68" s="72">
        <f>+COUNTIFS(SALES!$S$2:$S$171,'CALCULATION DSE'!$C$8:$C$80,SALES!$N$2:$N$171,'CALCULATION DSE'!$G$6:$U$6)</f>
        <v>0</v>
      </c>
      <c r="U68" s="72">
        <f>+COUNTIFS(SALES!$S$2:$S$171,'CALCULATION DSE'!$C$8:$C$80,SALES!$N$2:$N$171,'CALCULATION DSE'!$G$6:$U$6)</f>
        <v>0</v>
      </c>
      <c r="V68" s="146">
        <f t="shared" si="86"/>
        <v>4</v>
      </c>
      <c r="W68" s="146">
        <f t="shared" si="87"/>
        <v>3</v>
      </c>
      <c r="X68" s="79">
        <f t="shared" si="88"/>
        <v>1</v>
      </c>
      <c r="Y68" s="79">
        <f t="shared" si="89"/>
        <v>0</v>
      </c>
      <c r="Z68" s="79">
        <f t="shared" si="90"/>
        <v>2</v>
      </c>
      <c r="AA68" s="79" t="str">
        <f>+VLOOKUP(C68,'EMP STATUS'!$D$3:$J$77,7,0)</f>
        <v>OLD</v>
      </c>
      <c r="AB68" s="72" t="str">
        <f t="shared" si="91"/>
        <v>YES</v>
      </c>
      <c r="AC68" s="72" t="str">
        <f t="shared" si="92"/>
        <v>YES</v>
      </c>
      <c r="AD68" s="147">
        <f t="shared" si="93"/>
        <v>0</v>
      </c>
      <c r="AE68" s="147">
        <f t="shared" si="94"/>
        <v>4500</v>
      </c>
      <c r="AF68" s="147">
        <f t="shared" si="95"/>
        <v>500</v>
      </c>
      <c r="AG68" s="148">
        <f t="shared" si="96"/>
        <v>5000</v>
      </c>
      <c r="AH68" s="149">
        <v>0</v>
      </c>
      <c r="AI68" s="149">
        <f t="shared" si="97"/>
        <v>0</v>
      </c>
      <c r="AJ68" s="147">
        <f t="shared" si="98"/>
        <v>0</v>
      </c>
      <c r="AK68" s="99">
        <f>+VLOOKUP(C68,'DSE WISE MGA SALE '!$B$5:$G$116,6,0)</f>
        <v>79255.479452054802</v>
      </c>
      <c r="AL68" s="99">
        <f t="shared" si="99"/>
        <v>19813.869863013701</v>
      </c>
      <c r="AM68" s="99">
        <f t="shared" si="100"/>
        <v>2773.9417808219182</v>
      </c>
      <c r="AN68" s="150">
        <f>+COUNTIFS(SALES!$S$2:$S$171,'CALCULATION DSE'!$C$7:$C$80,SALES!$AH$2:$AH$171,"&gt;0")</f>
        <v>0</v>
      </c>
      <c r="AO68" s="149">
        <f t="shared" si="101"/>
        <v>0</v>
      </c>
      <c r="AP68" s="151">
        <f>+COUNTIFS(SALES!$S$2:$S$171,'CALCULATION DSE'!$C$8:$C$80,SALES!$BH$2:$BH$171,"MSSF")</f>
        <v>3</v>
      </c>
      <c r="AQ68" s="151">
        <f t="shared" si="102"/>
        <v>1</v>
      </c>
      <c r="AR68" s="152">
        <f t="shared" si="103"/>
        <v>0.75</v>
      </c>
      <c r="AS68" s="149">
        <f t="shared" si="104"/>
        <v>750</v>
      </c>
      <c r="AT68" s="149">
        <f t="shared" si="105"/>
        <v>0</v>
      </c>
      <c r="AU68" s="72">
        <f>+COUNTIFS(SALES!$S$2:$S$171,'CALCULATION DSE'!$C$8:$C$80,SALES!$Y$2:$Y$171,"&gt;0")</f>
        <v>4</v>
      </c>
      <c r="AV68" s="72">
        <f t="shared" si="106"/>
        <v>0</v>
      </c>
      <c r="AW68" s="153">
        <f t="shared" si="107"/>
        <v>1</v>
      </c>
      <c r="AX68" s="99">
        <f t="shared" si="108"/>
        <v>4000</v>
      </c>
      <c r="AY68" s="99">
        <f t="shared" si="109"/>
        <v>0</v>
      </c>
      <c r="AZ68" s="72">
        <f>+COUNTIFS(SALES!$S$2:$S$171,'CALCULATION DSE'!$C$8:$C$80,SALES!$AC$2:$AC$171,"&gt;0")</f>
        <v>0</v>
      </c>
      <c r="BA68" s="72">
        <f t="shared" si="110"/>
        <v>4</v>
      </c>
      <c r="BB68" s="153">
        <f t="shared" si="111"/>
        <v>0</v>
      </c>
      <c r="BC68" s="99">
        <f t="shared" si="112"/>
        <v>0</v>
      </c>
      <c r="BD68" s="99">
        <f t="shared" si="113"/>
        <v>1000</v>
      </c>
      <c r="BE68" s="99">
        <f>+COUNTIFS(SALES!$S$2:$S$171,'CALCULATION DSE'!$C$8:$C$80,SALES!$CA$2:$CA$171,"YES")</f>
        <v>0</v>
      </c>
      <c r="BF68" s="99">
        <f t="shared" si="114"/>
        <v>0</v>
      </c>
      <c r="BG68" s="148">
        <f>+SUMIFS(SALES!$BA$2:$BA$171,SALES!$S$2:$S$171,'CALCULATION DSE'!$C$8:$C$80)</f>
        <v>66517</v>
      </c>
      <c r="BH68" s="148">
        <f t="shared" si="115"/>
        <v>16629.25</v>
      </c>
      <c r="BI68" s="153">
        <f t="shared" si="116"/>
        <v>0</v>
      </c>
      <c r="BJ68" s="147">
        <f t="shared" si="117"/>
        <v>0</v>
      </c>
      <c r="BK68" s="147">
        <f t="shared" si="118"/>
        <v>6523.9417808219187</v>
      </c>
      <c r="BL68" s="147">
        <v>0</v>
      </c>
      <c r="BM68" s="147">
        <f t="shared" si="119"/>
        <v>0</v>
      </c>
      <c r="BN68" s="148">
        <f t="shared" si="120"/>
        <v>6523.9417808219187</v>
      </c>
      <c r="BO68" s="99">
        <f t="shared" si="121"/>
        <v>0</v>
      </c>
      <c r="BP68" s="147">
        <f t="shared" si="122"/>
        <v>0</v>
      </c>
      <c r="BQ68" s="147">
        <f t="shared" si="123"/>
        <v>0</v>
      </c>
      <c r="BR68" s="147">
        <f t="shared" si="128"/>
        <v>0</v>
      </c>
      <c r="BS68" s="147">
        <f t="shared" si="124"/>
        <v>0</v>
      </c>
      <c r="BT68" s="147">
        <f t="shared" si="125"/>
        <v>2</v>
      </c>
      <c r="BU68" s="147">
        <f t="shared" si="126"/>
        <v>2000</v>
      </c>
      <c r="BV68" s="154">
        <f t="shared" si="127"/>
        <v>8523.9417808219187</v>
      </c>
      <c r="CB68" s="155"/>
      <c r="CC68" s="155"/>
      <c r="CD68" s="156"/>
      <c r="CF68" s="157"/>
    </row>
    <row r="69" spans="1:84" customFormat="1" hidden="1" x14ac:dyDescent="0.3">
      <c r="A69" s="74" t="s">
        <v>3088</v>
      </c>
      <c r="B69" s="40" t="s">
        <v>2767</v>
      </c>
      <c r="C69" s="40" t="s">
        <v>2522</v>
      </c>
      <c r="D69" s="40" t="s">
        <v>2767</v>
      </c>
      <c r="E69" s="73" t="s">
        <v>2521</v>
      </c>
      <c r="F69" s="79" t="str">
        <f>+VLOOKUP(C69,'EMP STATUS'!$D$3:$K$77,8,0)</f>
        <v>2079</v>
      </c>
      <c r="G69" s="39">
        <f>+COUNTIFS(SALES!$S$2:$S$171,'CALCULATION DSE'!$C$8:$C$80,SALES!$N$2:$N$171,'CALCULATION DSE'!$G$6:$U$6)</f>
        <v>0</v>
      </c>
      <c r="H69" s="39">
        <f>+COUNTIFS(SALES!$S$2:$S$171,'CALCULATION DSE'!$C$8:$C$80,SALES!$N$2:$N$171,'CALCULATION DSE'!$G$6:$U$6)</f>
        <v>0</v>
      </c>
      <c r="I69" s="39">
        <f>+COUNTIFS(SALES!$S$2:$S$171,'CALCULATION DSE'!$C$8:$C$80,SALES!$N$2:$N$171,'CALCULATION DSE'!$G$6:$U$6)</f>
        <v>0</v>
      </c>
      <c r="J69" s="39">
        <f>+COUNTIFS(SALES!$S$2:$S$171,'CALCULATION DSE'!$C$8:$C$80,SALES!$N$2:$N$171,'CALCULATION DSE'!$G$6:$U$6)</f>
        <v>0</v>
      </c>
      <c r="K69" s="39">
        <f>+COUNTIFS(SALES!$S$2:$S$171,'CALCULATION DSE'!$C$8:$C$80,SALES!$N$2:$N$171,'CALCULATION DSE'!$G$6:$U$6)</f>
        <v>0</v>
      </c>
      <c r="L69" s="39">
        <f>+COUNTIFS(SALES!$S$2:$S$171,'CALCULATION DSE'!$C$8:$C$80,SALES!$N$2:$N$171,'CALCULATION DSE'!$G$6:$U$6)</f>
        <v>0</v>
      </c>
      <c r="M69" s="39">
        <f>+COUNTIFS(SALES!$S$2:$S$171,'CALCULATION DSE'!$C$8:$C$80,SALES!$N$2:$N$171,'CALCULATION DSE'!$G$6:$U$6)</f>
        <v>0</v>
      </c>
      <c r="N69" s="39">
        <f>+COUNTIFS(SALES!$S$2:$S$171,'CALCULATION DSE'!$C$8:$C$80,SALES!$N$2:$N$171,'CALCULATION DSE'!$G$6:$U$6)</f>
        <v>0</v>
      </c>
      <c r="O69" s="39">
        <f>+COUNTIFS(SALES!$S$2:$S$171,'CALCULATION DSE'!$C$8:$C$80,SALES!$N$2:$N$171,'CALCULATION DSE'!$G$6:$U$6)</f>
        <v>0</v>
      </c>
      <c r="P69" s="39">
        <f>+COUNTIFS(SALES!$S$2:$S$171,'CALCULATION DSE'!$C$8:$C$80,SALES!$N$2:$N$171,'CALCULATION DSE'!$G$6:$U$6)</f>
        <v>0</v>
      </c>
      <c r="Q69" s="39">
        <f>+COUNTIFS(SALES!$S$2:$S$171,'CALCULATION DSE'!$C$8:$C$80,SALES!$N$2:$N$171,'CALCULATION DSE'!$G$6:$U$6)</f>
        <v>1</v>
      </c>
      <c r="R69" s="39">
        <f>+COUNTIFS(SALES!$S$2:$S$171,'CALCULATION DSE'!$C$8:$C$80,SALES!$N$2:$N$171,'CALCULATION DSE'!$G$6:$U$6)</f>
        <v>0</v>
      </c>
      <c r="S69" s="39">
        <f>+COUNTIFS(SALES!$S$2:$S$171,'CALCULATION DSE'!$C$8:$C$80,SALES!$N$2:$N$171,'CALCULATION DSE'!$G$6:$U$6)</f>
        <v>0</v>
      </c>
      <c r="T69" s="39">
        <f>+COUNTIFS(SALES!$S$2:$S$171,'CALCULATION DSE'!$C$8:$C$80,SALES!$N$2:$N$171,'CALCULATION DSE'!$G$6:$U$6)</f>
        <v>0</v>
      </c>
      <c r="U69" s="39">
        <f>+COUNTIFS(SALES!$S$2:$S$171,'CALCULATION DSE'!$C$8:$C$80,SALES!$N$2:$N$171,'CALCULATION DSE'!$G$6:$U$6)</f>
        <v>0</v>
      </c>
      <c r="V69" s="36">
        <f t="shared" si="86"/>
        <v>1</v>
      </c>
      <c r="W69" s="36">
        <f t="shared" si="87"/>
        <v>1</v>
      </c>
      <c r="X69" s="79">
        <f t="shared" si="88"/>
        <v>0</v>
      </c>
      <c r="Y69" s="79">
        <f t="shared" si="89"/>
        <v>0</v>
      </c>
      <c r="Z69" s="79">
        <f t="shared" si="90"/>
        <v>0</v>
      </c>
      <c r="AA69" s="79" t="str">
        <f>+VLOOKUP(C69,'EMP STATUS'!$D$3:$J$77,7,0)</f>
        <v>NEW</v>
      </c>
      <c r="AB69" s="72" t="str">
        <f t="shared" si="91"/>
        <v>NO</v>
      </c>
      <c r="AC69" s="72" t="str">
        <f t="shared" si="92"/>
        <v>YES</v>
      </c>
      <c r="AD69" s="64">
        <f t="shared" si="93"/>
        <v>500</v>
      </c>
      <c r="AE69" s="64">
        <f t="shared" si="94"/>
        <v>0</v>
      </c>
      <c r="AF69" s="64">
        <f t="shared" si="95"/>
        <v>0</v>
      </c>
      <c r="AG69" s="71">
        <f t="shared" si="96"/>
        <v>500</v>
      </c>
      <c r="AH69" s="68">
        <v>0</v>
      </c>
      <c r="AI69" s="68">
        <f t="shared" si="97"/>
        <v>0</v>
      </c>
      <c r="AJ69" s="64">
        <f t="shared" si="98"/>
        <v>0</v>
      </c>
      <c r="AK69" s="66">
        <f>+VLOOKUP(C69,'DSE WISE MGA SALE '!$B$5:$G$116,6,0)</f>
        <v>0</v>
      </c>
      <c r="AL69" s="67">
        <f t="shared" si="99"/>
        <v>0</v>
      </c>
      <c r="AM69" s="67">
        <f t="shared" si="100"/>
        <v>0</v>
      </c>
      <c r="AN69" s="70">
        <f>+COUNTIFS(SALES!$S$2:$S$171,'CALCULATION DSE'!$C$7:$C$80,SALES!$AH$2:$AH$171,"&gt;0")</f>
        <v>0</v>
      </c>
      <c r="AO69" s="68">
        <f t="shared" si="101"/>
        <v>0</v>
      </c>
      <c r="AP69" s="69">
        <f>+COUNTIFS(SALES!$S$2:$S$171,'CALCULATION DSE'!$C$8:$C$80,SALES!$BH$2:$BH$171,"MSSF")</f>
        <v>1</v>
      </c>
      <c r="AQ69" s="69">
        <f t="shared" si="102"/>
        <v>0</v>
      </c>
      <c r="AR69" s="98">
        <f t="shared" si="103"/>
        <v>1</v>
      </c>
      <c r="AS69" s="68">
        <f t="shared" si="104"/>
        <v>250</v>
      </c>
      <c r="AT69" s="68">
        <f t="shared" si="105"/>
        <v>0</v>
      </c>
      <c r="AU69" s="39">
        <f>+COUNTIFS(SALES!$S$2:$S$171,'CALCULATION DSE'!$C$8:$C$80,SALES!$Y$2:$Y$171,"&gt;0")</f>
        <v>1</v>
      </c>
      <c r="AV69" s="39">
        <f t="shared" si="106"/>
        <v>0</v>
      </c>
      <c r="AW69" s="65">
        <f t="shared" si="107"/>
        <v>1</v>
      </c>
      <c r="AX69" s="67">
        <f t="shared" si="108"/>
        <v>1000</v>
      </c>
      <c r="AY69" s="67">
        <f t="shared" si="109"/>
        <v>0</v>
      </c>
      <c r="AZ69" s="39">
        <f>+COUNTIFS(SALES!$S$2:$S$171,'CALCULATION DSE'!$C$8:$C$80,SALES!$AC$2:$AC$171,"&gt;0")</f>
        <v>1</v>
      </c>
      <c r="BA69" s="39">
        <f t="shared" si="110"/>
        <v>0</v>
      </c>
      <c r="BB69" s="65">
        <f t="shared" si="111"/>
        <v>1</v>
      </c>
      <c r="BC69" s="66">
        <f t="shared" si="112"/>
        <v>750</v>
      </c>
      <c r="BD69" s="66">
        <f t="shared" si="113"/>
        <v>0</v>
      </c>
      <c r="BE69" s="99">
        <f>+COUNTIFS(SALES!$S$2:$S$171,'CALCULATION DSE'!$C$8:$C$80,SALES!$CA$2:$CA$171,"YES")</f>
        <v>0</v>
      </c>
      <c r="BF69" s="66">
        <f t="shared" si="114"/>
        <v>0</v>
      </c>
      <c r="BG69" s="37">
        <f>+SUMIFS(SALES!$BA$2:$BA$171,SALES!$S$2:$S$171,'CALCULATION DSE'!$C$8:$C$80)</f>
        <v>14500</v>
      </c>
      <c r="BH69" s="37">
        <f t="shared" si="115"/>
        <v>14500</v>
      </c>
      <c r="BI69" s="65">
        <f t="shared" si="116"/>
        <v>0</v>
      </c>
      <c r="BJ69" s="64">
        <f t="shared" si="117"/>
        <v>0</v>
      </c>
      <c r="BK69" s="64">
        <f t="shared" si="118"/>
        <v>2000</v>
      </c>
      <c r="BL69" s="64">
        <v>0</v>
      </c>
      <c r="BM69" s="64">
        <f t="shared" si="119"/>
        <v>0</v>
      </c>
      <c r="BN69" s="37">
        <f t="shared" si="120"/>
        <v>2000</v>
      </c>
      <c r="BO69" s="38">
        <f t="shared" si="121"/>
        <v>0</v>
      </c>
      <c r="BP69" s="64">
        <f t="shared" si="122"/>
        <v>0</v>
      </c>
      <c r="BQ69" s="64">
        <f t="shared" si="123"/>
        <v>0</v>
      </c>
      <c r="BR69" s="64">
        <f t="shared" si="128"/>
        <v>0</v>
      </c>
      <c r="BS69" s="64">
        <f t="shared" si="124"/>
        <v>0</v>
      </c>
      <c r="BT69" s="64">
        <f t="shared" si="125"/>
        <v>0</v>
      </c>
      <c r="BU69" s="64">
        <f t="shared" si="126"/>
        <v>0</v>
      </c>
      <c r="BV69" s="63">
        <f t="shared" si="127"/>
        <v>2000</v>
      </c>
      <c r="CB69" s="50"/>
      <c r="CC69" s="50"/>
      <c r="CD69" s="62"/>
      <c r="CF69" s="46"/>
    </row>
    <row r="70" spans="1:84" customFormat="1" hidden="1" x14ac:dyDescent="0.3">
      <c r="A70" s="74" t="s">
        <v>3089</v>
      </c>
      <c r="B70" s="40" t="s">
        <v>2523</v>
      </c>
      <c r="C70" s="40" t="s">
        <v>2854</v>
      </c>
      <c r="D70" s="40" t="s">
        <v>2767</v>
      </c>
      <c r="E70" s="73" t="s">
        <v>2521</v>
      </c>
      <c r="F70" s="79" t="str">
        <f>+VLOOKUP(C70,'EMP STATUS'!$D$3:$K$77,8,0)</f>
        <v>2203</v>
      </c>
      <c r="G70" s="39">
        <f>+COUNTIFS(SALES!$S$2:$S$171,'CALCULATION DSE'!$C$8:$C$80,SALES!$N$2:$N$171,'CALCULATION DSE'!$G$6:$U$6)</f>
        <v>0</v>
      </c>
      <c r="H70" s="39">
        <f>+COUNTIFS(SALES!$S$2:$S$171,'CALCULATION DSE'!$C$8:$C$80,SALES!$N$2:$N$171,'CALCULATION DSE'!$G$6:$U$6)</f>
        <v>0</v>
      </c>
      <c r="I70" s="39">
        <f>+COUNTIFS(SALES!$S$2:$S$171,'CALCULATION DSE'!$C$8:$C$80,SALES!$N$2:$N$171,'CALCULATION DSE'!$G$6:$U$6)</f>
        <v>0</v>
      </c>
      <c r="J70" s="39">
        <f>+COUNTIFS(SALES!$S$2:$S$171,'CALCULATION DSE'!$C$8:$C$80,SALES!$N$2:$N$171,'CALCULATION DSE'!$G$6:$U$6)</f>
        <v>0</v>
      </c>
      <c r="K70" s="39">
        <f>+COUNTIFS(SALES!$S$2:$S$171,'CALCULATION DSE'!$C$8:$C$80,SALES!$N$2:$N$171,'CALCULATION DSE'!$G$6:$U$6)</f>
        <v>0</v>
      </c>
      <c r="L70" s="39">
        <f>+COUNTIFS(SALES!$S$2:$S$171,'CALCULATION DSE'!$C$8:$C$80,SALES!$N$2:$N$171,'CALCULATION DSE'!$G$6:$U$6)</f>
        <v>0</v>
      </c>
      <c r="M70" s="39">
        <f>+COUNTIFS(SALES!$S$2:$S$171,'CALCULATION DSE'!$C$8:$C$80,SALES!$N$2:$N$171,'CALCULATION DSE'!$G$6:$U$6)</f>
        <v>0</v>
      </c>
      <c r="N70" s="39">
        <f>+COUNTIFS(SALES!$S$2:$S$171,'CALCULATION DSE'!$C$8:$C$80,SALES!$N$2:$N$171,'CALCULATION DSE'!$G$6:$U$6)</f>
        <v>0</v>
      </c>
      <c r="O70" s="39">
        <f>+COUNTIFS(SALES!$S$2:$S$171,'CALCULATION DSE'!$C$8:$C$80,SALES!$N$2:$N$171,'CALCULATION DSE'!$G$6:$U$6)</f>
        <v>0</v>
      </c>
      <c r="P70" s="39">
        <f>+COUNTIFS(SALES!$S$2:$S$171,'CALCULATION DSE'!$C$8:$C$80,SALES!$N$2:$N$171,'CALCULATION DSE'!$G$6:$U$6)</f>
        <v>0</v>
      </c>
      <c r="Q70" s="39">
        <f>+COUNTIFS(SALES!$S$2:$S$171,'CALCULATION DSE'!$C$8:$C$80,SALES!$N$2:$N$171,'CALCULATION DSE'!$G$6:$U$6)</f>
        <v>0</v>
      </c>
      <c r="R70" s="39">
        <f>+COUNTIFS(SALES!$S$2:$S$171,'CALCULATION DSE'!$C$8:$C$80,SALES!$N$2:$N$171,'CALCULATION DSE'!$G$6:$U$6)</f>
        <v>0</v>
      </c>
      <c r="S70" s="39">
        <f>+COUNTIFS(SALES!$S$2:$S$171,'CALCULATION DSE'!$C$8:$C$80,SALES!$N$2:$N$171,'CALCULATION DSE'!$G$6:$U$6)</f>
        <v>0</v>
      </c>
      <c r="T70" s="39">
        <f>+COUNTIFS(SALES!$S$2:$S$171,'CALCULATION DSE'!$C$8:$C$80,SALES!$N$2:$N$171,'CALCULATION DSE'!$G$6:$U$6)</f>
        <v>0</v>
      </c>
      <c r="U70" s="39">
        <f>+COUNTIFS(SALES!$S$2:$S$171,'CALCULATION DSE'!$C$8:$C$80,SALES!$N$2:$N$171,'CALCULATION DSE'!$G$6:$U$6)</f>
        <v>0</v>
      </c>
      <c r="V70" s="36">
        <f t="shared" si="86"/>
        <v>0</v>
      </c>
      <c r="W70" s="36">
        <f t="shared" si="87"/>
        <v>0</v>
      </c>
      <c r="X70" s="79">
        <f t="shared" si="88"/>
        <v>0</v>
      </c>
      <c r="Y70" s="79">
        <f t="shared" si="89"/>
        <v>0</v>
      </c>
      <c r="Z70" s="79">
        <f t="shared" si="90"/>
        <v>0</v>
      </c>
      <c r="AA70" s="79" t="str">
        <f>+VLOOKUP(C70,'EMP STATUS'!$D$3:$J$77,7,0)</f>
        <v>OLD</v>
      </c>
      <c r="AB70" s="72" t="str">
        <f t="shared" si="91"/>
        <v>YES</v>
      </c>
      <c r="AC70" s="72" t="str">
        <f t="shared" si="92"/>
        <v>NO</v>
      </c>
      <c r="AD70" s="64">
        <f t="shared" si="93"/>
        <v>0</v>
      </c>
      <c r="AE70" s="64">
        <f t="shared" si="94"/>
        <v>0</v>
      </c>
      <c r="AF70" s="64">
        <f t="shared" si="95"/>
        <v>0</v>
      </c>
      <c r="AG70" s="71">
        <f t="shared" si="96"/>
        <v>0</v>
      </c>
      <c r="AH70" s="68">
        <v>0</v>
      </c>
      <c r="AI70" s="68">
        <f t="shared" si="97"/>
        <v>0</v>
      </c>
      <c r="AJ70" s="64">
        <f t="shared" si="98"/>
        <v>0</v>
      </c>
      <c r="AK70" s="66">
        <f>+VLOOKUP(C70,'DSE WISE MGA SALE '!$B$5:$G$116,6,0)</f>
        <v>0</v>
      </c>
      <c r="AL70" s="67">
        <f t="shared" si="99"/>
        <v>0</v>
      </c>
      <c r="AM70" s="67">
        <f t="shared" si="100"/>
        <v>0</v>
      </c>
      <c r="AN70" s="70">
        <f>+COUNTIFS(SALES!$S$2:$S$171,'CALCULATION DSE'!$C$7:$C$80,SALES!$AH$2:$AH$171,"&gt;0")</f>
        <v>0</v>
      </c>
      <c r="AO70" s="68">
        <f t="shared" si="101"/>
        <v>0</v>
      </c>
      <c r="AP70" s="69">
        <f>+COUNTIFS(SALES!$S$2:$S$171,'CALCULATION DSE'!$C$8:$C$80,SALES!$BH$2:$BH$171,"MSSF")</f>
        <v>0</v>
      </c>
      <c r="AQ70" s="69">
        <f t="shared" si="102"/>
        <v>0</v>
      </c>
      <c r="AR70" s="98">
        <f t="shared" si="103"/>
        <v>0</v>
      </c>
      <c r="AS70" s="68">
        <f t="shared" si="104"/>
        <v>0</v>
      </c>
      <c r="AT70" s="68">
        <f t="shared" si="105"/>
        <v>0</v>
      </c>
      <c r="AU70" s="39">
        <f>+COUNTIFS(SALES!$S$2:$S$171,'CALCULATION DSE'!$C$8:$C$80,SALES!$Y$2:$Y$171,"&gt;0")</f>
        <v>0</v>
      </c>
      <c r="AV70" s="39">
        <f t="shared" si="106"/>
        <v>0</v>
      </c>
      <c r="AW70" s="65">
        <f t="shared" si="107"/>
        <v>0</v>
      </c>
      <c r="AX70" s="67">
        <f t="shared" si="108"/>
        <v>0</v>
      </c>
      <c r="AY70" s="67">
        <f t="shared" si="109"/>
        <v>0</v>
      </c>
      <c r="AZ70" s="39">
        <f>+COUNTIFS(SALES!$S$2:$S$171,'CALCULATION DSE'!$C$8:$C$80,SALES!$AC$2:$AC$171,"&gt;0")</f>
        <v>0</v>
      </c>
      <c r="BA70" s="39">
        <f t="shared" si="110"/>
        <v>0</v>
      </c>
      <c r="BB70" s="65">
        <f t="shared" si="111"/>
        <v>0</v>
      </c>
      <c r="BC70" s="66">
        <f t="shared" si="112"/>
        <v>0</v>
      </c>
      <c r="BD70" s="66">
        <f t="shared" si="113"/>
        <v>0</v>
      </c>
      <c r="BE70" s="99">
        <f>+COUNTIFS(SALES!$S$2:$S$171,'CALCULATION DSE'!$C$8:$C$80,SALES!$CA$2:$CA$171,"YES")</f>
        <v>0</v>
      </c>
      <c r="BF70" s="66">
        <f t="shared" si="114"/>
        <v>0</v>
      </c>
      <c r="BG70" s="37">
        <f>+SUMIFS(SALES!$BA$2:$BA$171,SALES!$S$2:$S$171,'CALCULATION DSE'!$C$8:$C$80)</f>
        <v>0</v>
      </c>
      <c r="BH70" s="37">
        <f t="shared" si="115"/>
        <v>0</v>
      </c>
      <c r="BI70" s="65">
        <f t="shared" si="116"/>
        <v>1.5</v>
      </c>
      <c r="BJ70" s="64">
        <f t="shared" si="117"/>
        <v>0</v>
      </c>
      <c r="BK70" s="64">
        <f t="shared" si="118"/>
        <v>0</v>
      </c>
      <c r="BL70" s="64">
        <v>0</v>
      </c>
      <c r="BM70" s="64">
        <f t="shared" si="119"/>
        <v>0</v>
      </c>
      <c r="BN70" s="37">
        <f t="shared" si="120"/>
        <v>0</v>
      </c>
      <c r="BO70" s="38">
        <f t="shared" si="121"/>
        <v>0</v>
      </c>
      <c r="BP70" s="64">
        <f t="shared" si="122"/>
        <v>0</v>
      </c>
      <c r="BQ70" s="64">
        <f t="shared" si="123"/>
        <v>0</v>
      </c>
      <c r="BR70" s="64">
        <f t="shared" si="128"/>
        <v>0</v>
      </c>
      <c r="BS70" s="64">
        <f t="shared" si="124"/>
        <v>0</v>
      </c>
      <c r="BT70" s="64">
        <f t="shared" si="125"/>
        <v>0</v>
      </c>
      <c r="BU70" s="64">
        <f t="shared" si="126"/>
        <v>0</v>
      </c>
      <c r="BV70" s="63">
        <f t="shared" si="127"/>
        <v>0</v>
      </c>
      <c r="CB70" s="50"/>
      <c r="CC70" s="50"/>
      <c r="CD70" s="62"/>
      <c r="CF70" s="46"/>
    </row>
    <row r="71" spans="1:84" hidden="1" x14ac:dyDescent="0.3">
      <c r="A71" s="72" t="s">
        <v>1879</v>
      </c>
      <c r="B71" s="145" t="s">
        <v>2286</v>
      </c>
      <c r="C71" s="145" t="s">
        <v>2420</v>
      </c>
      <c r="D71" s="145" t="s">
        <v>2286</v>
      </c>
      <c r="E71" s="145" t="s">
        <v>2283</v>
      </c>
      <c r="F71" s="79" t="str">
        <f>+VLOOKUP(C71,'EMP STATUS'!$D$3:$K$77,8,0)</f>
        <v>R223</v>
      </c>
      <c r="G71" s="72">
        <f>+COUNTIFS(SALES!$S$2:$S$171,'CALCULATION DSE'!$C$8:$C$80,SALES!$N$2:$N$171,'CALCULATION DSE'!$G$6:$U$6)</f>
        <v>0</v>
      </c>
      <c r="H71" s="72">
        <f>+COUNTIFS(SALES!$S$2:$S$171,'CALCULATION DSE'!$C$8:$C$80,SALES!$N$2:$N$171,'CALCULATION DSE'!$G$6:$U$6)</f>
        <v>0</v>
      </c>
      <c r="I71" s="72">
        <f>+COUNTIFS(SALES!$S$2:$S$171,'CALCULATION DSE'!$C$8:$C$80,SALES!$N$2:$N$171,'CALCULATION DSE'!$G$6:$U$6)</f>
        <v>0</v>
      </c>
      <c r="J71" s="72">
        <f>+COUNTIFS(SALES!$S$2:$S$171,'CALCULATION DSE'!$C$8:$C$80,SALES!$N$2:$N$171,'CALCULATION DSE'!$G$6:$U$6)</f>
        <v>0</v>
      </c>
      <c r="K71" s="72">
        <f>+COUNTIFS(SALES!$S$2:$S$171,'CALCULATION DSE'!$C$8:$C$80,SALES!$N$2:$N$171,'CALCULATION DSE'!$G$6:$U$6)</f>
        <v>0</v>
      </c>
      <c r="L71" s="72">
        <f>+COUNTIFS(SALES!$S$2:$S$171,'CALCULATION DSE'!$C$8:$C$80,SALES!$N$2:$N$171,'CALCULATION DSE'!$G$6:$U$6)</f>
        <v>0</v>
      </c>
      <c r="M71" s="72">
        <f>+COUNTIFS(SALES!$S$2:$S$171,'CALCULATION DSE'!$C$8:$C$80,SALES!$N$2:$N$171,'CALCULATION DSE'!$G$6:$U$6)</f>
        <v>1</v>
      </c>
      <c r="N71" s="72">
        <f>+COUNTIFS(SALES!$S$2:$S$171,'CALCULATION DSE'!$C$8:$C$80,SALES!$N$2:$N$171,'CALCULATION DSE'!$G$6:$U$6)</f>
        <v>0</v>
      </c>
      <c r="O71" s="72">
        <f>+COUNTIFS(SALES!$S$2:$S$171,'CALCULATION DSE'!$C$8:$C$80,SALES!$N$2:$N$171,'CALCULATION DSE'!$G$6:$U$6)</f>
        <v>0</v>
      </c>
      <c r="P71" s="72">
        <f>+COUNTIFS(SALES!$S$2:$S$171,'CALCULATION DSE'!$C$8:$C$80,SALES!$N$2:$N$171,'CALCULATION DSE'!$G$6:$U$6)</f>
        <v>0</v>
      </c>
      <c r="Q71" s="72">
        <f>+COUNTIFS(SALES!$S$2:$S$171,'CALCULATION DSE'!$C$8:$C$80,SALES!$N$2:$N$171,'CALCULATION DSE'!$G$6:$U$6)</f>
        <v>1</v>
      </c>
      <c r="R71" s="72">
        <f>+COUNTIFS(SALES!$S$2:$S$171,'CALCULATION DSE'!$C$8:$C$80,SALES!$N$2:$N$171,'CALCULATION DSE'!$G$6:$U$6)</f>
        <v>1</v>
      </c>
      <c r="S71" s="72">
        <f>+COUNTIFS(SALES!$S$2:$S$171,'CALCULATION DSE'!$C$8:$C$80,SALES!$N$2:$N$171,'CALCULATION DSE'!$G$6:$U$6)</f>
        <v>0</v>
      </c>
      <c r="T71" s="72">
        <f>+COUNTIFS(SALES!$S$2:$S$171,'CALCULATION DSE'!$C$8:$C$80,SALES!$N$2:$N$171,'CALCULATION DSE'!$G$6:$U$6)</f>
        <v>0</v>
      </c>
      <c r="U71" s="72">
        <f>+COUNTIFS(SALES!$S$2:$S$171,'CALCULATION DSE'!$C$8:$C$80,SALES!$N$2:$N$171,'CALCULATION DSE'!$G$6:$U$6)</f>
        <v>0</v>
      </c>
      <c r="V71" s="146">
        <f t="shared" si="86"/>
        <v>3</v>
      </c>
      <c r="W71" s="146">
        <f t="shared" si="87"/>
        <v>2</v>
      </c>
      <c r="X71" s="79">
        <f t="shared" si="88"/>
        <v>1</v>
      </c>
      <c r="Y71" s="79">
        <f t="shared" si="89"/>
        <v>0</v>
      </c>
      <c r="Z71" s="79">
        <f t="shared" si="90"/>
        <v>1</v>
      </c>
      <c r="AA71" s="79" t="str">
        <f>+VLOOKUP(C71,'EMP STATUS'!$D$3:$J$77,7,0)</f>
        <v>OLD</v>
      </c>
      <c r="AB71" s="72" t="str">
        <f t="shared" si="91"/>
        <v>YES</v>
      </c>
      <c r="AC71" s="72" t="str">
        <f t="shared" si="92"/>
        <v>YES</v>
      </c>
      <c r="AD71" s="147">
        <f t="shared" si="93"/>
        <v>0</v>
      </c>
      <c r="AE71" s="147">
        <f t="shared" si="94"/>
        <v>1500</v>
      </c>
      <c r="AF71" s="147">
        <f t="shared" si="95"/>
        <v>500</v>
      </c>
      <c r="AG71" s="148">
        <f t="shared" si="96"/>
        <v>2000</v>
      </c>
      <c r="AH71" s="149">
        <v>0</v>
      </c>
      <c r="AI71" s="149">
        <f t="shared" si="97"/>
        <v>0</v>
      </c>
      <c r="AJ71" s="147">
        <f t="shared" si="98"/>
        <v>0</v>
      </c>
      <c r="AK71" s="99">
        <f>+VLOOKUP(C71,'DSE WISE MGA SALE '!$B$5:$G$116,6,0)</f>
        <v>85407.534246575349</v>
      </c>
      <c r="AL71" s="99">
        <f t="shared" si="99"/>
        <v>28469.178082191782</v>
      </c>
      <c r="AM71" s="99">
        <f t="shared" si="100"/>
        <v>4270.376712328768</v>
      </c>
      <c r="AN71" s="150">
        <f>+COUNTIFS(SALES!$S$2:$S$171,'CALCULATION DSE'!$C$7:$C$80,SALES!$AH$2:$AH$171,"&gt;0")</f>
        <v>0</v>
      </c>
      <c r="AO71" s="149">
        <f t="shared" si="101"/>
        <v>0</v>
      </c>
      <c r="AP71" s="151">
        <f>+COUNTIFS(SALES!$S$2:$S$171,'CALCULATION DSE'!$C$8:$C$80,SALES!$BH$2:$BH$171,"MSSF")</f>
        <v>2</v>
      </c>
      <c r="AQ71" s="151">
        <f t="shared" si="102"/>
        <v>1</v>
      </c>
      <c r="AR71" s="152">
        <f t="shared" si="103"/>
        <v>0.66666666666666663</v>
      </c>
      <c r="AS71" s="149">
        <f t="shared" si="104"/>
        <v>0</v>
      </c>
      <c r="AT71" s="149">
        <f t="shared" si="105"/>
        <v>250</v>
      </c>
      <c r="AU71" s="72">
        <f>+COUNTIFS(SALES!$S$2:$S$171,'CALCULATION DSE'!$C$8:$C$80,SALES!$Y$2:$Y$171,"&gt;0")</f>
        <v>1</v>
      </c>
      <c r="AV71" s="72">
        <f t="shared" si="106"/>
        <v>2</v>
      </c>
      <c r="AW71" s="153">
        <f t="shared" si="107"/>
        <v>0.33333333333333331</v>
      </c>
      <c r="AX71" s="99">
        <f t="shared" si="108"/>
        <v>0</v>
      </c>
      <c r="AY71" s="99">
        <f t="shared" si="109"/>
        <v>800</v>
      </c>
      <c r="AZ71" s="72">
        <f>+COUNTIFS(SALES!$S$2:$S$171,'CALCULATION DSE'!$C$8:$C$80,SALES!$AC$2:$AC$171,"&gt;0")</f>
        <v>0</v>
      </c>
      <c r="BA71" s="72">
        <f t="shared" si="110"/>
        <v>3</v>
      </c>
      <c r="BB71" s="153">
        <f t="shared" si="111"/>
        <v>0</v>
      </c>
      <c r="BC71" s="99">
        <f t="shared" si="112"/>
        <v>0</v>
      </c>
      <c r="BD71" s="99">
        <f t="shared" si="113"/>
        <v>750</v>
      </c>
      <c r="BE71" s="99">
        <f>+COUNTIFS(SALES!$S$2:$S$171,'CALCULATION DSE'!$C$8:$C$80,SALES!$CA$2:$CA$171,"YES")</f>
        <v>0</v>
      </c>
      <c r="BF71" s="99">
        <f t="shared" si="114"/>
        <v>0</v>
      </c>
      <c r="BG71" s="148">
        <f>+SUMIFS(SALES!$BA$2:$BA$171,SALES!$S$2:$S$171,'CALCULATION DSE'!$C$8:$C$80)</f>
        <v>33500</v>
      </c>
      <c r="BH71" s="148">
        <f t="shared" si="115"/>
        <v>11166.666666666666</v>
      </c>
      <c r="BI71" s="153">
        <f t="shared" si="116"/>
        <v>0.4</v>
      </c>
      <c r="BJ71" s="147">
        <f t="shared" si="117"/>
        <v>800</v>
      </c>
      <c r="BK71" s="147">
        <f t="shared" si="118"/>
        <v>3270.376712328768</v>
      </c>
      <c r="BL71" s="147">
        <v>0</v>
      </c>
      <c r="BM71" s="147">
        <f t="shared" si="119"/>
        <v>0</v>
      </c>
      <c r="BN71" s="148">
        <f t="shared" si="120"/>
        <v>3270.376712328768</v>
      </c>
      <c r="BO71" s="99">
        <f t="shared" si="121"/>
        <v>0</v>
      </c>
      <c r="BP71" s="147">
        <f t="shared" si="122"/>
        <v>0</v>
      </c>
      <c r="BQ71" s="147">
        <f t="shared" si="123"/>
        <v>0</v>
      </c>
      <c r="BR71" s="147">
        <f t="shared" si="128"/>
        <v>0</v>
      </c>
      <c r="BS71" s="147">
        <f t="shared" si="124"/>
        <v>0</v>
      </c>
      <c r="BT71" s="147">
        <f t="shared" si="125"/>
        <v>1</v>
      </c>
      <c r="BU71" s="147">
        <f t="shared" si="126"/>
        <v>1000</v>
      </c>
      <c r="BV71" s="154">
        <f t="shared" si="127"/>
        <v>4270.376712328768</v>
      </c>
      <c r="CB71" s="155"/>
      <c r="CC71" s="155"/>
      <c r="CD71" s="156"/>
      <c r="CF71" s="157"/>
    </row>
    <row r="72" spans="1:84" customFormat="1" hidden="1" x14ac:dyDescent="0.3">
      <c r="A72" s="74" t="s">
        <v>3091</v>
      </c>
      <c r="B72" s="40" t="s">
        <v>2351</v>
      </c>
      <c r="C72" s="40" t="s">
        <v>2724</v>
      </c>
      <c r="D72" s="40" t="s">
        <v>2312</v>
      </c>
      <c r="E72" s="73" t="s">
        <v>393</v>
      </c>
      <c r="F72" s="79" t="str">
        <f>+VLOOKUP(C72,'EMP STATUS'!$D$3:$K$77,8,0)</f>
        <v>1738</v>
      </c>
      <c r="G72" s="39">
        <f>+COUNTIFS(SALES!$S$2:$S$171,'CALCULATION DSE'!$C$8:$C$80,SALES!$N$2:$N$171,'CALCULATION DSE'!$G$6:$U$6)</f>
        <v>0</v>
      </c>
      <c r="H72" s="39">
        <f>+COUNTIFS(SALES!$S$2:$S$171,'CALCULATION DSE'!$C$8:$C$80,SALES!$N$2:$N$171,'CALCULATION DSE'!$G$6:$U$6)</f>
        <v>0</v>
      </c>
      <c r="I72" s="39">
        <f>+COUNTIFS(SALES!$S$2:$S$171,'CALCULATION DSE'!$C$8:$C$80,SALES!$N$2:$N$171,'CALCULATION DSE'!$G$6:$U$6)</f>
        <v>0</v>
      </c>
      <c r="J72" s="39">
        <f>+COUNTIFS(SALES!$S$2:$S$171,'CALCULATION DSE'!$C$8:$C$80,SALES!$N$2:$N$171,'CALCULATION DSE'!$G$6:$U$6)</f>
        <v>0</v>
      </c>
      <c r="K72" s="39">
        <f>+COUNTIFS(SALES!$S$2:$S$171,'CALCULATION DSE'!$C$8:$C$80,SALES!$N$2:$N$171,'CALCULATION DSE'!$G$6:$U$6)</f>
        <v>0</v>
      </c>
      <c r="L72" s="39">
        <f>+COUNTIFS(SALES!$S$2:$S$171,'CALCULATION DSE'!$C$8:$C$80,SALES!$N$2:$N$171,'CALCULATION DSE'!$G$6:$U$6)</f>
        <v>0</v>
      </c>
      <c r="M72" s="39">
        <f>+COUNTIFS(SALES!$S$2:$S$171,'CALCULATION DSE'!$C$8:$C$80,SALES!$N$2:$N$171,'CALCULATION DSE'!$G$6:$U$6)</f>
        <v>0</v>
      </c>
      <c r="N72" s="39">
        <f>+COUNTIFS(SALES!$S$2:$S$171,'CALCULATION DSE'!$C$8:$C$80,SALES!$N$2:$N$171,'CALCULATION DSE'!$G$6:$U$6)</f>
        <v>0</v>
      </c>
      <c r="O72" s="39">
        <f>+COUNTIFS(SALES!$S$2:$S$171,'CALCULATION DSE'!$C$8:$C$80,SALES!$N$2:$N$171,'CALCULATION DSE'!$G$6:$U$6)</f>
        <v>0</v>
      </c>
      <c r="P72" s="39">
        <f>+COUNTIFS(SALES!$S$2:$S$171,'CALCULATION DSE'!$C$8:$C$80,SALES!$N$2:$N$171,'CALCULATION DSE'!$G$6:$U$6)</f>
        <v>0</v>
      </c>
      <c r="Q72" s="39">
        <f>+COUNTIFS(SALES!$S$2:$S$171,'CALCULATION DSE'!$C$8:$C$80,SALES!$N$2:$N$171,'CALCULATION DSE'!$G$6:$U$6)</f>
        <v>3</v>
      </c>
      <c r="R72" s="39">
        <f>+COUNTIFS(SALES!$S$2:$S$171,'CALCULATION DSE'!$C$8:$C$80,SALES!$N$2:$N$171,'CALCULATION DSE'!$G$6:$U$6)</f>
        <v>0</v>
      </c>
      <c r="S72" s="39">
        <f>+COUNTIFS(SALES!$S$2:$S$171,'CALCULATION DSE'!$C$8:$C$80,SALES!$N$2:$N$171,'CALCULATION DSE'!$G$6:$U$6)</f>
        <v>0</v>
      </c>
      <c r="T72" s="39">
        <f>+COUNTIFS(SALES!$S$2:$S$171,'CALCULATION DSE'!$C$8:$C$80,SALES!$N$2:$N$171,'CALCULATION DSE'!$G$6:$U$6)</f>
        <v>0</v>
      </c>
      <c r="U72" s="39">
        <f>+COUNTIFS(SALES!$S$2:$S$171,'CALCULATION DSE'!$C$8:$C$80,SALES!$N$2:$N$171,'CALCULATION DSE'!$G$6:$U$6)</f>
        <v>0</v>
      </c>
      <c r="V72" s="36">
        <f t="shared" si="86"/>
        <v>3</v>
      </c>
      <c r="W72" s="36">
        <f t="shared" si="87"/>
        <v>3</v>
      </c>
      <c r="X72" s="79">
        <f t="shared" si="88"/>
        <v>0</v>
      </c>
      <c r="Y72" s="79">
        <f t="shared" si="89"/>
        <v>0</v>
      </c>
      <c r="Z72" s="79">
        <f t="shared" si="90"/>
        <v>0</v>
      </c>
      <c r="AA72" s="79" t="str">
        <f>+VLOOKUP(C72,'EMP STATUS'!$D$3:$J$77,7,0)</f>
        <v>OLD</v>
      </c>
      <c r="AB72" s="72" t="str">
        <f t="shared" si="91"/>
        <v>YES</v>
      </c>
      <c r="AC72" s="72" t="str">
        <f t="shared" si="92"/>
        <v>NO</v>
      </c>
      <c r="AD72" s="64">
        <f t="shared" si="93"/>
        <v>0</v>
      </c>
      <c r="AE72" s="64">
        <f t="shared" si="94"/>
        <v>0</v>
      </c>
      <c r="AF72" s="64">
        <f t="shared" si="95"/>
        <v>0</v>
      </c>
      <c r="AG72" s="71">
        <f t="shared" si="96"/>
        <v>0</v>
      </c>
      <c r="AH72" s="68">
        <v>0</v>
      </c>
      <c r="AI72" s="68">
        <f t="shared" si="97"/>
        <v>0</v>
      </c>
      <c r="AJ72" s="64">
        <f t="shared" si="98"/>
        <v>0</v>
      </c>
      <c r="AK72" s="66">
        <f>+VLOOKUP(C72,'DSE WISE MGA SALE '!$B$5:$G$116,6,0)</f>
        <v>24219.178082191782</v>
      </c>
      <c r="AL72" s="67">
        <f t="shared" si="99"/>
        <v>8073.0593607305937</v>
      </c>
      <c r="AM72" s="67">
        <f t="shared" si="100"/>
        <v>0</v>
      </c>
      <c r="AN72" s="70">
        <f>+COUNTIFS(SALES!$S$2:$S$171,'CALCULATION DSE'!$C$7:$C$80,SALES!$AH$2:$AH$171,"&gt;0")</f>
        <v>0</v>
      </c>
      <c r="AO72" s="68">
        <f t="shared" si="101"/>
        <v>0</v>
      </c>
      <c r="AP72" s="69">
        <f>+COUNTIFS(SALES!$S$2:$S$171,'CALCULATION DSE'!$C$8:$C$80,SALES!$BH$2:$BH$171,"MSSF")</f>
        <v>3</v>
      </c>
      <c r="AQ72" s="69">
        <f t="shared" si="102"/>
        <v>0</v>
      </c>
      <c r="AR72" s="98">
        <f t="shared" si="103"/>
        <v>1</v>
      </c>
      <c r="AS72" s="68">
        <f t="shared" si="104"/>
        <v>750</v>
      </c>
      <c r="AT72" s="68">
        <f t="shared" si="105"/>
        <v>0</v>
      </c>
      <c r="AU72" s="39">
        <f>+COUNTIFS(SALES!$S$2:$S$171,'CALCULATION DSE'!$C$8:$C$80,SALES!$Y$2:$Y$171,"&gt;0")</f>
        <v>0</v>
      </c>
      <c r="AV72" s="39">
        <f t="shared" si="106"/>
        <v>3</v>
      </c>
      <c r="AW72" s="65">
        <f t="shared" si="107"/>
        <v>0</v>
      </c>
      <c r="AX72" s="67">
        <f t="shared" si="108"/>
        <v>0</v>
      </c>
      <c r="AY72" s="67">
        <f t="shared" si="109"/>
        <v>0</v>
      </c>
      <c r="AZ72" s="39">
        <f>+COUNTIFS(SALES!$S$2:$S$171,'CALCULATION DSE'!$C$8:$C$80,SALES!$AC$2:$AC$171,"&gt;0")</f>
        <v>0</v>
      </c>
      <c r="BA72" s="39">
        <f t="shared" si="110"/>
        <v>3</v>
      </c>
      <c r="BB72" s="65">
        <f t="shared" si="111"/>
        <v>0</v>
      </c>
      <c r="BC72" s="66">
        <f t="shared" si="112"/>
        <v>0</v>
      </c>
      <c r="BD72" s="66">
        <f t="shared" si="113"/>
        <v>0</v>
      </c>
      <c r="BE72" s="99">
        <f>+COUNTIFS(SALES!$S$2:$S$171,'CALCULATION DSE'!$C$8:$C$80,SALES!$CA$2:$CA$171,"YES")</f>
        <v>0</v>
      </c>
      <c r="BF72" s="66">
        <f t="shared" si="114"/>
        <v>0</v>
      </c>
      <c r="BG72" s="37">
        <f>+SUMIFS(SALES!$BA$2:$BA$171,SALES!$S$2:$S$171,'CALCULATION DSE'!$C$8:$C$80)</f>
        <v>44543</v>
      </c>
      <c r="BH72" s="37">
        <f t="shared" si="115"/>
        <v>14847.666666666666</v>
      </c>
      <c r="BI72" s="65">
        <f t="shared" si="116"/>
        <v>0</v>
      </c>
      <c r="BJ72" s="64">
        <f t="shared" si="117"/>
        <v>0</v>
      </c>
      <c r="BK72" s="64">
        <f t="shared" si="118"/>
        <v>750</v>
      </c>
      <c r="BL72" s="64">
        <v>0</v>
      </c>
      <c r="BM72" s="64">
        <f t="shared" si="119"/>
        <v>0</v>
      </c>
      <c r="BN72" s="37">
        <f t="shared" si="120"/>
        <v>750</v>
      </c>
      <c r="BO72" s="38">
        <f t="shared" si="121"/>
        <v>0</v>
      </c>
      <c r="BP72" s="64">
        <f t="shared" si="122"/>
        <v>0</v>
      </c>
      <c r="BQ72" s="64">
        <f t="shared" si="123"/>
        <v>0</v>
      </c>
      <c r="BR72" s="64">
        <f t="shared" si="128"/>
        <v>0</v>
      </c>
      <c r="BS72" s="64">
        <f t="shared" si="124"/>
        <v>0</v>
      </c>
      <c r="BT72" s="64">
        <f t="shared" si="125"/>
        <v>0</v>
      </c>
      <c r="BU72" s="64">
        <f t="shared" si="126"/>
        <v>0</v>
      </c>
      <c r="BV72" s="63">
        <f t="shared" si="127"/>
        <v>750</v>
      </c>
      <c r="CB72" s="50"/>
      <c r="CC72" s="50"/>
      <c r="CD72" s="62"/>
      <c r="CF72" s="46"/>
    </row>
    <row r="73" spans="1:84" customFormat="1" hidden="1" x14ac:dyDescent="0.3">
      <c r="A73" s="74" t="s">
        <v>3092</v>
      </c>
      <c r="B73" s="40" t="s">
        <v>2252</v>
      </c>
      <c r="C73" s="40" t="s">
        <v>1309</v>
      </c>
      <c r="D73" s="40" t="s">
        <v>2252</v>
      </c>
      <c r="E73" s="73" t="s">
        <v>2874</v>
      </c>
      <c r="F73" s="79" t="str">
        <f>+VLOOKUP(C73,'EMP STATUS'!$D$3:$K$77,8,0)</f>
        <v>1623</v>
      </c>
      <c r="G73" s="39">
        <f>+COUNTIFS(SALES!$S$2:$S$171,'CALCULATION DSE'!$C$8:$C$80,SALES!$N$2:$N$171,'CALCULATION DSE'!$G$6:$U$6)</f>
        <v>0</v>
      </c>
      <c r="H73" s="39">
        <f>+COUNTIFS(SALES!$S$2:$S$171,'CALCULATION DSE'!$C$8:$C$80,SALES!$N$2:$N$171,'CALCULATION DSE'!$G$6:$U$6)</f>
        <v>0</v>
      </c>
      <c r="I73" s="39">
        <f>+COUNTIFS(SALES!$S$2:$S$171,'CALCULATION DSE'!$C$8:$C$80,SALES!$N$2:$N$171,'CALCULATION DSE'!$G$6:$U$6)</f>
        <v>0</v>
      </c>
      <c r="J73" s="39">
        <f>+COUNTIFS(SALES!$S$2:$S$171,'CALCULATION DSE'!$C$8:$C$80,SALES!$N$2:$N$171,'CALCULATION DSE'!$G$6:$U$6)</f>
        <v>0</v>
      </c>
      <c r="K73" s="39">
        <f>+COUNTIFS(SALES!$S$2:$S$171,'CALCULATION DSE'!$C$8:$C$80,SALES!$N$2:$N$171,'CALCULATION DSE'!$G$6:$U$6)</f>
        <v>0</v>
      </c>
      <c r="L73" s="39">
        <f>+COUNTIFS(SALES!$S$2:$S$171,'CALCULATION DSE'!$C$8:$C$80,SALES!$N$2:$N$171,'CALCULATION DSE'!$G$6:$U$6)</f>
        <v>0</v>
      </c>
      <c r="M73" s="39">
        <f>+COUNTIFS(SALES!$S$2:$S$171,'CALCULATION DSE'!$C$8:$C$80,SALES!$N$2:$N$171,'CALCULATION DSE'!$G$6:$U$6)</f>
        <v>0</v>
      </c>
      <c r="N73" s="39">
        <f>+COUNTIFS(SALES!$S$2:$S$171,'CALCULATION DSE'!$C$8:$C$80,SALES!$N$2:$N$171,'CALCULATION DSE'!$G$6:$U$6)</f>
        <v>0</v>
      </c>
      <c r="O73" s="39">
        <f>+COUNTIFS(SALES!$S$2:$S$171,'CALCULATION DSE'!$C$8:$C$80,SALES!$N$2:$N$171,'CALCULATION DSE'!$G$6:$U$6)</f>
        <v>0</v>
      </c>
      <c r="P73" s="39">
        <f>+COUNTIFS(SALES!$S$2:$S$171,'CALCULATION DSE'!$C$8:$C$80,SALES!$N$2:$N$171,'CALCULATION DSE'!$G$6:$U$6)</f>
        <v>0</v>
      </c>
      <c r="Q73" s="39">
        <f>+COUNTIFS(SALES!$S$2:$S$171,'CALCULATION DSE'!$C$8:$C$80,SALES!$N$2:$N$171,'CALCULATION DSE'!$G$6:$U$6)</f>
        <v>4</v>
      </c>
      <c r="R73" s="39">
        <f>+COUNTIFS(SALES!$S$2:$S$171,'CALCULATION DSE'!$C$8:$C$80,SALES!$N$2:$N$171,'CALCULATION DSE'!$G$6:$U$6)</f>
        <v>0</v>
      </c>
      <c r="S73" s="39">
        <f>+COUNTIFS(SALES!$S$2:$S$171,'CALCULATION DSE'!$C$8:$C$80,SALES!$N$2:$N$171,'CALCULATION DSE'!$G$6:$U$6)</f>
        <v>0</v>
      </c>
      <c r="T73" s="39">
        <f>+COUNTIFS(SALES!$S$2:$S$171,'CALCULATION DSE'!$C$8:$C$80,SALES!$N$2:$N$171,'CALCULATION DSE'!$G$6:$U$6)</f>
        <v>0</v>
      </c>
      <c r="U73" s="39">
        <f>+COUNTIFS(SALES!$S$2:$S$171,'CALCULATION DSE'!$C$8:$C$80,SALES!$N$2:$N$171,'CALCULATION DSE'!$G$6:$U$6)</f>
        <v>0</v>
      </c>
      <c r="V73" s="36">
        <f t="shared" si="86"/>
        <v>4</v>
      </c>
      <c r="W73" s="36">
        <f t="shared" si="87"/>
        <v>4</v>
      </c>
      <c r="X73" s="79">
        <f t="shared" si="88"/>
        <v>0</v>
      </c>
      <c r="Y73" s="79">
        <f t="shared" si="89"/>
        <v>0</v>
      </c>
      <c r="Z73" s="79">
        <f t="shared" si="90"/>
        <v>0</v>
      </c>
      <c r="AA73" s="79" t="str">
        <f>+VLOOKUP(C73,'EMP STATUS'!$D$3:$J$77,7,0)</f>
        <v>OLD</v>
      </c>
      <c r="AB73" s="72" t="str">
        <f t="shared" si="91"/>
        <v>YES</v>
      </c>
      <c r="AC73" s="72" t="str">
        <f t="shared" si="92"/>
        <v>NO</v>
      </c>
      <c r="AD73" s="64">
        <f t="shared" si="93"/>
        <v>0</v>
      </c>
      <c r="AE73" s="64">
        <f t="shared" si="94"/>
        <v>0</v>
      </c>
      <c r="AF73" s="64">
        <f t="shared" si="95"/>
        <v>0</v>
      </c>
      <c r="AG73" s="71">
        <f t="shared" si="96"/>
        <v>0</v>
      </c>
      <c r="AH73" s="68">
        <v>0</v>
      </c>
      <c r="AI73" s="68">
        <f t="shared" si="97"/>
        <v>0</v>
      </c>
      <c r="AJ73" s="64">
        <f t="shared" si="98"/>
        <v>0</v>
      </c>
      <c r="AK73" s="66">
        <f>+VLOOKUP(C73,'DSE WISE MGA SALE '!$B$5:$G$116,6,0)</f>
        <v>90614.383561643845</v>
      </c>
      <c r="AL73" s="67">
        <f t="shared" si="99"/>
        <v>22653.595890410961</v>
      </c>
      <c r="AM73" s="67">
        <f t="shared" si="100"/>
        <v>4077.6472602739727</v>
      </c>
      <c r="AN73" s="70">
        <f>+COUNTIFS(SALES!$S$2:$S$171,'CALCULATION DSE'!$C$7:$C$80,SALES!$AH$2:$AH$171,"&gt;0")</f>
        <v>0</v>
      </c>
      <c r="AO73" s="68">
        <f t="shared" si="101"/>
        <v>0</v>
      </c>
      <c r="AP73" s="69">
        <f>+COUNTIFS(SALES!$S$2:$S$171,'CALCULATION DSE'!$C$8:$C$80,SALES!$BH$2:$BH$171,"MSSF")</f>
        <v>4</v>
      </c>
      <c r="AQ73" s="69">
        <f t="shared" si="102"/>
        <v>0</v>
      </c>
      <c r="AR73" s="98">
        <f t="shared" si="103"/>
        <v>1</v>
      </c>
      <c r="AS73" s="68">
        <f t="shared" si="104"/>
        <v>1000</v>
      </c>
      <c r="AT73" s="68">
        <f t="shared" si="105"/>
        <v>0</v>
      </c>
      <c r="AU73" s="39">
        <f>+COUNTIFS(SALES!$S$2:$S$171,'CALCULATION DSE'!$C$8:$C$80,SALES!$Y$2:$Y$171,"&gt;0")</f>
        <v>3</v>
      </c>
      <c r="AV73" s="39">
        <f t="shared" si="106"/>
        <v>1</v>
      </c>
      <c r="AW73" s="65">
        <f t="shared" si="107"/>
        <v>0.75</v>
      </c>
      <c r="AX73" s="67">
        <f t="shared" si="108"/>
        <v>1200</v>
      </c>
      <c r="AY73" s="67">
        <f t="shared" si="109"/>
        <v>0</v>
      </c>
      <c r="AZ73" s="39">
        <f>+COUNTIFS(SALES!$S$2:$S$171,'CALCULATION DSE'!$C$8:$C$80,SALES!$AC$2:$AC$171,"&gt;0")</f>
        <v>1</v>
      </c>
      <c r="BA73" s="39">
        <f t="shared" si="110"/>
        <v>3</v>
      </c>
      <c r="BB73" s="65">
        <f t="shared" si="111"/>
        <v>0.25</v>
      </c>
      <c r="BC73" s="66">
        <f t="shared" si="112"/>
        <v>0</v>
      </c>
      <c r="BD73" s="66">
        <f t="shared" si="113"/>
        <v>0</v>
      </c>
      <c r="BE73" s="99">
        <f>+COUNTIFS(SALES!$S$2:$S$171,'CALCULATION DSE'!$C$8:$C$80,SALES!$CA$2:$CA$171,"YES")</f>
        <v>0</v>
      </c>
      <c r="BF73" s="66">
        <f t="shared" si="114"/>
        <v>0</v>
      </c>
      <c r="BG73" s="37">
        <f>+SUMIFS(SALES!$BA$2:$BA$171,SALES!$S$2:$S$171,'CALCULATION DSE'!$C$8:$C$80)</f>
        <v>31714</v>
      </c>
      <c r="BH73" s="37">
        <f t="shared" si="115"/>
        <v>7928.5</v>
      </c>
      <c r="BI73" s="65">
        <f t="shared" si="116"/>
        <v>0.8</v>
      </c>
      <c r="BJ73" s="64">
        <f t="shared" si="117"/>
        <v>0</v>
      </c>
      <c r="BK73" s="64">
        <f t="shared" si="118"/>
        <v>6277.6472602739723</v>
      </c>
      <c r="BL73" s="64">
        <v>0</v>
      </c>
      <c r="BM73" s="64">
        <f t="shared" si="119"/>
        <v>0</v>
      </c>
      <c r="BN73" s="37">
        <f t="shared" si="120"/>
        <v>6277.6472602739723</v>
      </c>
      <c r="BO73" s="38">
        <f t="shared" si="121"/>
        <v>0</v>
      </c>
      <c r="BP73" s="64">
        <f t="shared" si="122"/>
        <v>0</v>
      </c>
      <c r="BQ73" s="64">
        <f t="shared" si="123"/>
        <v>0</v>
      </c>
      <c r="BR73" s="64">
        <f t="shared" si="128"/>
        <v>0</v>
      </c>
      <c r="BS73" s="64">
        <f t="shared" si="124"/>
        <v>0</v>
      </c>
      <c r="BT73" s="64">
        <f t="shared" si="125"/>
        <v>0</v>
      </c>
      <c r="BU73" s="64">
        <f t="shared" si="126"/>
        <v>0</v>
      </c>
      <c r="BV73" s="63">
        <f t="shared" si="127"/>
        <v>6277.6472602739723</v>
      </c>
      <c r="CB73" s="50"/>
      <c r="CC73" s="50"/>
      <c r="CD73" s="62"/>
      <c r="CF73" s="46"/>
    </row>
    <row r="74" spans="1:84" customFormat="1" hidden="1" x14ac:dyDescent="0.3">
      <c r="A74" s="74" t="s">
        <v>3093</v>
      </c>
      <c r="B74" s="40" t="s">
        <v>2252</v>
      </c>
      <c r="C74" s="40" t="s">
        <v>2594</v>
      </c>
      <c r="D74" s="40" t="s">
        <v>2252</v>
      </c>
      <c r="E74" s="73" t="s">
        <v>2874</v>
      </c>
      <c r="F74" s="79" t="str">
        <f>+VLOOKUP(C74,'EMP STATUS'!$D$3:$K$77,8,0)</f>
        <v>2160</v>
      </c>
      <c r="G74" s="39">
        <f>+COUNTIFS(SALES!$S$2:$S$171,'CALCULATION DSE'!$C$8:$C$80,SALES!$N$2:$N$171,'CALCULATION DSE'!$G$6:$U$6)</f>
        <v>0</v>
      </c>
      <c r="H74" s="39">
        <f>+COUNTIFS(SALES!$S$2:$S$171,'CALCULATION DSE'!$C$8:$C$80,SALES!$N$2:$N$171,'CALCULATION DSE'!$G$6:$U$6)</f>
        <v>0</v>
      </c>
      <c r="I74" s="39">
        <f>+COUNTIFS(SALES!$S$2:$S$171,'CALCULATION DSE'!$C$8:$C$80,SALES!$N$2:$N$171,'CALCULATION DSE'!$G$6:$U$6)</f>
        <v>0</v>
      </c>
      <c r="J74" s="39">
        <f>+COUNTIFS(SALES!$S$2:$S$171,'CALCULATION DSE'!$C$8:$C$80,SALES!$N$2:$N$171,'CALCULATION DSE'!$G$6:$U$6)</f>
        <v>0</v>
      </c>
      <c r="K74" s="39">
        <f>+COUNTIFS(SALES!$S$2:$S$171,'CALCULATION DSE'!$C$8:$C$80,SALES!$N$2:$N$171,'CALCULATION DSE'!$G$6:$U$6)</f>
        <v>0</v>
      </c>
      <c r="L74" s="39">
        <f>+COUNTIFS(SALES!$S$2:$S$171,'CALCULATION DSE'!$C$8:$C$80,SALES!$N$2:$N$171,'CALCULATION DSE'!$G$6:$U$6)</f>
        <v>0</v>
      </c>
      <c r="M74" s="39">
        <f>+COUNTIFS(SALES!$S$2:$S$171,'CALCULATION DSE'!$C$8:$C$80,SALES!$N$2:$N$171,'CALCULATION DSE'!$G$6:$U$6)</f>
        <v>0</v>
      </c>
      <c r="N74" s="39">
        <f>+COUNTIFS(SALES!$S$2:$S$171,'CALCULATION DSE'!$C$8:$C$80,SALES!$N$2:$N$171,'CALCULATION DSE'!$G$6:$U$6)</f>
        <v>0</v>
      </c>
      <c r="O74" s="39">
        <f>+COUNTIFS(SALES!$S$2:$S$171,'CALCULATION DSE'!$C$8:$C$80,SALES!$N$2:$N$171,'CALCULATION DSE'!$G$6:$U$6)</f>
        <v>0</v>
      </c>
      <c r="P74" s="39">
        <f>+COUNTIFS(SALES!$S$2:$S$171,'CALCULATION DSE'!$C$8:$C$80,SALES!$N$2:$N$171,'CALCULATION DSE'!$G$6:$U$6)</f>
        <v>1</v>
      </c>
      <c r="Q74" s="39">
        <f>+COUNTIFS(SALES!$S$2:$S$171,'CALCULATION DSE'!$C$8:$C$80,SALES!$N$2:$N$171,'CALCULATION DSE'!$G$6:$U$6)</f>
        <v>0</v>
      </c>
      <c r="R74" s="39">
        <f>+COUNTIFS(SALES!$S$2:$S$171,'CALCULATION DSE'!$C$8:$C$80,SALES!$N$2:$N$171,'CALCULATION DSE'!$G$6:$U$6)</f>
        <v>0</v>
      </c>
      <c r="S74" s="39">
        <f>+COUNTIFS(SALES!$S$2:$S$171,'CALCULATION DSE'!$C$8:$C$80,SALES!$N$2:$N$171,'CALCULATION DSE'!$G$6:$U$6)</f>
        <v>0</v>
      </c>
      <c r="T74" s="39">
        <f>+COUNTIFS(SALES!$S$2:$S$171,'CALCULATION DSE'!$C$8:$C$80,SALES!$N$2:$N$171,'CALCULATION DSE'!$G$6:$U$6)</f>
        <v>0</v>
      </c>
      <c r="U74" s="39">
        <f>+COUNTIFS(SALES!$S$2:$S$171,'CALCULATION DSE'!$C$8:$C$80,SALES!$N$2:$N$171,'CALCULATION DSE'!$G$6:$U$6)</f>
        <v>0</v>
      </c>
      <c r="V74" s="36">
        <f t="shared" si="86"/>
        <v>1</v>
      </c>
      <c r="W74" s="36">
        <f t="shared" si="87"/>
        <v>1</v>
      </c>
      <c r="X74" s="79">
        <f t="shared" si="88"/>
        <v>0</v>
      </c>
      <c r="Y74" s="79">
        <f t="shared" si="89"/>
        <v>0</v>
      </c>
      <c r="Z74" s="79">
        <f t="shared" si="90"/>
        <v>0</v>
      </c>
      <c r="AA74" s="79" t="str">
        <f>+VLOOKUP(C74,'EMP STATUS'!$D$3:$J$77,7,0)</f>
        <v>OLD</v>
      </c>
      <c r="AB74" s="72" t="str">
        <f t="shared" si="91"/>
        <v>YES</v>
      </c>
      <c r="AC74" s="72" t="str">
        <f t="shared" si="92"/>
        <v>NO</v>
      </c>
      <c r="AD74" s="64">
        <f t="shared" si="93"/>
        <v>0</v>
      </c>
      <c r="AE74" s="64">
        <f t="shared" si="94"/>
        <v>0</v>
      </c>
      <c r="AF74" s="64">
        <f t="shared" si="95"/>
        <v>0</v>
      </c>
      <c r="AG74" s="71">
        <f t="shared" si="96"/>
        <v>0</v>
      </c>
      <c r="AH74" s="68">
        <v>0</v>
      </c>
      <c r="AI74" s="68">
        <f t="shared" si="97"/>
        <v>0</v>
      </c>
      <c r="AJ74" s="64">
        <f t="shared" si="98"/>
        <v>0</v>
      </c>
      <c r="AK74" s="66">
        <f>+VLOOKUP(C74,'DSE WISE MGA SALE '!$B$5:$G$116,6,0)</f>
        <v>5478.767123287671</v>
      </c>
      <c r="AL74" s="67">
        <f t="shared" si="99"/>
        <v>5478.767123287671</v>
      </c>
      <c r="AM74" s="67">
        <f t="shared" si="100"/>
        <v>0</v>
      </c>
      <c r="AN74" s="70">
        <f>+COUNTIFS(SALES!$S$2:$S$171,'CALCULATION DSE'!$C$7:$C$80,SALES!$AH$2:$AH$171,"&gt;0")</f>
        <v>1</v>
      </c>
      <c r="AO74" s="68">
        <f t="shared" si="101"/>
        <v>400</v>
      </c>
      <c r="AP74" s="69">
        <f>+COUNTIFS(SALES!$S$2:$S$171,'CALCULATION DSE'!$C$8:$C$80,SALES!$BH$2:$BH$171,"MSSF")</f>
        <v>1</v>
      </c>
      <c r="AQ74" s="69">
        <f t="shared" si="102"/>
        <v>0</v>
      </c>
      <c r="AR74" s="98">
        <f t="shared" si="103"/>
        <v>1</v>
      </c>
      <c r="AS74" s="68">
        <f t="shared" si="104"/>
        <v>0</v>
      </c>
      <c r="AT74" s="68">
        <f t="shared" si="105"/>
        <v>0</v>
      </c>
      <c r="AU74" s="39">
        <f>+COUNTIFS(SALES!$S$2:$S$171,'CALCULATION DSE'!$C$8:$C$80,SALES!$Y$2:$Y$171,"&gt;0")</f>
        <v>1</v>
      </c>
      <c r="AV74" s="39">
        <f t="shared" si="106"/>
        <v>0</v>
      </c>
      <c r="AW74" s="65">
        <f t="shared" si="107"/>
        <v>1</v>
      </c>
      <c r="AX74" s="67">
        <f t="shared" si="108"/>
        <v>0</v>
      </c>
      <c r="AY74" s="67">
        <f t="shared" si="109"/>
        <v>0</v>
      </c>
      <c r="AZ74" s="39">
        <f>+COUNTIFS(SALES!$S$2:$S$171,'CALCULATION DSE'!$C$8:$C$80,SALES!$AC$2:$AC$171,"&gt;0")</f>
        <v>1</v>
      </c>
      <c r="BA74" s="39">
        <f t="shared" si="110"/>
        <v>0</v>
      </c>
      <c r="BB74" s="65">
        <f t="shared" si="111"/>
        <v>1</v>
      </c>
      <c r="BC74" s="66">
        <f t="shared" si="112"/>
        <v>0</v>
      </c>
      <c r="BD74" s="66">
        <f t="shared" si="113"/>
        <v>0</v>
      </c>
      <c r="BE74" s="99">
        <f>+COUNTIFS(SALES!$S$2:$S$171,'CALCULATION DSE'!$C$8:$C$80,SALES!$CA$2:$CA$171,"YES")</f>
        <v>0</v>
      </c>
      <c r="BF74" s="66">
        <f t="shared" si="114"/>
        <v>0</v>
      </c>
      <c r="BG74" s="37">
        <f>+SUMIFS(SALES!$BA$2:$BA$171,SALES!$S$2:$S$171,'CALCULATION DSE'!$C$8:$C$80)</f>
        <v>5900</v>
      </c>
      <c r="BH74" s="37">
        <f t="shared" si="115"/>
        <v>5900</v>
      </c>
      <c r="BI74" s="65">
        <f t="shared" si="116"/>
        <v>1</v>
      </c>
      <c r="BJ74" s="64">
        <f t="shared" si="117"/>
        <v>0</v>
      </c>
      <c r="BK74" s="64">
        <f t="shared" si="118"/>
        <v>400</v>
      </c>
      <c r="BL74" s="64">
        <v>0</v>
      </c>
      <c r="BM74" s="64">
        <f t="shared" si="119"/>
        <v>0</v>
      </c>
      <c r="BN74" s="37">
        <f t="shared" si="120"/>
        <v>400</v>
      </c>
      <c r="BO74" s="38">
        <f t="shared" si="121"/>
        <v>0</v>
      </c>
      <c r="BP74" s="64">
        <f t="shared" si="122"/>
        <v>0</v>
      </c>
      <c r="BQ74" s="64">
        <f t="shared" si="123"/>
        <v>0</v>
      </c>
      <c r="BR74" s="64">
        <f t="shared" si="128"/>
        <v>0</v>
      </c>
      <c r="BS74" s="64">
        <f t="shared" si="124"/>
        <v>0</v>
      </c>
      <c r="BT74" s="64">
        <f t="shared" si="125"/>
        <v>0</v>
      </c>
      <c r="BU74" s="64">
        <f t="shared" si="126"/>
        <v>0</v>
      </c>
      <c r="BV74" s="63">
        <f t="shared" si="127"/>
        <v>400</v>
      </c>
      <c r="CB74" s="50"/>
      <c r="CC74" s="50"/>
      <c r="CD74" s="62"/>
      <c r="CF74" s="46"/>
    </row>
    <row r="75" spans="1:84" hidden="1" x14ac:dyDescent="0.3">
      <c r="A75" s="72" t="s">
        <v>1855</v>
      </c>
      <c r="B75" s="145" t="s">
        <v>2586</v>
      </c>
      <c r="C75" s="145" t="s">
        <v>2307</v>
      </c>
      <c r="D75" s="145" t="s">
        <v>2586</v>
      </c>
      <c r="E75" s="145" t="s">
        <v>1744</v>
      </c>
      <c r="F75" s="79" t="str">
        <f>+VLOOKUP(C75,'EMP STATUS'!$D$3:$K$77,8,0)</f>
        <v>SEN029</v>
      </c>
      <c r="G75" s="72">
        <f>+COUNTIFS(SALES!$S$2:$S$171,'CALCULATION DSE'!$C$8:$C$80,SALES!$N$2:$N$171,'CALCULATION DSE'!$G$6:$U$6)</f>
        <v>0</v>
      </c>
      <c r="H75" s="72">
        <f>+COUNTIFS(SALES!$S$2:$S$171,'CALCULATION DSE'!$C$8:$C$80,SALES!$N$2:$N$171,'CALCULATION DSE'!$G$6:$U$6)</f>
        <v>0</v>
      </c>
      <c r="I75" s="72">
        <f>+COUNTIFS(SALES!$S$2:$S$171,'CALCULATION DSE'!$C$8:$C$80,SALES!$N$2:$N$171,'CALCULATION DSE'!$G$6:$U$6)</f>
        <v>0</v>
      </c>
      <c r="J75" s="72">
        <f>+COUNTIFS(SALES!$S$2:$S$171,'CALCULATION DSE'!$C$8:$C$80,SALES!$N$2:$N$171,'CALCULATION DSE'!$G$6:$U$6)</f>
        <v>0</v>
      </c>
      <c r="K75" s="72">
        <f>+COUNTIFS(SALES!$S$2:$S$171,'CALCULATION DSE'!$C$8:$C$80,SALES!$N$2:$N$171,'CALCULATION DSE'!$G$6:$U$6)</f>
        <v>0</v>
      </c>
      <c r="L75" s="72">
        <f>+COUNTIFS(SALES!$S$2:$S$171,'CALCULATION DSE'!$C$8:$C$80,SALES!$N$2:$N$171,'CALCULATION DSE'!$G$6:$U$6)</f>
        <v>0</v>
      </c>
      <c r="M75" s="72">
        <f>+COUNTIFS(SALES!$S$2:$S$171,'CALCULATION DSE'!$C$8:$C$80,SALES!$N$2:$N$171,'CALCULATION DSE'!$G$6:$U$6)</f>
        <v>1</v>
      </c>
      <c r="N75" s="72">
        <f>+COUNTIFS(SALES!$S$2:$S$171,'CALCULATION DSE'!$C$8:$C$80,SALES!$N$2:$N$171,'CALCULATION DSE'!$G$6:$U$6)</f>
        <v>0</v>
      </c>
      <c r="O75" s="72">
        <f>+COUNTIFS(SALES!$S$2:$S$171,'CALCULATION DSE'!$C$8:$C$80,SALES!$N$2:$N$171,'CALCULATION DSE'!$G$6:$U$6)</f>
        <v>0</v>
      </c>
      <c r="P75" s="72">
        <f>+COUNTIFS(SALES!$S$2:$S$171,'CALCULATION DSE'!$C$8:$C$80,SALES!$N$2:$N$171,'CALCULATION DSE'!$G$6:$U$6)</f>
        <v>0</v>
      </c>
      <c r="Q75" s="72">
        <f>+COUNTIFS(SALES!$S$2:$S$171,'CALCULATION DSE'!$C$8:$C$80,SALES!$N$2:$N$171,'CALCULATION DSE'!$G$6:$U$6)</f>
        <v>0</v>
      </c>
      <c r="R75" s="72">
        <f>+COUNTIFS(SALES!$S$2:$S$171,'CALCULATION DSE'!$C$8:$C$80,SALES!$N$2:$N$171,'CALCULATION DSE'!$G$6:$U$6)</f>
        <v>0</v>
      </c>
      <c r="S75" s="72">
        <f>+COUNTIFS(SALES!$S$2:$S$171,'CALCULATION DSE'!$C$8:$C$80,SALES!$N$2:$N$171,'CALCULATION DSE'!$G$6:$U$6)</f>
        <v>0</v>
      </c>
      <c r="T75" s="72">
        <f>+COUNTIFS(SALES!$S$2:$S$171,'CALCULATION DSE'!$C$8:$C$80,SALES!$N$2:$N$171,'CALCULATION DSE'!$G$6:$U$6)</f>
        <v>0</v>
      </c>
      <c r="U75" s="72">
        <f>+COUNTIFS(SALES!$S$2:$S$171,'CALCULATION DSE'!$C$8:$C$80,SALES!$N$2:$N$171,'CALCULATION DSE'!$G$6:$U$6)</f>
        <v>1</v>
      </c>
      <c r="V75" s="146">
        <f t="shared" ref="V75:V77" si="129">+SUM(G75:U75)</f>
        <v>2</v>
      </c>
      <c r="W75" s="146">
        <f t="shared" si="87"/>
        <v>2</v>
      </c>
      <c r="X75" s="79">
        <f t="shared" si="88"/>
        <v>0</v>
      </c>
      <c r="Y75" s="79">
        <f t="shared" si="89"/>
        <v>0</v>
      </c>
      <c r="Z75" s="79">
        <f t="shared" si="90"/>
        <v>1</v>
      </c>
      <c r="AA75" s="79" t="str">
        <f>+VLOOKUP(C75,'EMP STATUS'!$D$3:$J$77,7,0)</f>
        <v>OLD</v>
      </c>
      <c r="AB75" s="72" t="str">
        <f t="shared" ref="AB75:AB77" si="130">+IF(AA75="OLD","YES","NO")</f>
        <v>YES</v>
      </c>
      <c r="AC75" s="72" t="str">
        <f t="shared" si="92"/>
        <v>YES</v>
      </c>
      <c r="AD75" s="147">
        <f t="shared" si="93"/>
        <v>0</v>
      </c>
      <c r="AE75" s="147">
        <f t="shared" si="94"/>
        <v>1000</v>
      </c>
      <c r="AF75" s="147">
        <f t="shared" si="95"/>
        <v>0</v>
      </c>
      <c r="AG75" s="148">
        <f t="shared" ref="AG75:AG77" si="131">+SUM(AD75:AF75)</f>
        <v>1000</v>
      </c>
      <c r="AH75" s="149">
        <v>0</v>
      </c>
      <c r="AI75" s="149">
        <f t="shared" ref="AI75:AI77" si="132">+IF(AA75="NEW",IF(AH75&gt;=140,1800,0),IF(AND(AA75="OLD",V75&gt;=2),IF(AH75&gt;=140,1800,0),0))</f>
        <v>0</v>
      </c>
      <c r="AJ75" s="147">
        <f t="shared" si="98"/>
        <v>0</v>
      </c>
      <c r="AK75" s="99">
        <f>+VLOOKUP(C75,'DSE WISE MGA SALE '!$B$5:$G$116,6,0)</f>
        <v>50714.383561643837</v>
      </c>
      <c r="AL75" s="99">
        <f t="shared" ref="AL75:AL77" si="133">+IFERROR(AK75/V75,0)</f>
        <v>25357.191780821919</v>
      </c>
      <c r="AM75" s="99">
        <f t="shared" ref="AM75:AM77" si="134">+IF(AA75="new",IF(AL75&gt;=25001,AK75*5%,IF(AL75&gt;=22501,AK75*4.5%,IF(AL75&gt;=21001,AK75*4%,IF(AL75&gt;=19501,AK75*3.5%,IF(AL75&gt;=17001,AK75*3%,0%))))),IF(AND(AA75="OLD",V75&gt;=2),IF(AL75&gt;=25001,AK75*5%,IF(AL75&gt;=22501,AK75*4.5%,IF(AL75&gt;=21001,AK75*4%,IF(AL75&gt;=19501,AK75*3.5%,IF(AL75&gt;=17001,AK75*3%,0%))))),0))</f>
        <v>2535.7191780821922</v>
      </c>
      <c r="AN75" s="150">
        <f>+COUNTIFS(SALES!$S$2:$S$171,'CALCULATION DSE'!$C$7:$C$80,SALES!$AH$2:$AH$171,"&gt;0")</f>
        <v>1</v>
      </c>
      <c r="AO75" s="149">
        <f t="shared" ref="AO75:AO77" si="135">+IF(AN75=1,AN75*400,IF(AN75&gt;=2,AN75*600,0))</f>
        <v>400</v>
      </c>
      <c r="AP75" s="151">
        <f>+COUNTIFS(SALES!$S$2:$S$171,'CALCULATION DSE'!$C$8:$C$80,SALES!$BH$2:$BH$171,"MSSF")</f>
        <v>1</v>
      </c>
      <c r="AQ75" s="151">
        <f t="shared" ref="AQ75:AQ77" si="136">+V75-AP75</f>
        <v>1</v>
      </c>
      <c r="AR75" s="152">
        <f t="shared" si="103"/>
        <v>0.5</v>
      </c>
      <c r="AS75" s="149">
        <f t="shared" ref="AS75:AS77" si="137">+IF(AA75="new",IF(AR75&gt;=70%,AP75*250,0),IF(AND(AA75="old",V75&gt;=2),IF(AR75&gt;=70%,AP75*250,0),0))</f>
        <v>0</v>
      </c>
      <c r="AT75" s="149">
        <f t="shared" si="105"/>
        <v>250</v>
      </c>
      <c r="AU75" s="72">
        <f>+COUNTIFS(SALES!$S$2:$S$171,'CALCULATION DSE'!$C$8:$C$80,SALES!$Y$2:$Y$171,"&gt;0")</f>
        <v>1</v>
      </c>
      <c r="AV75" s="72">
        <f t="shared" ref="AV75:AV77" si="138">+V75-AU75</f>
        <v>1</v>
      </c>
      <c r="AW75" s="153">
        <f t="shared" si="107"/>
        <v>0.5</v>
      </c>
      <c r="AX75" s="99">
        <f t="shared" ref="AX75:AX77" si="139">+IF(AA75="new",IF(AW75&gt;=80%,AU75*1000,IF(AW75&gt;=70%,AU75*400,0)),IF(AND(AA75="old",V75&gt;=2),IF(AW75&gt;=80%,AU75*1000,IF(AW75&gt;=70%,AU75*400,0)),0))</f>
        <v>0</v>
      </c>
      <c r="AY75" s="99">
        <f t="shared" si="109"/>
        <v>400</v>
      </c>
      <c r="AZ75" s="72">
        <f>+COUNTIFS(SALES!$S$2:$S$171,'CALCULATION DSE'!$C$8:$C$80,SALES!$AC$2:$AC$171,"&gt;0")</f>
        <v>0</v>
      </c>
      <c r="BA75" s="72">
        <f t="shared" ref="BA75:BA77" si="140">+V75-AZ75</f>
        <v>2</v>
      </c>
      <c r="BB75" s="153">
        <f t="shared" si="111"/>
        <v>0</v>
      </c>
      <c r="BC75" s="99">
        <f t="shared" ref="BC75:BC77" si="141">+IF(AA75="new",IF(BB75&gt;=80%,AZ75*750,IF(BB75&gt;=70%,AZ75*250,0)),IF(AND(AA75="OLD",V75&gt;=2),IF(BB75&gt;=80%,AZ75*750,IF(BB75&gt;=70%,AZ75*250,0)),0))</f>
        <v>0</v>
      </c>
      <c r="BD75" s="99">
        <f t="shared" si="113"/>
        <v>500</v>
      </c>
      <c r="BE75" s="99">
        <f>+COUNTIFS(SALES!$S$2:$S$171,'CALCULATION DSE'!$C$8:$C$80,SALES!$CA$2:$CA$171,"YES")</f>
        <v>0</v>
      </c>
      <c r="BF75" s="99">
        <f t="shared" ref="BF75:BF78" si="142">+IF(AA75="NEW",BE75*3000,IF(AND(AA75="OLD",V75&gt;=2),BE75*3000,0))</f>
        <v>0</v>
      </c>
      <c r="BG75" s="148">
        <f>+SUMIFS(SALES!$BA$2:$BA$171,SALES!$S$2:$S$171,'CALCULATION DSE'!$C$8:$C$80)</f>
        <v>27495</v>
      </c>
      <c r="BH75" s="148">
        <f t="shared" ref="BH75:BH77" si="143">+IFERROR(BG75/V75,0)</f>
        <v>13747.5</v>
      </c>
      <c r="BI75" s="153">
        <f t="shared" ref="BI75:BI77" si="144">+IF(BH75&gt;14000,0%,IF(BH75&gt;=12001,30%,IF(BH75&gt;=10001,40%,IF(BH75&gt;=8001,60%,IF(BH75&gt;=6001,80%,IF(BH75&gt;=4001,100%,IF(BH75&gt;=2001,110%,IF(BH75&gt;=1001,130%,150%))))))))</f>
        <v>0.3</v>
      </c>
      <c r="BJ75" s="147">
        <f t="shared" ref="BJ75:BJ77" si="145">+AG75*BI75</f>
        <v>300</v>
      </c>
      <c r="BK75" s="147">
        <f t="shared" ref="BK75:BK77" si="146">+IF(SUM(BJ75+AI75-AJ75+AM75+AO75+AS75-AT75+AX75-AY75+BC75-BD75+BF75)&lt;0,0,SUM(BJ75+AI75-AJ75+AM75+AO75+AS75-AT75+AX75-AY75+BC75-BD75+BF75))</f>
        <v>2085.7191780821922</v>
      </c>
      <c r="BL75" s="147">
        <v>0</v>
      </c>
      <c r="BM75" s="147">
        <f t="shared" ref="BM75:BM77" si="147">+IF(BL75=1,BL75*500,IF(BL75&gt;=2,BL75*1000,0))</f>
        <v>0</v>
      </c>
      <c r="BN75" s="148">
        <f t="shared" ref="BN75:BN77" si="148">+BK75-BM75</f>
        <v>2085.7191780821922</v>
      </c>
      <c r="BO75" s="99">
        <f t="shared" si="121"/>
        <v>0</v>
      </c>
      <c r="BP75" s="147">
        <f t="shared" si="122"/>
        <v>1</v>
      </c>
      <c r="BQ75" s="147">
        <f t="shared" ref="BQ75:BQ77" si="149">+BP75*1000</f>
        <v>1000</v>
      </c>
      <c r="BR75" s="147">
        <f t="shared" si="128"/>
        <v>0</v>
      </c>
      <c r="BS75" s="147">
        <f t="shared" ref="BS75:BS77" si="150">+BR75*2000</f>
        <v>0</v>
      </c>
      <c r="BT75" s="147">
        <f t="shared" si="125"/>
        <v>1</v>
      </c>
      <c r="BU75" s="147">
        <f t="shared" ref="BU75:BU77" si="151">+BT75*1000</f>
        <v>1000</v>
      </c>
      <c r="BV75" s="154">
        <f t="shared" ref="BV75:BV77" si="152">+BN75+BO75+BQ75+BS75+BU75</f>
        <v>4085.7191780821922</v>
      </c>
      <c r="CB75" s="155"/>
      <c r="CC75" s="155"/>
      <c r="CD75" s="156"/>
      <c r="CF75" s="157"/>
    </row>
    <row r="76" spans="1:84" customFormat="1" hidden="1" x14ac:dyDescent="0.3">
      <c r="A76" s="74" t="s">
        <v>2938</v>
      </c>
      <c r="B76" s="40" t="s">
        <v>2259</v>
      </c>
      <c r="C76" s="40" t="s">
        <v>2873</v>
      </c>
      <c r="D76" s="40" t="s">
        <v>2407</v>
      </c>
      <c r="E76" s="73" t="s">
        <v>646</v>
      </c>
      <c r="F76" s="79" t="str">
        <f>+VLOOKUP(C76,'EMP STATUS'!$D$3:$K$77,8,0)</f>
        <v>ARBUR18</v>
      </c>
      <c r="G76" s="39">
        <f>+COUNTIFS(SALES!$S$2:$S$171,'CALCULATION DSE'!$C$8:$C$80,SALES!$N$2:$N$171,'CALCULATION DSE'!$G$6:$U$6)</f>
        <v>0</v>
      </c>
      <c r="H76" s="39">
        <f>+COUNTIFS(SALES!$S$2:$S$171,'CALCULATION DSE'!$C$8:$C$80,SALES!$N$2:$N$171,'CALCULATION DSE'!$G$6:$U$6)</f>
        <v>0</v>
      </c>
      <c r="I76" s="39">
        <f>+COUNTIFS(SALES!$S$2:$S$171,'CALCULATION DSE'!$C$8:$C$80,SALES!$N$2:$N$171,'CALCULATION DSE'!$G$6:$U$6)</f>
        <v>0</v>
      </c>
      <c r="J76" s="39">
        <f>+COUNTIFS(SALES!$S$2:$S$171,'CALCULATION DSE'!$C$8:$C$80,SALES!$N$2:$N$171,'CALCULATION DSE'!$G$6:$U$6)</f>
        <v>0</v>
      </c>
      <c r="K76" s="39">
        <f>+COUNTIFS(SALES!$S$2:$S$171,'CALCULATION DSE'!$C$8:$C$80,SALES!$N$2:$N$171,'CALCULATION DSE'!$G$6:$U$6)</f>
        <v>0</v>
      </c>
      <c r="L76" s="39">
        <f>+COUNTIFS(SALES!$S$2:$S$171,'CALCULATION DSE'!$C$8:$C$80,SALES!$N$2:$N$171,'CALCULATION DSE'!$G$6:$U$6)</f>
        <v>0</v>
      </c>
      <c r="M76" s="39">
        <f>+COUNTIFS(SALES!$S$2:$S$171,'CALCULATION DSE'!$C$8:$C$80,SALES!$N$2:$N$171,'CALCULATION DSE'!$G$6:$U$6)</f>
        <v>0</v>
      </c>
      <c r="N76" s="39">
        <f>+COUNTIFS(SALES!$S$2:$S$171,'CALCULATION DSE'!$C$8:$C$80,SALES!$N$2:$N$171,'CALCULATION DSE'!$G$6:$U$6)</f>
        <v>0</v>
      </c>
      <c r="O76" s="39">
        <f>+COUNTIFS(SALES!$S$2:$S$171,'CALCULATION DSE'!$C$8:$C$80,SALES!$N$2:$N$171,'CALCULATION DSE'!$G$6:$U$6)</f>
        <v>0</v>
      </c>
      <c r="P76" s="39">
        <f>+COUNTIFS(SALES!$S$2:$S$171,'CALCULATION DSE'!$C$8:$C$80,SALES!$N$2:$N$171,'CALCULATION DSE'!$G$6:$U$6)</f>
        <v>0</v>
      </c>
      <c r="Q76" s="39">
        <f>+COUNTIFS(SALES!$S$2:$S$171,'CALCULATION DSE'!$C$8:$C$80,SALES!$N$2:$N$171,'CALCULATION DSE'!$G$6:$U$6)</f>
        <v>0</v>
      </c>
      <c r="R76" s="39">
        <f>+COUNTIFS(SALES!$S$2:$S$171,'CALCULATION DSE'!$C$8:$C$80,SALES!$N$2:$N$171,'CALCULATION DSE'!$G$6:$U$6)</f>
        <v>0</v>
      </c>
      <c r="S76" s="39">
        <f>+COUNTIFS(SALES!$S$2:$S$171,'CALCULATION DSE'!$C$8:$C$80,SALES!$N$2:$N$171,'CALCULATION DSE'!$G$6:$U$6)</f>
        <v>0</v>
      </c>
      <c r="T76" s="39">
        <f>+COUNTIFS(SALES!$S$2:$S$171,'CALCULATION DSE'!$C$8:$C$80,SALES!$N$2:$N$171,'CALCULATION DSE'!$G$6:$U$6)</f>
        <v>0</v>
      </c>
      <c r="U76" s="39">
        <f>+COUNTIFS(SALES!$S$2:$S$171,'CALCULATION DSE'!$C$8:$C$80,SALES!$N$2:$N$171,'CALCULATION DSE'!$G$6:$U$6)</f>
        <v>0</v>
      </c>
      <c r="V76" s="36">
        <f t="shared" si="129"/>
        <v>0</v>
      </c>
      <c r="W76" s="36">
        <f t="shared" si="87"/>
        <v>0</v>
      </c>
      <c r="X76" s="79">
        <f t="shared" si="88"/>
        <v>0</v>
      </c>
      <c r="Y76" s="79">
        <f t="shared" si="89"/>
        <v>0</v>
      </c>
      <c r="Z76" s="79">
        <f t="shared" si="90"/>
        <v>0</v>
      </c>
      <c r="AA76" s="79" t="str">
        <f>+VLOOKUP(C76,'EMP STATUS'!$D$3:$J$77,7,0)</f>
        <v>NEW</v>
      </c>
      <c r="AB76" s="72" t="str">
        <f t="shared" si="130"/>
        <v>NO</v>
      </c>
      <c r="AC76" s="72" t="str">
        <f t="shared" si="92"/>
        <v>YES</v>
      </c>
      <c r="AD76" s="64">
        <f t="shared" si="93"/>
        <v>0</v>
      </c>
      <c r="AE76" s="64">
        <f t="shared" si="94"/>
        <v>0</v>
      </c>
      <c r="AF76" s="64">
        <f t="shared" si="95"/>
        <v>0</v>
      </c>
      <c r="AG76" s="71">
        <f t="shared" si="131"/>
        <v>0</v>
      </c>
      <c r="AH76" s="68">
        <v>0</v>
      </c>
      <c r="AI76" s="68">
        <f t="shared" si="132"/>
        <v>0</v>
      </c>
      <c r="AJ76" s="64">
        <f t="shared" si="98"/>
        <v>0</v>
      </c>
      <c r="AK76" s="66" t="e">
        <f>+VLOOKUP(C76,'DSE WISE MGA SALE '!$B$5:$G$116,6,0)</f>
        <v>#N/A</v>
      </c>
      <c r="AL76" s="67">
        <f t="shared" si="133"/>
        <v>0</v>
      </c>
      <c r="AM76" s="67">
        <f t="shared" si="134"/>
        <v>0</v>
      </c>
      <c r="AN76" s="70">
        <f>+COUNTIFS(SALES!$S$2:$S$171,'CALCULATION DSE'!$C$7:$C$80,SALES!$AH$2:$AH$171,"&gt;0")</f>
        <v>0</v>
      </c>
      <c r="AO76" s="68">
        <f t="shared" si="135"/>
        <v>0</v>
      </c>
      <c r="AP76" s="69">
        <f>+COUNTIFS(SALES!$S$2:$S$171,'CALCULATION DSE'!$C$8:$C$80,SALES!$BH$2:$BH$171,"MSSF")</f>
        <v>0</v>
      </c>
      <c r="AQ76" s="69">
        <f t="shared" si="136"/>
        <v>0</v>
      </c>
      <c r="AR76" s="98">
        <f t="shared" si="103"/>
        <v>0</v>
      </c>
      <c r="AS76" s="68">
        <f t="shared" si="137"/>
        <v>0</v>
      </c>
      <c r="AT76" s="68">
        <f t="shared" si="105"/>
        <v>0</v>
      </c>
      <c r="AU76" s="39">
        <f>+COUNTIFS(SALES!$S$2:$S$171,'CALCULATION DSE'!$C$8:$C$80,SALES!$Y$2:$Y$171,"&gt;0")</f>
        <v>0</v>
      </c>
      <c r="AV76" s="39">
        <f t="shared" si="138"/>
        <v>0</v>
      </c>
      <c r="AW76" s="65">
        <f t="shared" si="107"/>
        <v>0</v>
      </c>
      <c r="AX76" s="67">
        <f t="shared" si="139"/>
        <v>0</v>
      </c>
      <c r="AY76" s="67">
        <f t="shared" si="109"/>
        <v>0</v>
      </c>
      <c r="AZ76" s="39">
        <f>+COUNTIFS(SALES!$S$2:$S$171,'CALCULATION DSE'!$C$8:$C$80,SALES!$AC$2:$AC$171,"&gt;0")</f>
        <v>0</v>
      </c>
      <c r="BA76" s="39">
        <f t="shared" si="140"/>
        <v>0</v>
      </c>
      <c r="BB76" s="65">
        <f t="shared" si="111"/>
        <v>0</v>
      </c>
      <c r="BC76" s="66">
        <f t="shared" si="141"/>
        <v>0</v>
      </c>
      <c r="BD76" s="66">
        <f t="shared" si="113"/>
        <v>0</v>
      </c>
      <c r="BE76" s="99">
        <f>+COUNTIFS(SALES!$S$2:$S$171,'CALCULATION DSE'!$C$8:$C$80,SALES!$CA$2:$CA$171,"YES")</f>
        <v>0</v>
      </c>
      <c r="BF76" s="66">
        <f t="shared" si="142"/>
        <v>0</v>
      </c>
      <c r="BG76" s="37">
        <f>+SUMIFS(SALES!$BA$2:$BA$171,SALES!$S$2:$S$171,'CALCULATION DSE'!$C$8:$C$80)</f>
        <v>0</v>
      </c>
      <c r="BH76" s="37">
        <f t="shared" si="143"/>
        <v>0</v>
      </c>
      <c r="BI76" s="65">
        <f t="shared" si="144"/>
        <v>1.5</v>
      </c>
      <c r="BJ76" s="64">
        <f t="shared" si="145"/>
        <v>0</v>
      </c>
      <c r="BK76" s="64">
        <f t="shared" si="146"/>
        <v>0</v>
      </c>
      <c r="BL76" s="64">
        <v>0</v>
      </c>
      <c r="BM76" s="64">
        <f t="shared" si="147"/>
        <v>0</v>
      </c>
      <c r="BN76" s="37">
        <f t="shared" si="148"/>
        <v>0</v>
      </c>
      <c r="BO76" s="38">
        <f t="shared" si="121"/>
        <v>0</v>
      </c>
      <c r="BP76" s="64">
        <f t="shared" si="122"/>
        <v>0</v>
      </c>
      <c r="BQ76" s="64">
        <f t="shared" si="149"/>
        <v>0</v>
      </c>
      <c r="BR76" s="64">
        <f t="shared" si="128"/>
        <v>0</v>
      </c>
      <c r="BS76" s="64">
        <f t="shared" si="150"/>
        <v>0</v>
      </c>
      <c r="BT76" s="64">
        <f t="shared" si="125"/>
        <v>0</v>
      </c>
      <c r="BU76" s="64">
        <f t="shared" si="151"/>
        <v>0</v>
      </c>
      <c r="BV76" s="63">
        <f t="shared" si="152"/>
        <v>0</v>
      </c>
      <c r="CB76" s="50"/>
      <c r="CC76" s="50"/>
      <c r="CD76" s="62"/>
      <c r="CF76" s="46"/>
    </row>
    <row r="77" spans="1:84" hidden="1" x14ac:dyDescent="0.3">
      <c r="A77" s="72" t="s">
        <v>3062</v>
      </c>
      <c r="B77" s="145" t="s">
        <v>2286</v>
      </c>
      <c r="C77" s="145" t="s">
        <v>2475</v>
      </c>
      <c r="D77" s="145" t="s">
        <v>2286</v>
      </c>
      <c r="E77" s="145" t="s">
        <v>2283</v>
      </c>
      <c r="F77" s="79" t="str">
        <f>+VLOOKUP(C77,'EMP STATUS'!$D$3:$K$77,8,0)</f>
        <v>THI50</v>
      </c>
      <c r="G77" s="72">
        <f>+COUNTIFS(SALES!$S$2:$S$171,'CALCULATION DSE'!$C$8:$C$80,SALES!$N$2:$N$171,'CALCULATION DSE'!$G$6:$U$6)</f>
        <v>0</v>
      </c>
      <c r="H77" s="72">
        <f>+COUNTIFS(SALES!$S$2:$S$171,'CALCULATION DSE'!$C$8:$C$80,SALES!$N$2:$N$171,'CALCULATION DSE'!$G$6:$U$6)</f>
        <v>0</v>
      </c>
      <c r="I77" s="72">
        <f>+COUNTIFS(SALES!$S$2:$S$171,'CALCULATION DSE'!$C$8:$C$80,SALES!$N$2:$N$171,'CALCULATION DSE'!$G$6:$U$6)</f>
        <v>0</v>
      </c>
      <c r="J77" s="72">
        <f>+COUNTIFS(SALES!$S$2:$S$171,'CALCULATION DSE'!$C$8:$C$80,SALES!$N$2:$N$171,'CALCULATION DSE'!$G$6:$U$6)</f>
        <v>0</v>
      </c>
      <c r="K77" s="72">
        <f>+COUNTIFS(SALES!$S$2:$S$171,'CALCULATION DSE'!$C$8:$C$80,SALES!$N$2:$N$171,'CALCULATION DSE'!$G$6:$U$6)</f>
        <v>0</v>
      </c>
      <c r="L77" s="72">
        <f>+COUNTIFS(SALES!$S$2:$S$171,'CALCULATION DSE'!$C$8:$C$80,SALES!$N$2:$N$171,'CALCULATION DSE'!$G$6:$U$6)</f>
        <v>0</v>
      </c>
      <c r="M77" s="72">
        <f>+COUNTIFS(SALES!$S$2:$S$171,'CALCULATION DSE'!$C$8:$C$80,SALES!$N$2:$N$171,'CALCULATION DSE'!$G$6:$U$6)</f>
        <v>1</v>
      </c>
      <c r="N77" s="72">
        <f>+COUNTIFS(SALES!$S$2:$S$171,'CALCULATION DSE'!$C$8:$C$80,SALES!$N$2:$N$171,'CALCULATION DSE'!$G$6:$U$6)</f>
        <v>0</v>
      </c>
      <c r="O77" s="72">
        <f>+COUNTIFS(SALES!$S$2:$S$171,'CALCULATION DSE'!$C$8:$C$80,SALES!$N$2:$N$171,'CALCULATION DSE'!$G$6:$U$6)</f>
        <v>0</v>
      </c>
      <c r="P77" s="72">
        <f>+COUNTIFS(SALES!$S$2:$S$171,'CALCULATION DSE'!$C$8:$C$80,SALES!$N$2:$N$171,'CALCULATION DSE'!$G$6:$U$6)</f>
        <v>0</v>
      </c>
      <c r="Q77" s="72">
        <f>+COUNTIFS(SALES!$S$2:$S$171,'CALCULATION DSE'!$C$8:$C$80,SALES!$N$2:$N$171,'CALCULATION DSE'!$G$6:$U$6)</f>
        <v>0</v>
      </c>
      <c r="R77" s="72">
        <f>+COUNTIFS(SALES!$S$2:$S$171,'CALCULATION DSE'!$C$8:$C$80,SALES!$N$2:$N$171,'CALCULATION DSE'!$G$6:$U$6)</f>
        <v>0</v>
      </c>
      <c r="S77" s="72">
        <f>+COUNTIFS(SALES!$S$2:$S$171,'CALCULATION DSE'!$C$8:$C$80,SALES!$N$2:$N$171,'CALCULATION DSE'!$G$6:$U$6)</f>
        <v>0</v>
      </c>
      <c r="T77" s="72">
        <f>+COUNTIFS(SALES!$S$2:$S$171,'CALCULATION DSE'!$C$8:$C$80,SALES!$N$2:$N$171,'CALCULATION DSE'!$G$6:$U$6)</f>
        <v>0</v>
      </c>
      <c r="U77" s="72">
        <f>+COUNTIFS(SALES!$S$2:$S$171,'CALCULATION DSE'!$C$8:$C$80,SALES!$N$2:$N$171,'CALCULATION DSE'!$G$6:$U$6)</f>
        <v>0</v>
      </c>
      <c r="V77" s="146">
        <f t="shared" si="129"/>
        <v>1</v>
      </c>
      <c r="W77" s="146">
        <f t="shared" si="87"/>
        <v>1</v>
      </c>
      <c r="X77" s="79">
        <f t="shared" si="88"/>
        <v>0</v>
      </c>
      <c r="Y77" s="79">
        <f t="shared" si="89"/>
        <v>0</v>
      </c>
      <c r="Z77" s="79">
        <f t="shared" si="90"/>
        <v>1</v>
      </c>
      <c r="AA77" s="79" t="str">
        <f>+VLOOKUP(C77,'EMP STATUS'!$D$3:$J$77,7,0)</f>
        <v>OLD</v>
      </c>
      <c r="AB77" s="72" t="str">
        <f t="shared" si="130"/>
        <v>YES</v>
      </c>
      <c r="AC77" s="72" t="str">
        <f t="shared" si="92"/>
        <v>YES</v>
      </c>
      <c r="AD77" s="147">
        <f t="shared" si="93"/>
        <v>0</v>
      </c>
      <c r="AE77" s="147">
        <f t="shared" si="94"/>
        <v>0</v>
      </c>
      <c r="AF77" s="147">
        <f t="shared" si="95"/>
        <v>0</v>
      </c>
      <c r="AG77" s="148">
        <f t="shared" si="131"/>
        <v>0</v>
      </c>
      <c r="AH77" s="149">
        <v>0</v>
      </c>
      <c r="AI77" s="149">
        <f t="shared" si="132"/>
        <v>0</v>
      </c>
      <c r="AJ77" s="147">
        <f t="shared" si="98"/>
        <v>0</v>
      </c>
      <c r="AK77" s="99">
        <f>+VLOOKUP(C77,'DSE WISE MGA SALE '!$B$5:$G$116,6,0)</f>
        <v>22580.136986301372</v>
      </c>
      <c r="AL77" s="99">
        <f t="shared" si="133"/>
        <v>22580.136986301372</v>
      </c>
      <c r="AM77" s="99">
        <f t="shared" si="134"/>
        <v>0</v>
      </c>
      <c r="AN77" s="150">
        <f>+COUNTIFS(SALES!$S$2:$S$171,'CALCULATION DSE'!$C$7:$C$80,SALES!$AH$2:$AH$171,"&gt;0")</f>
        <v>0</v>
      </c>
      <c r="AO77" s="149">
        <f t="shared" si="135"/>
        <v>0</v>
      </c>
      <c r="AP77" s="151">
        <f>+COUNTIFS(SALES!$S$2:$S$171,'CALCULATION DSE'!$C$8:$C$80,SALES!$BH$2:$BH$171,"MSSF")</f>
        <v>1</v>
      </c>
      <c r="AQ77" s="151">
        <f t="shared" si="136"/>
        <v>0</v>
      </c>
      <c r="AR77" s="152">
        <f t="shared" si="103"/>
        <v>1</v>
      </c>
      <c r="AS77" s="149">
        <f t="shared" si="137"/>
        <v>0</v>
      </c>
      <c r="AT77" s="149">
        <f t="shared" si="105"/>
        <v>0</v>
      </c>
      <c r="AU77" s="72">
        <f>+COUNTIFS(SALES!$S$2:$S$171,'CALCULATION DSE'!$C$8:$C$80,SALES!$Y$2:$Y$171,"&gt;0")</f>
        <v>0</v>
      </c>
      <c r="AV77" s="72">
        <f t="shared" si="138"/>
        <v>1</v>
      </c>
      <c r="AW77" s="153">
        <f t="shared" si="107"/>
        <v>0</v>
      </c>
      <c r="AX77" s="99">
        <f t="shared" si="139"/>
        <v>0</v>
      </c>
      <c r="AY77" s="99">
        <f t="shared" si="109"/>
        <v>0</v>
      </c>
      <c r="AZ77" s="72">
        <f>+COUNTIFS(SALES!$S$2:$S$171,'CALCULATION DSE'!$C$8:$C$80,SALES!$AC$2:$AC$171,"&gt;0")</f>
        <v>0</v>
      </c>
      <c r="BA77" s="72">
        <f t="shared" si="140"/>
        <v>1</v>
      </c>
      <c r="BB77" s="153">
        <f t="shared" si="111"/>
        <v>0</v>
      </c>
      <c r="BC77" s="99">
        <f t="shared" si="141"/>
        <v>0</v>
      </c>
      <c r="BD77" s="99">
        <f t="shared" si="113"/>
        <v>0</v>
      </c>
      <c r="BE77" s="99">
        <f>+COUNTIFS(SALES!$S$2:$S$171,'CALCULATION DSE'!$C$8:$C$80,SALES!$CA$2:$CA$171,"YES")</f>
        <v>0</v>
      </c>
      <c r="BF77" s="99">
        <f t="shared" si="142"/>
        <v>0</v>
      </c>
      <c r="BG77" s="148">
        <f>+SUMIFS(SALES!$BA$2:$BA$171,SALES!$S$2:$S$171,'CALCULATION DSE'!$C$8:$C$80)</f>
        <v>22901</v>
      </c>
      <c r="BH77" s="148">
        <f t="shared" si="143"/>
        <v>22901</v>
      </c>
      <c r="BI77" s="153">
        <f t="shared" si="144"/>
        <v>0</v>
      </c>
      <c r="BJ77" s="147">
        <f t="shared" si="145"/>
        <v>0</v>
      </c>
      <c r="BK77" s="147">
        <f t="shared" si="146"/>
        <v>0</v>
      </c>
      <c r="BL77" s="147">
        <v>0</v>
      </c>
      <c r="BM77" s="147">
        <f t="shared" si="147"/>
        <v>0</v>
      </c>
      <c r="BN77" s="148">
        <f t="shared" si="148"/>
        <v>0</v>
      </c>
      <c r="BO77" s="99">
        <f t="shared" si="121"/>
        <v>0</v>
      </c>
      <c r="BP77" s="147">
        <f t="shared" si="122"/>
        <v>0</v>
      </c>
      <c r="BQ77" s="147">
        <f t="shared" si="149"/>
        <v>0</v>
      </c>
      <c r="BR77" s="147">
        <f t="shared" si="128"/>
        <v>0</v>
      </c>
      <c r="BS77" s="147">
        <f t="shared" si="150"/>
        <v>0</v>
      </c>
      <c r="BT77" s="147">
        <f t="shared" si="125"/>
        <v>1</v>
      </c>
      <c r="BU77" s="147">
        <f t="shared" si="151"/>
        <v>1000</v>
      </c>
      <c r="BV77" s="154">
        <f t="shared" si="152"/>
        <v>1000</v>
      </c>
      <c r="BX77" s="87"/>
      <c r="CB77" s="155"/>
      <c r="CC77" s="155"/>
      <c r="CD77" s="156"/>
      <c r="CF77" s="157"/>
    </row>
    <row r="78" spans="1:84" customFormat="1" hidden="1" x14ac:dyDescent="0.3">
      <c r="A78" s="74" t="s">
        <v>1297</v>
      </c>
      <c r="B78" s="73" t="s">
        <v>2269</v>
      </c>
      <c r="C78" s="40" t="s">
        <v>2272</v>
      </c>
      <c r="D78" s="73" t="s">
        <v>2269</v>
      </c>
      <c r="E78" s="73" t="s">
        <v>2269</v>
      </c>
      <c r="F78" s="79" t="str">
        <f>+VLOOKUP(C78,'EMP STATUS'!$D$3:$K$77,8,0)</f>
        <v>KAS10</v>
      </c>
      <c r="G78" s="39">
        <f>+COUNTIFS(SALES!$S$2:$S$171,'CALCULATION DSE'!$C$8:$C$80,SALES!$N$2:$N$171,'CALCULATION DSE'!$G$6:$U$6)</f>
        <v>0</v>
      </c>
      <c r="H78" s="39">
        <f>+COUNTIFS(SALES!$S$2:$S$171,'CALCULATION DSE'!$C$8:$C$80,SALES!$N$2:$N$171,'CALCULATION DSE'!$G$6:$U$6)</f>
        <v>0</v>
      </c>
      <c r="I78" s="39">
        <f>+COUNTIFS(SALES!$S$2:$S$171,'CALCULATION DSE'!$C$8:$C$80,SALES!$N$2:$N$171,'CALCULATION DSE'!$G$6:$U$6)</f>
        <v>0</v>
      </c>
      <c r="J78" s="39">
        <f>+COUNTIFS(SALES!$S$2:$S$171,'CALCULATION DSE'!$C$8:$C$80,SALES!$N$2:$N$171,'CALCULATION DSE'!$G$6:$U$6)</f>
        <v>0</v>
      </c>
      <c r="K78" s="39">
        <f>+COUNTIFS(SALES!$S$2:$S$171,'CALCULATION DSE'!$C$8:$C$80,SALES!$N$2:$N$171,'CALCULATION DSE'!$G$6:$U$6)</f>
        <v>0</v>
      </c>
      <c r="L78" s="39">
        <f>+COUNTIFS(SALES!$S$2:$S$171,'CALCULATION DSE'!$C$8:$C$80,SALES!$N$2:$N$171,'CALCULATION DSE'!$G$6:$U$6)</f>
        <v>0</v>
      </c>
      <c r="M78" s="39">
        <f>+COUNTIFS(SALES!$S$2:$S$171,'CALCULATION DSE'!$C$8:$C$80,SALES!$N$2:$N$171,'CALCULATION DSE'!$G$6:$U$6)</f>
        <v>0</v>
      </c>
      <c r="N78" s="39">
        <f>+COUNTIFS(SALES!$S$2:$S$171,'CALCULATION DSE'!$C$8:$C$80,SALES!$N$2:$N$171,'CALCULATION DSE'!$G$6:$U$6)</f>
        <v>0</v>
      </c>
      <c r="O78" s="39">
        <f>+COUNTIFS(SALES!$S$2:$S$171,'CALCULATION DSE'!$C$8:$C$80,SALES!$N$2:$N$171,'CALCULATION DSE'!$G$6:$U$6)</f>
        <v>0</v>
      </c>
      <c r="P78" s="39">
        <f>+COUNTIFS(SALES!$S$2:$S$171,'CALCULATION DSE'!$C$8:$C$80,SALES!$N$2:$N$171,'CALCULATION DSE'!$G$6:$U$6)</f>
        <v>0</v>
      </c>
      <c r="Q78" s="39">
        <f>+COUNTIFS(SALES!$S$2:$S$171,'CALCULATION DSE'!$C$8:$C$80,SALES!$N$2:$N$171,'CALCULATION DSE'!$G$6:$U$6)</f>
        <v>1</v>
      </c>
      <c r="R78" s="39">
        <f>+COUNTIFS(SALES!$S$2:$S$171,'CALCULATION DSE'!$C$8:$C$80,SALES!$N$2:$N$171,'CALCULATION DSE'!$G$6:$U$6)</f>
        <v>0</v>
      </c>
      <c r="S78" s="39">
        <f>+COUNTIFS(SALES!$S$2:$S$171,'CALCULATION DSE'!$C$8:$C$80,SALES!$N$2:$N$171,'CALCULATION DSE'!$G$6:$U$6)</f>
        <v>0</v>
      </c>
      <c r="T78" s="39">
        <f>+COUNTIFS(SALES!$S$2:$S$171,'CALCULATION DSE'!$C$8:$C$80,SALES!$N$2:$N$171,'CALCULATION DSE'!$G$6:$U$6)</f>
        <v>0</v>
      </c>
      <c r="U78" s="39">
        <f>+COUNTIFS(SALES!$S$2:$S$171,'CALCULATION DSE'!$C$8:$C$80,SALES!$N$2:$N$171,'CALCULATION DSE'!$G$6:$U$6)</f>
        <v>0</v>
      </c>
      <c r="V78" s="36">
        <f t="shared" ref="V78:V80" si="153">+SUM(G78:U78)</f>
        <v>1</v>
      </c>
      <c r="W78" s="36">
        <f t="shared" ref="W78:W80" si="154">+SUM(G78:Q78,S78:U78)</f>
        <v>1</v>
      </c>
      <c r="X78" s="79">
        <f t="shared" ref="X78:X80" si="155">+R78</f>
        <v>0</v>
      </c>
      <c r="Y78" s="79">
        <f t="shared" ref="Y78:Y80" si="156">+J78+T78</f>
        <v>0</v>
      </c>
      <c r="Z78" s="79">
        <f t="shared" ref="Z78:Z80" si="157">+SUM(G78+H78+I78+J78+K78+L78+M78)</f>
        <v>0</v>
      </c>
      <c r="AA78" s="79" t="str">
        <f>+VLOOKUP(C78,'EMP STATUS'!$D$3:$J$77,7,0)</f>
        <v>OLD</v>
      </c>
      <c r="AB78" s="72" t="str">
        <f t="shared" ref="AB78:AB80" si="158">+IF(AA78="OLD","YES","NO")</f>
        <v>YES</v>
      </c>
      <c r="AC78" s="72" t="str">
        <f t="shared" ref="AC78:AC80" si="159">+IF(AA78="OLD",IF(OR(Y78&gt;=1,Z78&gt;=1),"YES","NO"),"YES")</f>
        <v>NO</v>
      </c>
      <c r="AD78" s="64">
        <f t="shared" ref="AD78:AD80" si="160">+IF(AND(AA78="NEW",V78&lt;2),V78*500,IF(AND(AA78="NEW",V78&gt;=2),IF(V78=2,W78*500,IF(V78=3,W78*750,IF(V78=4,W78*1500,IF(V78=5,W78*2000,IF(V78&gt;=6,W78*2500,0))))),0))</f>
        <v>0</v>
      </c>
      <c r="AE78" s="64">
        <f t="shared" ref="AE78:AE80" si="161">+IF(AND(AA78="OLD",V78&gt;=2,AC78="YES"),IF(V78=2,W78*500,IF(V78=3,W78*750,IF(V78=4,W78*1500,IF(V78=5,W78*2000,IF(V78&gt;=6,W78*2500,0))))),0)</f>
        <v>0</v>
      </c>
      <c r="AF78" s="64">
        <f t="shared" ref="AF78:AF80" si="162">+IF(AND(AA78="NEW",V78&gt;=2),X78*500,IF(AND(AA78="OLD",V78&gt;=2,AC78="YES"),X78*500,0))</f>
        <v>0</v>
      </c>
      <c r="AG78" s="71">
        <f t="shared" ref="AG78:AG80" si="163">+SUM(AD78:AF78)</f>
        <v>0</v>
      </c>
      <c r="AH78" s="68">
        <v>0</v>
      </c>
      <c r="AI78" s="68">
        <f t="shared" ref="AI78:AI80" si="164">+IF(AA78="NEW",IF(AH78&gt;=140,1800,0),IF(AND(AA78="OLD",V78&gt;=2),IF(AH78&gt;=140,1800,0),0))</f>
        <v>0</v>
      </c>
      <c r="AJ78" s="64">
        <f t="shared" ref="AJ78:AJ80" si="165">+IF(AH78&gt;0,IF(AH78&lt;145,1000,0),0)</f>
        <v>0</v>
      </c>
      <c r="AK78" s="66">
        <f>+VLOOKUP(C78,'DSE WISE MGA SALE '!$B$5:$G$116,6,0)</f>
        <v>18963.698630136987</v>
      </c>
      <c r="AL78" s="67">
        <f t="shared" ref="AL78:AL80" si="166">+IFERROR(AK78/V78,0)</f>
        <v>18963.698630136987</v>
      </c>
      <c r="AM78" s="67">
        <f t="shared" ref="AM78:AM80" si="167">+IF(AA78="new",IF(AL78&gt;=25001,AK78*5%,IF(AL78&gt;=22501,AK78*4.5%,IF(AL78&gt;=21001,AK78*4%,IF(AL78&gt;=19501,AK78*3.5%,IF(AL78&gt;=17001,AK78*3%,0%))))),IF(AND(AA78="OLD",V78&gt;=2),IF(AL78&gt;=25001,AK78*5%,IF(AL78&gt;=22501,AK78*4.5%,IF(AL78&gt;=21001,AK78*4%,IF(AL78&gt;=19501,AK78*3.5%,IF(AL78&gt;=17001,AK78*3%,0%))))),0))</f>
        <v>0</v>
      </c>
      <c r="AN78" s="70">
        <f>+COUNTIFS(SALES!$S$2:$S$171,'CALCULATION DSE'!$C$7:$C$80,SALES!$AH$2:$AH$171,"&gt;0")</f>
        <v>0</v>
      </c>
      <c r="AO78" s="68">
        <f t="shared" ref="AO78:AO80" si="168">+IF(AN78=1,AN78*400,IF(AN78&gt;=2,AN78*600,0))</f>
        <v>0</v>
      </c>
      <c r="AP78" s="69">
        <f>+COUNTIFS(SALES!$S$2:$S$171,'CALCULATION DSE'!$C$8:$C$80,SALES!$BH$2:$BH$171,"MSSF")</f>
        <v>1</v>
      </c>
      <c r="AQ78" s="69">
        <f t="shared" ref="AQ78:AQ80" si="169">+V78-AP78</f>
        <v>0</v>
      </c>
      <c r="AR78" s="98">
        <f t="shared" ref="AR78:AR80" si="170">+IFERROR(AP78/V78,0)</f>
        <v>1</v>
      </c>
      <c r="AS78" s="68">
        <f t="shared" ref="AS78:AS80" si="171">+IF(AA78="new",IF(AR78&gt;=70%,AP78*250,0),IF(AND(AA78="old",V78&gt;=2),IF(AR78&gt;=70%,AP78*250,0),0))</f>
        <v>0</v>
      </c>
      <c r="AT78" s="68">
        <f t="shared" ref="AT78:AT80" si="172">+IF(AG78&gt;0,IF(AR78&lt;70%,AQ78*250,0),0)</f>
        <v>0</v>
      </c>
      <c r="AU78" s="39">
        <f>+COUNTIFS(SALES!$S$2:$S$171,'CALCULATION DSE'!$C$8:$C$80,SALES!$Y$2:$Y$171,"&gt;0")</f>
        <v>0</v>
      </c>
      <c r="AV78" s="39">
        <f t="shared" ref="AV78:AV80" si="173">+V78-AU78</f>
        <v>1</v>
      </c>
      <c r="AW78" s="65">
        <f t="shared" ref="AW78:AW80" si="174">+IFERROR(AU78/V78,0)</f>
        <v>0</v>
      </c>
      <c r="AX78" s="67">
        <f t="shared" ref="AX78:AX79" si="175">+IF(AA78="new",IF(AW78&gt;=80%,AU78*1000,IF(AW78&gt;=70%,AU78*400,0)),IF(AND(AA78="old",V78&gt;=2),IF(AW78&gt;=80%,AU78*1000,IF(AW78&gt;=70%,AU78*400,0)),0))</f>
        <v>0</v>
      </c>
      <c r="AY78" s="67">
        <f t="shared" ref="AY78:AY80" si="176">+IF(AG78&gt;0,IF(AW78&lt;=50%,AV78*400,0),0)</f>
        <v>0</v>
      </c>
      <c r="AZ78" s="39">
        <f>+COUNTIFS(SALES!$S$2:$S$171,'CALCULATION DSE'!$C$8:$C$80,SALES!$AC$2:$AC$171,"&gt;0")</f>
        <v>0</v>
      </c>
      <c r="BA78" s="39">
        <f t="shared" ref="BA78:BA80" si="177">+V78-AZ78</f>
        <v>1</v>
      </c>
      <c r="BB78" s="65">
        <f t="shared" ref="BB78:BB80" si="178">+IFERROR(AZ78/V78,0)</f>
        <v>0</v>
      </c>
      <c r="BC78" s="66">
        <f t="shared" ref="BC78:BC79" si="179">+IF(AA78="new",IF(BB78&gt;=80%,AZ78*750,IF(BB78&gt;=70%,AZ78*250,0)),IF(AND(AA78="OLD",V78&gt;=2),IF(BB78&gt;=80%,AZ78*750,IF(BB78&gt;=70%,AZ78*250,0)),0))</f>
        <v>0</v>
      </c>
      <c r="BD78" s="66">
        <f t="shared" ref="BD78:BD80" si="180">+IF(AG78&gt;0,IF(BB78&lt;=50%,BA78*250,0),0)</f>
        <v>0</v>
      </c>
      <c r="BE78" s="99">
        <f>+COUNTIFS(SALES!$S$2:$S$171,'CALCULATION DSE'!$C$8:$C$80,SALES!$CA$2:$CA$171,"YES")</f>
        <v>0</v>
      </c>
      <c r="BF78" s="66">
        <f t="shared" si="142"/>
        <v>0</v>
      </c>
      <c r="BG78" s="37">
        <f>+SUMIFS(SALES!$BA$2:$BA$171,SALES!$S$2:$S$171,'CALCULATION DSE'!$C$8:$C$80)</f>
        <v>541</v>
      </c>
      <c r="BH78" s="37">
        <f t="shared" ref="BH78:BH80" si="181">+IFERROR(BG78/V78,0)</f>
        <v>541</v>
      </c>
      <c r="BI78" s="65">
        <f t="shared" ref="BI78:BI80" si="182">+IF(BH78&gt;14000,0%,IF(BH78&gt;=12001,30%,IF(BH78&gt;=10001,40%,IF(BH78&gt;=8001,60%,IF(BH78&gt;=6001,80%,IF(BH78&gt;=4001,100%,IF(BH78&gt;=2001,110%,IF(BH78&gt;=1001,130%,150%))))))))</f>
        <v>1.5</v>
      </c>
      <c r="BJ78" s="64">
        <f t="shared" ref="BJ78:BJ80" si="183">+AG78*BI78</f>
        <v>0</v>
      </c>
      <c r="BK78" s="64">
        <f t="shared" ref="BK78:BK80" si="184">+IF(SUM(BJ78+AI78-AJ78+AM78+AO78+AS78-AT78+AX78-AY78+BC78-BD78+BF78)&lt;0,0,SUM(BJ78+AI78-AJ78+AM78+AO78+AS78-AT78+AX78-AY78+BC78-BD78+BF78))</f>
        <v>0</v>
      </c>
      <c r="BL78" s="64">
        <v>0</v>
      </c>
      <c r="BM78" s="64">
        <f t="shared" ref="BM78" si="185">+IF(BL78=1,BL78*500,IF(BL78&gt;=2,BL78*1000,0))</f>
        <v>0</v>
      </c>
      <c r="BN78" s="37">
        <f t="shared" ref="BN78:BN80" si="186">+BK78-BM78</f>
        <v>0</v>
      </c>
      <c r="BO78" s="38">
        <f t="shared" ref="BO78:BO80" si="187">+IFERROR(VLOOKUP(C78,$E$87:$O$100,11,0),0)</f>
        <v>0</v>
      </c>
      <c r="BP78" s="64">
        <f t="shared" ref="BP78:BP80" si="188">+U78</f>
        <v>0</v>
      </c>
      <c r="BQ78" s="64">
        <f t="shared" ref="BQ78:BQ80" si="189">+BP78*1000</f>
        <v>0</v>
      </c>
      <c r="BR78" s="64">
        <f t="shared" ref="BR78:BR80" si="190">+J78+O78+T78</f>
        <v>0</v>
      </c>
      <c r="BS78" s="64">
        <f t="shared" ref="BS78:BS80" si="191">+BR78*2000</f>
        <v>0</v>
      </c>
      <c r="BT78" s="64">
        <f t="shared" ref="BT78:BT80" si="192">+G78+H78+L78+M78</f>
        <v>0</v>
      </c>
      <c r="BU78" s="64">
        <f t="shared" ref="BU78:BU80" si="193">+BT78*1000</f>
        <v>0</v>
      </c>
      <c r="BV78" s="63">
        <f t="shared" ref="BV78:BV80" si="194">+BN78+BO78+BQ78+BS78+BU78</f>
        <v>0</v>
      </c>
      <c r="CB78" s="50"/>
      <c r="CC78" s="50"/>
      <c r="CD78" s="62"/>
      <c r="CF78" s="46"/>
    </row>
    <row r="79" spans="1:84" customFormat="1" hidden="1" x14ac:dyDescent="0.3">
      <c r="A79" s="74" t="s">
        <v>2155</v>
      </c>
      <c r="B79" s="40" t="s">
        <v>2286</v>
      </c>
      <c r="C79" s="40" t="s">
        <v>2820</v>
      </c>
      <c r="D79" s="40" t="s">
        <v>2286</v>
      </c>
      <c r="E79" s="73" t="s">
        <v>2283</v>
      </c>
      <c r="F79" s="79" t="str">
        <f>+VLOOKUP(C79,'EMP STATUS'!$D$3:$K$77,8,0)</f>
        <v>THI64</v>
      </c>
      <c r="G79" s="39">
        <f>+COUNTIFS(SALES!$S$2:$S$171,'CALCULATION DSE'!$C$8:$C$80,SALES!$N$2:$N$171,'CALCULATION DSE'!$G$6:$U$6)</f>
        <v>0</v>
      </c>
      <c r="H79" s="39">
        <f>+COUNTIFS(SALES!$S$2:$S$171,'CALCULATION DSE'!$C$8:$C$80,SALES!$N$2:$N$171,'CALCULATION DSE'!$G$6:$U$6)</f>
        <v>0</v>
      </c>
      <c r="I79" s="39">
        <f>+COUNTIFS(SALES!$S$2:$S$171,'CALCULATION DSE'!$C$8:$C$80,SALES!$N$2:$N$171,'CALCULATION DSE'!$G$6:$U$6)</f>
        <v>0</v>
      </c>
      <c r="J79" s="39">
        <f>+COUNTIFS(SALES!$S$2:$S$171,'CALCULATION DSE'!$C$8:$C$80,SALES!$N$2:$N$171,'CALCULATION DSE'!$G$6:$U$6)</f>
        <v>0</v>
      </c>
      <c r="K79" s="39">
        <f>+COUNTIFS(SALES!$S$2:$S$171,'CALCULATION DSE'!$C$8:$C$80,SALES!$N$2:$N$171,'CALCULATION DSE'!$G$6:$U$6)</f>
        <v>0</v>
      </c>
      <c r="L79" s="39">
        <f>+COUNTIFS(SALES!$S$2:$S$171,'CALCULATION DSE'!$C$8:$C$80,SALES!$N$2:$N$171,'CALCULATION DSE'!$G$6:$U$6)</f>
        <v>0</v>
      </c>
      <c r="M79" s="39">
        <f>+COUNTIFS(SALES!$S$2:$S$171,'CALCULATION DSE'!$C$8:$C$80,SALES!$N$2:$N$171,'CALCULATION DSE'!$G$6:$U$6)</f>
        <v>0</v>
      </c>
      <c r="N79" s="39">
        <f>+COUNTIFS(SALES!$S$2:$S$171,'CALCULATION DSE'!$C$8:$C$80,SALES!$N$2:$N$171,'CALCULATION DSE'!$G$6:$U$6)</f>
        <v>0</v>
      </c>
      <c r="O79" s="39">
        <f>+COUNTIFS(SALES!$S$2:$S$171,'CALCULATION DSE'!$C$8:$C$80,SALES!$N$2:$N$171,'CALCULATION DSE'!$G$6:$U$6)</f>
        <v>0</v>
      </c>
      <c r="P79" s="39">
        <f>+COUNTIFS(SALES!$S$2:$S$171,'CALCULATION DSE'!$C$8:$C$80,SALES!$N$2:$N$171,'CALCULATION DSE'!$G$6:$U$6)</f>
        <v>0</v>
      </c>
      <c r="Q79" s="39">
        <f>+COUNTIFS(SALES!$S$2:$S$171,'CALCULATION DSE'!$C$8:$C$80,SALES!$N$2:$N$171,'CALCULATION DSE'!$G$6:$U$6)</f>
        <v>1</v>
      </c>
      <c r="R79" s="39">
        <f>+COUNTIFS(SALES!$S$2:$S$171,'CALCULATION DSE'!$C$8:$C$80,SALES!$N$2:$N$171,'CALCULATION DSE'!$G$6:$U$6)</f>
        <v>0</v>
      </c>
      <c r="S79" s="39">
        <f>+COUNTIFS(SALES!$S$2:$S$171,'CALCULATION DSE'!$C$8:$C$80,SALES!$N$2:$N$171,'CALCULATION DSE'!$G$6:$U$6)</f>
        <v>0</v>
      </c>
      <c r="T79" s="39">
        <f>+COUNTIFS(SALES!$S$2:$S$171,'CALCULATION DSE'!$C$8:$C$80,SALES!$N$2:$N$171,'CALCULATION DSE'!$G$6:$U$6)</f>
        <v>0</v>
      </c>
      <c r="U79" s="39">
        <f>+COUNTIFS(SALES!$S$2:$S$171,'CALCULATION DSE'!$C$8:$C$80,SALES!$N$2:$N$171,'CALCULATION DSE'!$G$6:$U$6)</f>
        <v>0</v>
      </c>
      <c r="V79" s="36">
        <f t="shared" si="153"/>
        <v>1</v>
      </c>
      <c r="W79" s="36">
        <f t="shared" si="154"/>
        <v>1</v>
      </c>
      <c r="X79" s="79">
        <f t="shared" si="155"/>
        <v>0</v>
      </c>
      <c r="Y79" s="79">
        <f t="shared" si="156"/>
        <v>0</v>
      </c>
      <c r="Z79" s="79">
        <f t="shared" si="157"/>
        <v>0</v>
      </c>
      <c r="AA79" s="79" t="str">
        <f>+VLOOKUP(C79,'EMP STATUS'!$D$3:$J$77,7,0)</f>
        <v>NEW</v>
      </c>
      <c r="AB79" s="72" t="str">
        <f t="shared" si="158"/>
        <v>NO</v>
      </c>
      <c r="AC79" s="72" t="str">
        <f t="shared" si="159"/>
        <v>YES</v>
      </c>
      <c r="AD79" s="64">
        <f t="shared" si="160"/>
        <v>500</v>
      </c>
      <c r="AE79" s="64">
        <f t="shared" si="161"/>
        <v>0</v>
      </c>
      <c r="AF79" s="64">
        <f t="shared" si="162"/>
        <v>0</v>
      </c>
      <c r="AG79" s="71">
        <f t="shared" si="163"/>
        <v>500</v>
      </c>
      <c r="AH79" s="68">
        <v>0</v>
      </c>
      <c r="AI79" s="68">
        <f t="shared" si="164"/>
        <v>0</v>
      </c>
      <c r="AJ79" s="64">
        <f t="shared" si="165"/>
        <v>0</v>
      </c>
      <c r="AK79" s="66">
        <f>+VLOOKUP(C79,'DSE WISE MGA SALE '!$B$5:$G$116,6,0)</f>
        <v>0</v>
      </c>
      <c r="AL79" s="67">
        <f t="shared" si="166"/>
        <v>0</v>
      </c>
      <c r="AM79" s="67">
        <f t="shared" si="167"/>
        <v>0</v>
      </c>
      <c r="AN79" s="70">
        <f>+COUNTIFS(SALES!$S$2:$S$171,'CALCULATION DSE'!$C$7:$C$80,SALES!$AH$2:$AH$171,"&gt;0")</f>
        <v>0</v>
      </c>
      <c r="AO79" s="68">
        <f t="shared" si="168"/>
        <v>0</v>
      </c>
      <c r="AP79" s="69">
        <f>+COUNTIFS(SALES!$S$2:$S$171,'CALCULATION DSE'!$C$8:$C$80,SALES!$BH$2:$BH$171,"MSSF")</f>
        <v>0</v>
      </c>
      <c r="AQ79" s="69">
        <f t="shared" si="169"/>
        <v>1</v>
      </c>
      <c r="AR79" s="98">
        <f t="shared" si="170"/>
        <v>0</v>
      </c>
      <c r="AS79" s="68">
        <f t="shared" si="171"/>
        <v>0</v>
      </c>
      <c r="AT79" s="68">
        <f t="shared" si="172"/>
        <v>250</v>
      </c>
      <c r="AU79" s="39">
        <f>+COUNTIFS(SALES!$S$2:$S$171,'CALCULATION DSE'!$C$8:$C$80,SALES!$Y$2:$Y$171,"&gt;0")</f>
        <v>0</v>
      </c>
      <c r="AV79" s="39">
        <f t="shared" si="173"/>
        <v>1</v>
      </c>
      <c r="AW79" s="65">
        <f t="shared" si="174"/>
        <v>0</v>
      </c>
      <c r="AX79" s="67">
        <f t="shared" si="175"/>
        <v>0</v>
      </c>
      <c r="AY79" s="67">
        <f t="shared" si="176"/>
        <v>400</v>
      </c>
      <c r="AZ79" s="39">
        <f>+COUNTIFS(SALES!$S$2:$S$171,'CALCULATION DSE'!$C$8:$C$80,SALES!$AC$2:$AC$171,"&gt;0")</f>
        <v>0</v>
      </c>
      <c r="BA79" s="39">
        <f t="shared" si="177"/>
        <v>1</v>
      </c>
      <c r="BB79" s="65">
        <f t="shared" si="178"/>
        <v>0</v>
      </c>
      <c r="BC79" s="66">
        <f t="shared" si="179"/>
        <v>0</v>
      </c>
      <c r="BD79" s="66">
        <f t="shared" si="180"/>
        <v>250</v>
      </c>
      <c r="BE79" s="99">
        <f>+COUNTIFS(SALES!$S$2:$S$171,'CALCULATION DSE'!$C$8:$C$80,SALES!$CA$2:$CA$171,"YES")</f>
        <v>0</v>
      </c>
      <c r="BF79" s="66">
        <f t="shared" ref="BF79:BF80" si="195">+IF(AA79="NEW",BE79*3000,IF(AND(AA79="OLD",V79&gt;=2),BE79*3000,0))</f>
        <v>0</v>
      </c>
      <c r="BG79" s="37">
        <f>+SUMIFS(SALES!$BA$2:$BA$171,SALES!$S$2:$S$171,'CALCULATION DSE'!$C$8:$C$80)</f>
        <v>16000</v>
      </c>
      <c r="BH79" s="37">
        <f t="shared" si="181"/>
        <v>16000</v>
      </c>
      <c r="BI79" s="65">
        <f t="shared" si="182"/>
        <v>0</v>
      </c>
      <c r="BJ79" s="64">
        <f t="shared" si="183"/>
        <v>0</v>
      </c>
      <c r="BK79" s="64">
        <f t="shared" si="184"/>
        <v>0</v>
      </c>
      <c r="BL79" s="64">
        <v>0</v>
      </c>
      <c r="BM79" s="64">
        <f t="shared" ref="BM79" si="196">+IF(BL79=1,BL79*500,IF(BL79&gt;=2,BL79*1000,0))</f>
        <v>0</v>
      </c>
      <c r="BN79" s="37">
        <f t="shared" si="186"/>
        <v>0</v>
      </c>
      <c r="BO79" s="38">
        <f t="shared" si="187"/>
        <v>0</v>
      </c>
      <c r="BP79" s="64">
        <f t="shared" si="188"/>
        <v>0</v>
      </c>
      <c r="BQ79" s="64">
        <f t="shared" si="189"/>
        <v>0</v>
      </c>
      <c r="BR79" s="64">
        <f t="shared" si="190"/>
        <v>0</v>
      </c>
      <c r="BS79" s="64">
        <f t="shared" si="191"/>
        <v>0</v>
      </c>
      <c r="BT79" s="64">
        <f t="shared" si="192"/>
        <v>0</v>
      </c>
      <c r="BU79" s="64">
        <f t="shared" si="193"/>
        <v>0</v>
      </c>
      <c r="BV79" s="63">
        <f t="shared" si="194"/>
        <v>0</v>
      </c>
      <c r="CB79" s="50"/>
      <c r="CC79" s="50"/>
      <c r="CD79" s="62"/>
      <c r="CF79" s="46"/>
    </row>
    <row r="80" spans="1:84" customFormat="1" hidden="1" x14ac:dyDescent="0.3">
      <c r="A80" s="74" t="s">
        <v>3094</v>
      </c>
      <c r="B80" s="40" t="s">
        <v>2286</v>
      </c>
      <c r="C80" s="40" t="s">
        <v>2292</v>
      </c>
      <c r="D80" s="40" t="s">
        <v>2286</v>
      </c>
      <c r="E80" s="73" t="s">
        <v>2283</v>
      </c>
      <c r="F80" s="79" t="str">
        <f>+VLOOKUP(C80,'EMP STATUS'!$D$3:$K$77,8,0)</f>
        <v>THI45</v>
      </c>
      <c r="G80" s="39">
        <f>+COUNTIFS(SALES!$S$2:$S$171,'CALCULATION DSE'!$C$8:$C$80,SALES!$N$2:$N$171,'CALCULATION DSE'!$G$6:$U$6)</f>
        <v>0</v>
      </c>
      <c r="H80" s="39">
        <f>+COUNTIFS(SALES!$S$2:$S$171,'CALCULATION DSE'!$C$8:$C$80,SALES!$N$2:$N$171,'CALCULATION DSE'!$G$6:$U$6)</f>
        <v>0</v>
      </c>
      <c r="I80" s="39">
        <f>+COUNTIFS(SALES!$S$2:$S$171,'CALCULATION DSE'!$C$8:$C$80,SALES!$N$2:$N$171,'CALCULATION DSE'!$G$6:$U$6)</f>
        <v>0</v>
      </c>
      <c r="J80" s="39">
        <f>+COUNTIFS(SALES!$S$2:$S$171,'CALCULATION DSE'!$C$8:$C$80,SALES!$N$2:$N$171,'CALCULATION DSE'!$G$6:$U$6)</f>
        <v>0</v>
      </c>
      <c r="K80" s="39">
        <f>+COUNTIFS(SALES!$S$2:$S$171,'CALCULATION DSE'!$C$8:$C$80,SALES!$N$2:$N$171,'CALCULATION DSE'!$G$6:$U$6)</f>
        <v>0</v>
      </c>
      <c r="L80" s="39">
        <f>+COUNTIFS(SALES!$S$2:$S$171,'CALCULATION DSE'!$C$8:$C$80,SALES!$N$2:$N$171,'CALCULATION DSE'!$G$6:$U$6)</f>
        <v>0</v>
      </c>
      <c r="M80" s="39">
        <f>+COUNTIFS(SALES!$S$2:$S$171,'CALCULATION DSE'!$C$8:$C$80,SALES!$N$2:$N$171,'CALCULATION DSE'!$G$6:$U$6)</f>
        <v>0</v>
      </c>
      <c r="N80" s="39">
        <f>+COUNTIFS(SALES!$S$2:$S$171,'CALCULATION DSE'!$C$8:$C$80,SALES!$N$2:$N$171,'CALCULATION DSE'!$G$6:$U$6)</f>
        <v>0</v>
      </c>
      <c r="O80" s="39">
        <f>+COUNTIFS(SALES!$S$2:$S$171,'CALCULATION DSE'!$C$8:$C$80,SALES!$N$2:$N$171,'CALCULATION DSE'!$G$6:$U$6)</f>
        <v>0</v>
      </c>
      <c r="P80" s="39">
        <f>+COUNTIFS(SALES!$S$2:$S$171,'CALCULATION DSE'!$C$8:$C$80,SALES!$N$2:$N$171,'CALCULATION DSE'!$G$6:$U$6)</f>
        <v>0</v>
      </c>
      <c r="Q80" s="39">
        <f>+COUNTIFS(SALES!$S$2:$S$171,'CALCULATION DSE'!$C$8:$C$80,SALES!$N$2:$N$171,'CALCULATION DSE'!$G$6:$U$6)</f>
        <v>3</v>
      </c>
      <c r="R80" s="39">
        <f>+COUNTIFS(SALES!$S$2:$S$171,'CALCULATION DSE'!$C$8:$C$80,SALES!$N$2:$N$171,'CALCULATION DSE'!$G$6:$U$6)</f>
        <v>0</v>
      </c>
      <c r="S80" s="39">
        <f>+COUNTIFS(SALES!$S$2:$S$171,'CALCULATION DSE'!$C$8:$C$80,SALES!$N$2:$N$171,'CALCULATION DSE'!$G$6:$U$6)</f>
        <v>0</v>
      </c>
      <c r="T80" s="39">
        <f>+COUNTIFS(SALES!$S$2:$S$171,'CALCULATION DSE'!$C$8:$C$80,SALES!$N$2:$N$171,'CALCULATION DSE'!$G$6:$U$6)</f>
        <v>0</v>
      </c>
      <c r="U80" s="39">
        <f>+COUNTIFS(SALES!$S$2:$S$171,'CALCULATION DSE'!$C$8:$C$80,SALES!$N$2:$N$171,'CALCULATION DSE'!$G$6:$U$6)</f>
        <v>0</v>
      </c>
      <c r="V80" s="36">
        <f t="shared" si="153"/>
        <v>3</v>
      </c>
      <c r="W80" s="36">
        <f t="shared" si="154"/>
        <v>3</v>
      </c>
      <c r="X80" s="79">
        <f t="shared" si="155"/>
        <v>0</v>
      </c>
      <c r="Y80" s="79">
        <f t="shared" si="156"/>
        <v>0</v>
      </c>
      <c r="Z80" s="79">
        <f t="shared" si="157"/>
        <v>0</v>
      </c>
      <c r="AA80" s="79" t="str">
        <f>+VLOOKUP(C80,'EMP STATUS'!$D$3:$J$77,7,0)</f>
        <v>OLD</v>
      </c>
      <c r="AB80" s="72" t="str">
        <f t="shared" si="158"/>
        <v>YES</v>
      </c>
      <c r="AC80" s="72" t="str">
        <f t="shared" si="159"/>
        <v>NO</v>
      </c>
      <c r="AD80" s="64">
        <f t="shared" si="160"/>
        <v>0</v>
      </c>
      <c r="AE80" s="64">
        <f t="shared" si="161"/>
        <v>0</v>
      </c>
      <c r="AF80" s="64">
        <f t="shared" si="162"/>
        <v>0</v>
      </c>
      <c r="AG80" s="71">
        <f t="shared" si="163"/>
        <v>0</v>
      </c>
      <c r="AH80" s="68">
        <v>0</v>
      </c>
      <c r="AI80" s="68">
        <f t="shared" si="164"/>
        <v>0</v>
      </c>
      <c r="AJ80" s="64">
        <f t="shared" si="165"/>
        <v>0</v>
      </c>
      <c r="AK80" s="66">
        <f>+VLOOKUP(C80,'DSE WISE MGA SALE '!$B$5:$G$116,6,0)</f>
        <v>12647.260273972603</v>
      </c>
      <c r="AL80" s="67">
        <f t="shared" si="166"/>
        <v>4215.7534246575342</v>
      </c>
      <c r="AM80" s="67">
        <f t="shared" si="167"/>
        <v>0</v>
      </c>
      <c r="AN80" s="70">
        <f>+COUNTIFS(SALES!$S$2:$S$171,'CALCULATION DSE'!$C$7:$C$80,SALES!$AH$2:$AH$171,"&gt;0")</f>
        <v>1</v>
      </c>
      <c r="AO80" s="68">
        <f t="shared" si="168"/>
        <v>400</v>
      </c>
      <c r="AP80" s="69">
        <f>+COUNTIFS(SALES!$S$2:$S$171,'CALCULATION DSE'!$C$8:$C$80,SALES!$BH$2:$BH$171,"MSSF")</f>
        <v>1</v>
      </c>
      <c r="AQ80" s="69">
        <f t="shared" si="169"/>
        <v>2</v>
      </c>
      <c r="AR80" s="98">
        <f t="shared" si="170"/>
        <v>0.33333333333333331</v>
      </c>
      <c r="AS80" s="68">
        <f t="shared" si="171"/>
        <v>0</v>
      </c>
      <c r="AT80" s="68">
        <f t="shared" si="172"/>
        <v>0</v>
      </c>
      <c r="AU80" s="39">
        <f>+COUNTIFS(SALES!$S$2:$S$171,'CALCULATION DSE'!$C$8:$C$80,SALES!$Y$2:$Y$171,"&gt;0")</f>
        <v>0</v>
      </c>
      <c r="AV80" s="39">
        <f t="shared" si="173"/>
        <v>3</v>
      </c>
      <c r="AW80" s="65">
        <f t="shared" si="174"/>
        <v>0</v>
      </c>
      <c r="AX80" s="67">
        <f>+IF(AA80="new",IF(AW80&gt;=80%,AU80*1000,IF(AW80&gt;=70%,AU80*400,0)),IF(AND(AA80="old",V80&gt;=2),IF(AW80&gt;=80%,AU80*1000,IF(AW80&gt;=70%,AU80*400,0)),0))</f>
        <v>0</v>
      </c>
      <c r="AY80" s="67">
        <f t="shared" si="176"/>
        <v>0</v>
      </c>
      <c r="AZ80" s="39">
        <f>+COUNTIFS(SALES!$S$2:$S$171,'CALCULATION DSE'!$C$8:$C$80,SALES!$AC$2:$AC$171,"&gt;0")</f>
        <v>0</v>
      </c>
      <c r="BA80" s="39">
        <f t="shared" si="177"/>
        <v>3</v>
      </c>
      <c r="BB80" s="65">
        <f t="shared" si="178"/>
        <v>0</v>
      </c>
      <c r="BC80" s="66">
        <f>+IF(AA80="new",IF(BB80&gt;=80%,AZ80*750,IF(BB80&gt;=70%,AZ80*250,0)),IF(AND(AA80="OLD",V80&gt;=2),IF(BB80&gt;=80%,AZ80*750,IF(BB80&gt;=70%,AZ80*250,0)),0))</f>
        <v>0</v>
      </c>
      <c r="BD80" s="66">
        <f t="shared" si="180"/>
        <v>0</v>
      </c>
      <c r="BE80" s="99">
        <f>+COUNTIFS(SALES!$S$2:$S$171,'CALCULATION DSE'!$C$8:$C$80,SALES!$CA$2:$CA$171,"YES")</f>
        <v>0</v>
      </c>
      <c r="BF80" s="66">
        <f t="shared" si="195"/>
        <v>0</v>
      </c>
      <c r="BG80" s="37">
        <f>+SUMIFS(SALES!$BA$2:$BA$171,SALES!$S$2:$S$171,'CALCULATION DSE'!$C$8:$C$80)</f>
        <v>32450</v>
      </c>
      <c r="BH80" s="37">
        <f t="shared" si="181"/>
        <v>10816.666666666666</v>
      </c>
      <c r="BI80" s="65">
        <f t="shared" si="182"/>
        <v>0.4</v>
      </c>
      <c r="BJ80" s="64">
        <f t="shared" si="183"/>
        <v>0</v>
      </c>
      <c r="BK80" s="64">
        <f t="shared" si="184"/>
        <v>400</v>
      </c>
      <c r="BL80" s="64">
        <v>0</v>
      </c>
      <c r="BM80" s="64">
        <f>+IF(BL80=1,BL80*500,IF(BL80&gt;=2,BL80*1000,0))</f>
        <v>0</v>
      </c>
      <c r="BN80" s="37">
        <f t="shared" si="186"/>
        <v>400</v>
      </c>
      <c r="BO80" s="38">
        <f t="shared" si="187"/>
        <v>0</v>
      </c>
      <c r="BP80" s="64">
        <f t="shared" si="188"/>
        <v>0</v>
      </c>
      <c r="BQ80" s="64">
        <f t="shared" si="189"/>
        <v>0</v>
      </c>
      <c r="BR80" s="64">
        <f t="shared" si="190"/>
        <v>0</v>
      </c>
      <c r="BS80" s="64">
        <f t="shared" si="191"/>
        <v>0</v>
      </c>
      <c r="BT80" s="64">
        <f t="shared" si="192"/>
        <v>0</v>
      </c>
      <c r="BU80" s="64">
        <f t="shared" si="193"/>
        <v>0</v>
      </c>
      <c r="BV80" s="63">
        <f t="shared" si="194"/>
        <v>400</v>
      </c>
      <c r="CB80" s="50"/>
      <c r="CC80" s="50"/>
      <c r="CD80" s="62"/>
      <c r="CF80" s="46"/>
    </row>
    <row r="81" spans="1:82" s="48" customFormat="1" hidden="1" x14ac:dyDescent="0.3">
      <c r="A81" s="60"/>
      <c r="B81" s="60"/>
      <c r="C81" s="60"/>
      <c r="D81" s="60"/>
      <c r="E81" s="60"/>
      <c r="F81" s="60"/>
      <c r="G81" s="53">
        <f t="shared" ref="G81:U81" si="197">SUM(G8:G80)</f>
        <v>4</v>
      </c>
      <c r="H81" s="53">
        <f t="shared" si="197"/>
        <v>4</v>
      </c>
      <c r="I81" s="53">
        <f t="shared" si="197"/>
        <v>2</v>
      </c>
      <c r="J81" s="53">
        <f t="shared" si="197"/>
        <v>1</v>
      </c>
      <c r="K81" s="53">
        <f t="shared" si="197"/>
        <v>2</v>
      </c>
      <c r="L81" s="53">
        <f t="shared" si="197"/>
        <v>2</v>
      </c>
      <c r="M81" s="53">
        <f t="shared" si="197"/>
        <v>20</v>
      </c>
      <c r="N81" s="53">
        <f t="shared" si="197"/>
        <v>5</v>
      </c>
      <c r="O81" s="53">
        <f t="shared" si="197"/>
        <v>9</v>
      </c>
      <c r="P81" s="53">
        <f t="shared" si="197"/>
        <v>13</v>
      </c>
      <c r="Q81" s="53">
        <f t="shared" si="197"/>
        <v>64</v>
      </c>
      <c r="R81" s="53">
        <f t="shared" si="197"/>
        <v>34</v>
      </c>
      <c r="S81" s="53">
        <f t="shared" si="197"/>
        <v>6</v>
      </c>
      <c r="T81" s="53">
        <f t="shared" si="197"/>
        <v>1</v>
      </c>
      <c r="U81" s="53">
        <f t="shared" si="197"/>
        <v>2</v>
      </c>
      <c r="V81" s="53">
        <f>SUM(V7:V80)</f>
        <v>169</v>
      </c>
      <c r="W81" s="53">
        <f>SUM(W7:W80)</f>
        <v>135</v>
      </c>
      <c r="X81" s="53">
        <f>SUM(X7:X80)</f>
        <v>34</v>
      </c>
      <c r="Y81" s="53">
        <f>SUM(Y7:Y80)</f>
        <v>2</v>
      </c>
      <c r="Z81" s="53">
        <f>SUM(Z8:Z80)</f>
        <v>35</v>
      </c>
      <c r="AA81" s="61"/>
      <c r="AB81" s="60"/>
      <c r="AC81" s="59"/>
      <c r="AD81" s="52">
        <f t="shared" ref="AD81:AK81" si="198">SUM(AD8:AD80)</f>
        <v>5000</v>
      </c>
      <c r="AE81" s="52">
        <f t="shared" si="198"/>
        <v>153250</v>
      </c>
      <c r="AF81" s="52">
        <f t="shared" si="198"/>
        <v>9500</v>
      </c>
      <c r="AG81" s="57">
        <f t="shared" si="198"/>
        <v>167750</v>
      </c>
      <c r="AH81" s="58">
        <f t="shared" si="198"/>
        <v>450</v>
      </c>
      <c r="AI81" s="58">
        <f t="shared" si="198"/>
        <v>3600</v>
      </c>
      <c r="AJ81" s="52">
        <f t="shared" si="198"/>
        <v>0</v>
      </c>
      <c r="AK81" s="57" t="e">
        <f t="shared" si="198"/>
        <v>#N/A</v>
      </c>
      <c r="AL81" s="57">
        <f>+AVERAGE(AL8:AL80)</f>
        <v>13983.281561357888</v>
      </c>
      <c r="AM81" s="52">
        <f>SUM(AM8:AM80)</f>
        <v>88997.154109589013</v>
      </c>
      <c r="AN81" s="53">
        <f>SUM(AN8:AN80)</f>
        <v>20</v>
      </c>
      <c r="AO81" s="52">
        <f>SUM(AO8:AO80)</f>
        <v>9400</v>
      </c>
      <c r="AP81" s="56">
        <f>SUM(AP8:AP80)</f>
        <v>116</v>
      </c>
      <c r="AQ81" s="56">
        <f>SUM(AQ8:AQ80)</f>
        <v>53</v>
      </c>
      <c r="AR81" s="56"/>
      <c r="AS81" s="52">
        <f>SUM(AS8:AS80)</f>
        <v>17500</v>
      </c>
      <c r="AT81" s="52">
        <f>SUM(AT8:AT80)</f>
        <v>7750</v>
      </c>
      <c r="AU81" s="53">
        <f>SUM(AU8:AU80)</f>
        <v>113</v>
      </c>
      <c r="AV81" s="53"/>
      <c r="AW81" s="55"/>
      <c r="AX81" s="52">
        <f>SUM(AX8:AX80)</f>
        <v>84200</v>
      </c>
      <c r="AY81" s="52">
        <f>SUM(AY8:AY80)</f>
        <v>10800</v>
      </c>
      <c r="AZ81" s="53">
        <f>SUM(AZ8:AZ80)</f>
        <v>59</v>
      </c>
      <c r="BA81" s="53">
        <f>SUM(BA8:BA80)</f>
        <v>110</v>
      </c>
      <c r="BB81" s="53"/>
      <c r="BC81" s="52">
        <f t="shared" ref="BC81:BH81" si="199">SUM(BC8:BC80)</f>
        <v>23250</v>
      </c>
      <c r="BD81" s="52">
        <f t="shared" si="199"/>
        <v>14000</v>
      </c>
      <c r="BE81" s="52">
        <f t="shared" si="199"/>
        <v>6</v>
      </c>
      <c r="BF81" s="52">
        <f t="shared" si="199"/>
        <v>18000</v>
      </c>
      <c r="BG81" s="52">
        <f t="shared" si="199"/>
        <v>1370676</v>
      </c>
      <c r="BH81" s="52">
        <f t="shared" si="199"/>
        <v>480397.1488095239</v>
      </c>
      <c r="BI81" s="53">
        <f>+IF(BH81&gt;15000,0%,IF(BH81&gt;=12001,30%,IF(BH81&gt;=10001,40%,IF(BH81&gt;=8001,60%,IF(BH81&gt;=6001,80%,IF(BH81&gt;=4001,100%,IF(BH81&gt;=2001,110%,IF(BH81&gt;=1001,130%,150%))))))))</f>
        <v>0</v>
      </c>
      <c r="BJ81" s="52">
        <f t="shared" ref="BJ81:BV81" si="200">SUM(BJ8:BJ80)</f>
        <v>117450</v>
      </c>
      <c r="BK81" s="52">
        <f t="shared" si="200"/>
        <v>331797.15410958906</v>
      </c>
      <c r="BL81" s="52">
        <f t="shared" si="200"/>
        <v>0</v>
      </c>
      <c r="BM81" s="52">
        <f t="shared" si="200"/>
        <v>0</v>
      </c>
      <c r="BN81" s="52">
        <f t="shared" si="200"/>
        <v>331797.15410958906</v>
      </c>
      <c r="BO81" s="54">
        <f t="shared" si="200"/>
        <v>45265.798630136982</v>
      </c>
      <c r="BP81" s="52">
        <f t="shared" si="200"/>
        <v>2</v>
      </c>
      <c r="BQ81" s="52">
        <f t="shared" si="200"/>
        <v>2000</v>
      </c>
      <c r="BR81" s="52">
        <f t="shared" si="200"/>
        <v>9</v>
      </c>
      <c r="BS81" s="52">
        <f t="shared" si="200"/>
        <v>18000</v>
      </c>
      <c r="BT81" s="52">
        <f t="shared" si="200"/>
        <v>30</v>
      </c>
      <c r="BU81" s="52">
        <f t="shared" si="200"/>
        <v>30000</v>
      </c>
      <c r="BV81" s="51">
        <f t="shared" si="200"/>
        <v>427062.95273972605</v>
      </c>
      <c r="CB81" s="50"/>
      <c r="CC81" s="49"/>
      <c r="CD81" s="49"/>
    </row>
    <row r="82" spans="1:82" customFormat="1" hidden="1" x14ac:dyDescent="0.3">
      <c r="X82" s="47"/>
      <c r="Y82" s="47"/>
      <c r="AA82" s="35"/>
      <c r="AC82" s="34"/>
      <c r="AW82" s="33"/>
      <c r="BK82" s="137">
        <f>+BK81-BJ81</f>
        <v>214347.15410958906</v>
      </c>
      <c r="BV82" s="32">
        <v>170</v>
      </c>
    </row>
    <row r="83" spans="1:82" customFormat="1" hidden="1" x14ac:dyDescent="0.3">
      <c r="AA83" s="35"/>
      <c r="AC83" s="34"/>
      <c r="AI83" s="137">
        <f>+AI81-AJ81</f>
        <v>3600</v>
      </c>
      <c r="AM83" s="137">
        <f>+AM81</f>
        <v>88997.154109589013</v>
      </c>
      <c r="AO83" s="137">
        <f>+AO81</f>
        <v>9400</v>
      </c>
      <c r="AS83" s="137">
        <f>+AS81-AT81</f>
        <v>9750</v>
      </c>
      <c r="AW83" s="33"/>
      <c r="AX83" s="137">
        <f>+AX81-AY81</f>
        <v>73400</v>
      </c>
      <c r="BC83" s="137">
        <f>+BC81-BD81</f>
        <v>9250</v>
      </c>
      <c r="BF83" s="137">
        <f>+BF81</f>
        <v>18000</v>
      </c>
      <c r="BG83">
        <f>1456775/188</f>
        <v>7748.8031914893618</v>
      </c>
      <c r="BK83" s="137">
        <f>+SUM(AI83:BF83)</f>
        <v>212397.154109589</v>
      </c>
      <c r="BL83" s="46"/>
      <c r="BM83" s="46"/>
      <c r="BV83" s="46">
        <f>+BV81/BV82</f>
        <v>2512.1350161160358</v>
      </c>
    </row>
    <row r="84" spans="1:82" customFormat="1" hidden="1" x14ac:dyDescent="0.3">
      <c r="C84" s="45"/>
      <c r="AA84" s="35"/>
      <c r="AC84" s="34"/>
      <c r="AW84" s="33"/>
      <c r="BK84" s="137">
        <f>+BK82-BK83</f>
        <v>1950.0000000000582</v>
      </c>
      <c r="BV84" s="32"/>
    </row>
    <row r="85" spans="1:82" ht="31.2" customHeight="1" x14ac:dyDescent="0.3"/>
    <row r="86" spans="1:82" ht="57.6" x14ac:dyDescent="0.3">
      <c r="E86" s="44" t="s">
        <v>2872</v>
      </c>
      <c r="F86" s="81" t="s">
        <v>2917</v>
      </c>
      <c r="G86" s="44" t="s">
        <v>2871</v>
      </c>
      <c r="H86" s="43" t="s">
        <v>2870</v>
      </c>
      <c r="I86" s="43" t="s">
        <v>2869</v>
      </c>
      <c r="J86" s="43" t="s">
        <v>2868</v>
      </c>
      <c r="K86" s="43" t="s">
        <v>2867</v>
      </c>
      <c r="L86" s="43" t="s">
        <v>2866</v>
      </c>
      <c r="M86" s="43" t="s">
        <v>2865</v>
      </c>
      <c r="N86" s="43" t="s">
        <v>2864</v>
      </c>
      <c r="O86" s="43" t="s">
        <v>2863</v>
      </c>
      <c r="AR86" s="42"/>
      <c r="AS86" s="42"/>
      <c r="AW86" s="34"/>
      <c r="BP86" s="41"/>
      <c r="BV86" s="34"/>
    </row>
    <row r="87" spans="1:82" x14ac:dyDescent="0.3">
      <c r="E87" s="145" t="s">
        <v>2463</v>
      </c>
      <c r="F87" s="145" t="str">
        <f>+VLOOKUP(E87,$C$8:$F$80,4,0)</f>
        <v>0694</v>
      </c>
      <c r="G87" s="72">
        <f>+COUNTIFS($D$8:$D$80,$E$87:$E$100,$AA$8:$AA$80,"OLD")-COUNTIFS($C$8:$C$80,$E$87:$E$100,$AA$8:$AA$80,"OLD")</f>
        <v>4</v>
      </c>
      <c r="H87" s="148">
        <f t="shared" ref="H87:H100" si="201">+SUMIFS($BN$8:$BN$80,$D$8:$D$80,$E$87:$E$100,$AA$8:$AA$80,"OLD")-SUMIFS($BN$8:$BN$80,$C$8:$C$80,$E$87:$E$100,$AA$8:$AA$80,"OLD")</f>
        <v>2040.1952054794519</v>
      </c>
      <c r="I87" s="99">
        <f>+IFERROR(H87/G87,0)</f>
        <v>510.04880136986299</v>
      </c>
      <c r="J87" s="158">
        <f>++SUMIFS($G$8:$G$80,$D$8:$D$80,$E$87:$E$100,$AA$8:$AA$80,"OLD")+SUMIFS($H$8:$H$80,$D$8:$D$80,$E$87:$E$100,$AA$8:$AA$80,"OLD")+SUMIFS($I$8:$I$80,$D$8:$D$80,$E$87:$E$100,$AA$8:$AA$80,"OLD")+SUMIFS($J$8:$J$80,$D$8:$D$80,$E$87:$E$100,$AA$8:$AA$80,"OLD")+SUMIFS($K$8:$K$80,$D$8:$D$80,$E$87:$E$100,$AA$8:$AA$80,"OLD")+SUMIFS($L$8:$L$80,$D$8:$D$80,$E$87:$E$100,$AA$8:$AA$80,"OLD")+SUMIFS($M$8:$M$80,$D$8:$D$80,$E$87:$E$100,$AA$8:$AA$80,"OLD")</f>
        <v>2</v>
      </c>
      <c r="K87" s="72" t="str">
        <f>+IF(J87&gt;=G87,"YES","NO")</f>
        <v>NO</v>
      </c>
      <c r="L87" s="99">
        <f>+IF(K87="YES",I87*150%,0)</f>
        <v>0</v>
      </c>
      <c r="M87" s="148">
        <f t="shared" ref="M87:M100" si="202">+SUMIFS($BL$8:$BL$80,$D$8:$D$80,$E$87:$E$97)-SUMIFS($BL$8:$BL$80,$C$8:$C$80,$E$87:$E$97)</f>
        <v>0</v>
      </c>
      <c r="N87" s="99">
        <f>+IF(M87=1,M87*15001,IF(M87&gt;=2,M87*2000,0))</f>
        <v>0</v>
      </c>
      <c r="O87" s="148">
        <f>+IF(E87="CHHANERA",0,IF(E87="KASRAWAD",0,IF(E87="SHOWROOM DSE",0,SUM(L87-N87))))</f>
        <v>0</v>
      </c>
      <c r="AR87" s="42"/>
      <c r="AS87" s="42"/>
      <c r="AW87" s="34"/>
      <c r="BP87" s="41"/>
      <c r="BV87" s="34"/>
    </row>
    <row r="88" spans="1:82" x14ac:dyDescent="0.3">
      <c r="E88" s="145" t="s">
        <v>2323</v>
      </c>
      <c r="F88" s="145" t="str">
        <f t="shared" ref="F88:F100" si="203">+VLOOKUP(E88,$C$8:$F$80,4,0)</f>
        <v>BAD099</v>
      </c>
      <c r="G88" s="72">
        <f t="shared" ref="G88:G100" si="204">+COUNTIFS($D$8:$D$80,$E$87:$E$100,$AA$8:$AA$80,"OLD")-COUNTIFS($C$8:$C$80,$E$87:$E$100,$AA$8:$AA$80,"OLD")</f>
        <v>3</v>
      </c>
      <c r="H88" s="148">
        <f t="shared" si="201"/>
        <v>41084.732876712325</v>
      </c>
      <c r="I88" s="99">
        <f t="shared" ref="I88:I100" si="205">+IFERROR(H88/G88,0)</f>
        <v>13694.910958904109</v>
      </c>
      <c r="J88" s="158">
        <f t="shared" ref="J88:J100" si="206">++SUMIFS($G$8:$G$80,$D$8:$D$80,$E$87:$E$100,$AA$8:$AA$80,"OLD")+SUMIFS($H$8:$H$80,$D$8:$D$80,$E$87:$E$100,$AA$8:$AA$80,"OLD")+SUMIFS($I$8:$I$80,$D$8:$D$80,$E$87:$E$100,$AA$8:$AA$80,"OLD")+SUMIFS($J$8:$J$80,$D$8:$D$80,$E$87:$E$100,$AA$8:$AA$80,"OLD")+SUMIFS($K$8:$K$80,$D$8:$D$80,$E$87:$E$100,$AA$8:$AA$80,"OLD")+SUMIFS($L$8:$L$80,$D$8:$D$80,$E$87:$E$100,$AA$8:$AA$80,"OLD")+SUMIFS($M$8:$M$80,$D$8:$D$80,$E$87:$E$100,$AA$8:$AA$80,"OLD")</f>
        <v>4</v>
      </c>
      <c r="K88" s="72" t="str">
        <f t="shared" ref="K88:K100" si="207">+IF(J88&gt;=G88,"YES","NO")</f>
        <v>YES</v>
      </c>
      <c r="L88" s="99">
        <f t="shared" ref="L88:L100" si="208">+IF(K88="YES",I88*150%,0)</f>
        <v>20542.366438356163</v>
      </c>
      <c r="M88" s="148">
        <f t="shared" si="202"/>
        <v>0</v>
      </c>
      <c r="N88" s="99">
        <f t="shared" ref="N88:N101" si="209">+IF(M88=1,M88*15001,IF(M88&gt;=2,M88*2000,0))</f>
        <v>0</v>
      </c>
      <c r="O88" s="148">
        <f t="shared" ref="O88:O100" si="210">+IF(E88="CHHANERA",0,IF(E88="KASRAWAD",0,IF(E88="SHOWROOM DSE",0,SUM(L88-N88))))</f>
        <v>20542.366438356163</v>
      </c>
      <c r="AR88" s="42"/>
      <c r="AS88" s="42"/>
      <c r="AW88" s="34"/>
      <c r="BP88" s="41"/>
      <c r="BV88" s="34"/>
    </row>
    <row r="89" spans="1:82" x14ac:dyDescent="0.3">
      <c r="E89" s="145" t="s">
        <v>2407</v>
      </c>
      <c r="F89" s="145" t="str">
        <f t="shared" si="203"/>
        <v>BUR266</v>
      </c>
      <c r="G89" s="72">
        <f t="shared" si="204"/>
        <v>6</v>
      </c>
      <c r="H89" s="148">
        <f t="shared" si="201"/>
        <v>53426.945205479453</v>
      </c>
      <c r="I89" s="99">
        <f t="shared" si="205"/>
        <v>8904.4908675799088</v>
      </c>
      <c r="J89" s="158">
        <f t="shared" si="206"/>
        <v>7</v>
      </c>
      <c r="K89" s="72" t="str">
        <f t="shared" si="207"/>
        <v>YES</v>
      </c>
      <c r="L89" s="99">
        <f t="shared" si="208"/>
        <v>13356.736301369863</v>
      </c>
      <c r="M89" s="148">
        <f t="shared" si="202"/>
        <v>0</v>
      </c>
      <c r="N89" s="99">
        <f t="shared" si="209"/>
        <v>0</v>
      </c>
      <c r="O89" s="148">
        <f t="shared" si="210"/>
        <v>13356.736301369863</v>
      </c>
      <c r="AR89" s="42"/>
      <c r="AS89" s="42"/>
      <c r="AW89" s="34"/>
      <c r="BP89" s="41"/>
      <c r="BV89" s="34">
        <v>50000</v>
      </c>
    </row>
    <row r="90" spans="1:82" x14ac:dyDescent="0.3">
      <c r="E90" s="145" t="s">
        <v>871</v>
      </c>
      <c r="F90" s="145" t="e">
        <f t="shared" si="203"/>
        <v>#N/A</v>
      </c>
      <c r="G90" s="72">
        <f t="shared" si="204"/>
        <v>2</v>
      </c>
      <c r="H90" s="148">
        <f t="shared" si="201"/>
        <v>3387.6027397260277</v>
      </c>
      <c r="I90" s="99">
        <f t="shared" si="205"/>
        <v>1693.8013698630139</v>
      </c>
      <c r="J90" s="158">
        <f t="shared" si="206"/>
        <v>2</v>
      </c>
      <c r="K90" s="72" t="str">
        <f t="shared" si="207"/>
        <v>YES</v>
      </c>
      <c r="L90" s="99">
        <f t="shared" si="208"/>
        <v>2540.7020547945208</v>
      </c>
      <c r="M90" s="148">
        <f t="shared" si="202"/>
        <v>0</v>
      </c>
      <c r="N90" s="99">
        <f t="shared" si="209"/>
        <v>0</v>
      </c>
      <c r="O90" s="148">
        <f t="shared" si="210"/>
        <v>0</v>
      </c>
      <c r="AR90" s="42"/>
      <c r="AS90" s="42"/>
      <c r="AW90" s="34"/>
      <c r="BP90" s="41"/>
      <c r="BV90" s="34">
        <f>+BV89/170</f>
        <v>294.11764705882354</v>
      </c>
    </row>
    <row r="91" spans="1:82" x14ac:dyDescent="0.3">
      <c r="E91" s="145" t="s">
        <v>2252</v>
      </c>
      <c r="F91" s="145" t="str">
        <f t="shared" si="203"/>
        <v>0366</v>
      </c>
      <c r="G91" s="72">
        <f t="shared" si="204"/>
        <v>4</v>
      </c>
      <c r="H91" s="148">
        <f t="shared" si="201"/>
        <v>6677.6472602739723</v>
      </c>
      <c r="I91" s="99">
        <f t="shared" si="205"/>
        <v>1669.4118150684931</v>
      </c>
      <c r="J91" s="158">
        <f t="shared" si="206"/>
        <v>0</v>
      </c>
      <c r="K91" s="72" t="str">
        <f t="shared" si="207"/>
        <v>NO</v>
      </c>
      <c r="L91" s="99">
        <f t="shared" si="208"/>
        <v>0</v>
      </c>
      <c r="M91" s="148">
        <f t="shared" si="202"/>
        <v>0</v>
      </c>
      <c r="N91" s="99">
        <f t="shared" si="209"/>
        <v>0</v>
      </c>
      <c r="O91" s="148">
        <f t="shared" si="210"/>
        <v>0</v>
      </c>
      <c r="AR91" s="42"/>
      <c r="AS91" s="42"/>
      <c r="AW91" s="34"/>
      <c r="BP91" s="41"/>
      <c r="BV91" s="157">
        <f>+BV83-BV90</f>
        <v>2218.0173690572124</v>
      </c>
    </row>
    <row r="92" spans="1:82" x14ac:dyDescent="0.3">
      <c r="E92" s="145" t="s">
        <v>2586</v>
      </c>
      <c r="F92" s="145" t="str">
        <f t="shared" si="203"/>
        <v>SEN001</v>
      </c>
      <c r="G92" s="72">
        <f t="shared" si="204"/>
        <v>4</v>
      </c>
      <c r="H92" s="148">
        <f t="shared" si="201"/>
        <v>2085.7191780821922</v>
      </c>
      <c r="I92" s="99">
        <f t="shared" si="205"/>
        <v>521.42979452054806</v>
      </c>
      <c r="J92" s="158">
        <f t="shared" si="206"/>
        <v>1</v>
      </c>
      <c r="K92" s="72" t="str">
        <f t="shared" si="207"/>
        <v>NO</v>
      </c>
      <c r="L92" s="99">
        <f t="shared" si="208"/>
        <v>0</v>
      </c>
      <c r="M92" s="148">
        <f t="shared" si="202"/>
        <v>0</v>
      </c>
      <c r="N92" s="99">
        <f t="shared" si="209"/>
        <v>0</v>
      </c>
      <c r="O92" s="148">
        <f t="shared" si="210"/>
        <v>0</v>
      </c>
      <c r="AR92" s="42"/>
      <c r="AS92" s="42"/>
      <c r="AW92" s="34"/>
      <c r="BP92" s="41"/>
      <c r="BV92" s="34"/>
    </row>
    <row r="93" spans="1:82" x14ac:dyDescent="0.3">
      <c r="E93" s="145" t="s">
        <v>2269</v>
      </c>
      <c r="F93" s="145" t="e">
        <f t="shared" si="203"/>
        <v>#N/A</v>
      </c>
      <c r="G93" s="72">
        <f t="shared" si="204"/>
        <v>2</v>
      </c>
      <c r="H93" s="148">
        <f t="shared" si="201"/>
        <v>1800</v>
      </c>
      <c r="I93" s="99">
        <f t="shared" si="205"/>
        <v>900</v>
      </c>
      <c r="J93" s="158">
        <f t="shared" si="206"/>
        <v>0</v>
      </c>
      <c r="K93" s="72" t="str">
        <f t="shared" si="207"/>
        <v>NO</v>
      </c>
      <c r="L93" s="99">
        <f t="shared" si="208"/>
        <v>0</v>
      </c>
      <c r="M93" s="148">
        <f t="shared" si="202"/>
        <v>0</v>
      </c>
      <c r="N93" s="99">
        <f t="shared" si="209"/>
        <v>0</v>
      </c>
      <c r="O93" s="148">
        <f t="shared" si="210"/>
        <v>0</v>
      </c>
      <c r="AR93" s="42"/>
      <c r="AS93" s="42"/>
      <c r="AW93" s="34"/>
      <c r="BP93" s="41"/>
      <c r="BV93" s="34"/>
    </row>
    <row r="94" spans="1:82" x14ac:dyDescent="0.3">
      <c r="E94" s="145" t="s">
        <v>2286</v>
      </c>
      <c r="F94" s="145" t="str">
        <f t="shared" si="203"/>
        <v>2179</v>
      </c>
      <c r="G94" s="72">
        <f t="shared" si="204"/>
        <v>3</v>
      </c>
      <c r="H94" s="148">
        <f t="shared" si="201"/>
        <v>3670.376712328768</v>
      </c>
      <c r="I94" s="99">
        <f t="shared" si="205"/>
        <v>1223.4589041095894</v>
      </c>
      <c r="J94" s="158">
        <f t="shared" si="206"/>
        <v>2</v>
      </c>
      <c r="K94" s="72" t="str">
        <f t="shared" si="207"/>
        <v>NO</v>
      </c>
      <c r="L94" s="99">
        <f t="shared" si="208"/>
        <v>0</v>
      </c>
      <c r="M94" s="148">
        <f t="shared" si="202"/>
        <v>0</v>
      </c>
      <c r="N94" s="99">
        <f t="shared" si="209"/>
        <v>0</v>
      </c>
      <c r="O94" s="148">
        <f t="shared" si="210"/>
        <v>0</v>
      </c>
      <c r="AR94" s="42"/>
      <c r="AS94" s="42"/>
      <c r="AW94" s="34"/>
      <c r="BP94" s="41"/>
      <c r="BV94" s="34"/>
    </row>
    <row r="95" spans="1:82" x14ac:dyDescent="0.3">
      <c r="E95" s="145" t="s">
        <v>2280</v>
      </c>
      <c r="F95" s="145" t="str">
        <f t="shared" si="203"/>
        <v>BUR086</v>
      </c>
      <c r="G95" s="72">
        <f t="shared" si="204"/>
        <v>6</v>
      </c>
      <c r="H95" s="148">
        <f t="shared" si="201"/>
        <v>61255.613013698632</v>
      </c>
      <c r="I95" s="99">
        <f t="shared" si="205"/>
        <v>10209.268835616438</v>
      </c>
      <c r="J95" s="158">
        <f t="shared" si="206"/>
        <v>5</v>
      </c>
      <c r="K95" s="72" t="str">
        <f t="shared" si="207"/>
        <v>NO</v>
      </c>
      <c r="L95" s="99">
        <f t="shared" si="208"/>
        <v>0</v>
      </c>
      <c r="M95" s="148">
        <f t="shared" si="202"/>
        <v>0</v>
      </c>
      <c r="N95" s="99">
        <f t="shared" si="209"/>
        <v>0</v>
      </c>
      <c r="O95" s="148">
        <f t="shared" si="210"/>
        <v>0</v>
      </c>
      <c r="AR95" s="42"/>
      <c r="AS95" s="42"/>
      <c r="AW95" s="34"/>
      <c r="BP95" s="41"/>
      <c r="BV95" s="34"/>
    </row>
    <row r="96" spans="1:82" x14ac:dyDescent="0.3">
      <c r="E96" s="145" t="s">
        <v>2432</v>
      </c>
      <c r="F96" s="145" t="str">
        <f t="shared" si="203"/>
        <v>MHS01</v>
      </c>
      <c r="G96" s="72">
        <f t="shared" si="204"/>
        <v>3</v>
      </c>
      <c r="H96" s="148">
        <f t="shared" si="201"/>
        <v>13063.770547945207</v>
      </c>
      <c r="I96" s="99">
        <f t="shared" si="205"/>
        <v>4354.5901826484023</v>
      </c>
      <c r="J96" s="158">
        <f t="shared" si="206"/>
        <v>2</v>
      </c>
      <c r="K96" s="72" t="str">
        <f t="shared" si="207"/>
        <v>NO</v>
      </c>
      <c r="L96" s="99">
        <f t="shared" si="208"/>
        <v>0</v>
      </c>
      <c r="M96" s="148">
        <f t="shared" si="202"/>
        <v>0</v>
      </c>
      <c r="N96" s="99">
        <f t="shared" si="209"/>
        <v>0</v>
      </c>
      <c r="O96" s="148">
        <f t="shared" si="210"/>
        <v>0</v>
      </c>
      <c r="AR96" s="42"/>
      <c r="AS96" s="42"/>
      <c r="AW96" s="34"/>
      <c r="BP96" s="41"/>
      <c r="BV96" s="34"/>
    </row>
    <row r="97" spans="5:74" x14ac:dyDescent="0.3">
      <c r="E97" s="145" t="s">
        <v>2767</v>
      </c>
      <c r="F97" s="145" t="str">
        <f t="shared" si="203"/>
        <v>PAN01</v>
      </c>
      <c r="G97" s="72">
        <f t="shared" si="204"/>
        <v>2</v>
      </c>
      <c r="H97" s="148">
        <f t="shared" si="201"/>
        <v>0</v>
      </c>
      <c r="I97" s="99">
        <f t="shared" si="205"/>
        <v>0</v>
      </c>
      <c r="J97" s="158">
        <f t="shared" si="206"/>
        <v>0</v>
      </c>
      <c r="K97" s="72" t="str">
        <f t="shared" si="207"/>
        <v>NO</v>
      </c>
      <c r="L97" s="99">
        <f t="shared" si="208"/>
        <v>0</v>
      </c>
      <c r="M97" s="148">
        <f t="shared" si="202"/>
        <v>0</v>
      </c>
      <c r="N97" s="99">
        <f t="shared" si="209"/>
        <v>0</v>
      </c>
      <c r="O97" s="148">
        <f t="shared" si="210"/>
        <v>0</v>
      </c>
      <c r="AR97" s="42"/>
      <c r="AS97" s="42"/>
      <c r="AW97" s="34"/>
      <c r="BP97" s="41"/>
      <c r="BV97" s="34"/>
    </row>
    <row r="98" spans="5:74" x14ac:dyDescent="0.3">
      <c r="E98" s="145" t="s">
        <v>2862</v>
      </c>
      <c r="F98" s="145" t="e">
        <f t="shared" si="203"/>
        <v>#N/A</v>
      </c>
      <c r="G98" s="72">
        <f>+COUNTIFS($D$8:$D$80,$E$87:$E$100,$AA$8:$AA$80,"OLD")-COUNTIFS($C$8:$C$80,$E$87:$E$100,$AA$8:$AA$80,"OLD")</f>
        <v>0</v>
      </c>
      <c r="H98" s="148">
        <f t="shared" si="201"/>
        <v>0</v>
      </c>
      <c r="I98" s="99">
        <f t="shared" si="205"/>
        <v>0</v>
      </c>
      <c r="J98" s="158">
        <f t="shared" si="206"/>
        <v>0</v>
      </c>
      <c r="K98" s="72" t="str">
        <f t="shared" si="207"/>
        <v>YES</v>
      </c>
      <c r="L98" s="99">
        <f t="shared" si="208"/>
        <v>0</v>
      </c>
      <c r="M98" s="148">
        <f t="shared" si="202"/>
        <v>0</v>
      </c>
      <c r="N98" s="99">
        <f t="shared" si="209"/>
        <v>0</v>
      </c>
      <c r="O98" s="148">
        <f t="shared" si="210"/>
        <v>0</v>
      </c>
      <c r="AR98" s="42"/>
      <c r="AS98" s="42"/>
      <c r="AW98" s="34"/>
      <c r="BP98" s="41"/>
      <c r="BV98" s="34"/>
    </row>
    <row r="99" spans="5:74" x14ac:dyDescent="0.3">
      <c r="E99" s="145" t="s">
        <v>2299</v>
      </c>
      <c r="F99" s="145" t="str">
        <f t="shared" si="203"/>
        <v>0702</v>
      </c>
      <c r="G99" s="72">
        <f t="shared" si="204"/>
        <v>5</v>
      </c>
      <c r="H99" s="148">
        <f t="shared" si="201"/>
        <v>37888.986301369863</v>
      </c>
      <c r="I99" s="99">
        <f t="shared" si="205"/>
        <v>7577.7972602739728</v>
      </c>
      <c r="J99" s="158">
        <f t="shared" si="206"/>
        <v>6</v>
      </c>
      <c r="K99" s="72" t="str">
        <f t="shared" si="207"/>
        <v>YES</v>
      </c>
      <c r="L99" s="99">
        <f t="shared" si="208"/>
        <v>11366.69589041096</v>
      </c>
      <c r="M99" s="148">
        <f t="shared" si="202"/>
        <v>0</v>
      </c>
      <c r="N99" s="99">
        <f t="shared" si="209"/>
        <v>0</v>
      </c>
      <c r="O99" s="148">
        <f t="shared" si="210"/>
        <v>11366.69589041096</v>
      </c>
      <c r="AR99" s="42"/>
      <c r="AS99" s="42"/>
      <c r="AW99" s="34"/>
      <c r="BP99" s="41"/>
      <c r="BV99" s="34"/>
    </row>
    <row r="100" spans="5:74" x14ac:dyDescent="0.3">
      <c r="E100" s="145" t="s">
        <v>2312</v>
      </c>
      <c r="F100" s="145" t="str">
        <f t="shared" si="203"/>
        <v>BAR0001</v>
      </c>
      <c r="G100" s="72">
        <f t="shared" si="204"/>
        <v>6</v>
      </c>
      <c r="H100" s="148">
        <f t="shared" si="201"/>
        <v>31337.236301369867</v>
      </c>
      <c r="I100" s="99">
        <f t="shared" si="205"/>
        <v>5222.8727168949781</v>
      </c>
      <c r="J100" s="158">
        <f t="shared" si="206"/>
        <v>4</v>
      </c>
      <c r="K100" s="72" t="str">
        <f t="shared" si="207"/>
        <v>NO</v>
      </c>
      <c r="L100" s="99">
        <f t="shared" si="208"/>
        <v>0</v>
      </c>
      <c r="M100" s="148">
        <f t="shared" si="202"/>
        <v>0</v>
      </c>
      <c r="N100" s="99">
        <f t="shared" si="209"/>
        <v>0</v>
      </c>
      <c r="O100" s="148">
        <f t="shared" si="210"/>
        <v>0</v>
      </c>
      <c r="AR100" s="42"/>
      <c r="AS100" s="42"/>
      <c r="AW100" s="34"/>
      <c r="BP100" s="41"/>
      <c r="BV100" s="34"/>
    </row>
    <row r="101" spans="5:74" x14ac:dyDescent="0.3">
      <c r="E101" s="146" t="s">
        <v>2861</v>
      </c>
      <c r="F101" s="146"/>
      <c r="G101" s="146">
        <f t="shared" ref="G101:M101" si="211">SUM(G87:G100)</f>
        <v>50</v>
      </c>
      <c r="H101" s="159">
        <f t="shared" si="211"/>
        <v>257718.82534246575</v>
      </c>
      <c r="I101" s="159">
        <f t="shared" si="211"/>
        <v>56482.081506849318</v>
      </c>
      <c r="J101" s="159">
        <f t="shared" si="211"/>
        <v>35</v>
      </c>
      <c r="K101" s="159">
        <f t="shared" si="211"/>
        <v>0</v>
      </c>
      <c r="L101" s="159">
        <f t="shared" si="211"/>
        <v>47806.50068493151</v>
      </c>
      <c r="M101" s="159">
        <f t="shared" si="211"/>
        <v>0</v>
      </c>
      <c r="N101" s="99">
        <f t="shared" si="209"/>
        <v>0</v>
      </c>
      <c r="O101" s="159">
        <f>SUM(O87:O100)</f>
        <v>45265.798630136982</v>
      </c>
      <c r="AR101" s="42"/>
      <c r="AS101" s="42"/>
      <c r="AW101" s="34"/>
      <c r="BP101" s="41"/>
      <c r="BV101" s="34"/>
    </row>
  </sheetData>
  <autoFilter ref="A6:CK84" xr:uid="{00000000-0009-0000-0000-000003000000}">
    <filterColumn colId="27">
      <filters>
        <filter val="YES"/>
      </filters>
    </filterColumn>
    <filterColumn colId="28">
      <filters>
        <filter val="YES"/>
      </filters>
    </filterColumn>
    <filterColumn colId="56">
      <filters>
        <filter val="1"/>
        <filter val="2"/>
      </filters>
    </filterColumn>
    <sortState xmlns:xlrd2="http://schemas.microsoft.com/office/spreadsheetml/2017/richdata2" ref="A11:CF77">
      <sortCondition ref="F6:F8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0"/>
  <sheetViews>
    <sheetView workbookViewId="0">
      <selection activeCell="N7" sqref="N7"/>
    </sheetView>
  </sheetViews>
  <sheetFormatPr defaultColWidth="9.109375" defaultRowHeight="14.4" x14ac:dyDescent="0.3"/>
  <cols>
    <col min="1" max="1" width="15.109375" style="35" customWidth="1"/>
    <col min="2" max="2" width="26.44140625" style="35" customWidth="1"/>
    <col min="3" max="6" width="9.109375" style="35" customWidth="1"/>
    <col min="7" max="8" width="9.109375" style="35"/>
    <col min="9" max="12" width="9.109375" style="35" customWidth="1"/>
    <col min="13" max="13" width="1.5546875" style="35" customWidth="1"/>
    <col min="14" max="16384" width="9.109375" style="35"/>
  </cols>
  <sheetData>
    <row r="1" spans="1:14" ht="25.8" x14ac:dyDescent="0.5">
      <c r="A1" s="183" t="s">
        <v>3018</v>
      </c>
      <c r="B1" s="183"/>
      <c r="C1" s="183"/>
      <c r="D1" s="183"/>
      <c r="E1" s="183"/>
      <c r="F1" s="183"/>
      <c r="G1" s="183"/>
      <c r="H1" s="183"/>
      <c r="I1" s="183"/>
    </row>
    <row r="2" spans="1:14" ht="25.8" x14ac:dyDescent="0.5">
      <c r="A2" s="183" t="s">
        <v>3019</v>
      </c>
      <c r="B2" s="183"/>
      <c r="C2" s="183"/>
      <c r="D2" s="183"/>
      <c r="E2" s="183"/>
      <c r="F2" s="183"/>
      <c r="G2" s="183"/>
      <c r="H2" s="183"/>
      <c r="I2" s="183"/>
    </row>
    <row r="3" spans="1:14" ht="25.8" x14ac:dyDescent="0.5">
      <c r="A3" s="184" t="s">
        <v>3020</v>
      </c>
      <c r="B3" s="184"/>
      <c r="C3" s="184"/>
      <c r="D3" s="184"/>
      <c r="E3" s="184"/>
      <c r="F3" s="184"/>
      <c r="G3" s="184"/>
      <c r="H3" s="184"/>
      <c r="I3" s="184"/>
    </row>
    <row r="4" spans="1:14" ht="69" x14ac:dyDescent="0.3">
      <c r="A4" s="100" t="s">
        <v>3021</v>
      </c>
      <c r="B4" s="100" t="s">
        <v>3022</v>
      </c>
      <c r="C4" s="100" t="s">
        <v>3023</v>
      </c>
      <c r="D4" s="100" t="s">
        <v>3024</v>
      </c>
      <c r="E4" s="100" t="s">
        <v>3025</v>
      </c>
      <c r="F4" s="100" t="s">
        <v>3102</v>
      </c>
      <c r="G4" s="100" t="s">
        <v>3101</v>
      </c>
      <c r="H4" s="100" t="s">
        <v>3026</v>
      </c>
      <c r="I4" s="100" t="s">
        <v>3027</v>
      </c>
      <c r="J4" s="101" t="s">
        <v>3028</v>
      </c>
      <c r="K4" s="102" t="s">
        <v>3029</v>
      </c>
      <c r="L4" s="103" t="s">
        <v>3030</v>
      </c>
      <c r="N4" s="35" t="s">
        <v>3099</v>
      </c>
    </row>
    <row r="5" spans="1:14" ht="15.75" customHeight="1" x14ac:dyDescent="0.3">
      <c r="A5" s="104">
        <v>9</v>
      </c>
      <c r="B5" s="106" t="s">
        <v>2582</v>
      </c>
      <c r="C5" s="106">
        <v>1</v>
      </c>
      <c r="D5" s="106">
        <v>1699</v>
      </c>
      <c r="E5" s="106"/>
      <c r="F5" s="106">
        <f>D5-E5</f>
        <v>1699</v>
      </c>
      <c r="G5" s="107">
        <f>F5/1.46</f>
        <v>1163.6986301369864</v>
      </c>
      <c r="H5" s="108">
        <f>G5/C5</f>
        <v>1163.6986301369864</v>
      </c>
      <c r="I5" s="115"/>
      <c r="J5" s="109"/>
      <c r="K5" s="110"/>
      <c r="L5" s="114"/>
      <c r="N5" s="35">
        <f>VLOOKUP(B5,'EMP STATUS'!$D$3:$K$77,8,)</f>
        <v>2231</v>
      </c>
    </row>
    <row r="6" spans="1:14" ht="15.75" customHeight="1" x14ac:dyDescent="0.3">
      <c r="A6" s="112">
        <v>1</v>
      </c>
      <c r="B6" s="113" t="s">
        <v>2570</v>
      </c>
      <c r="C6" s="113">
        <v>2</v>
      </c>
      <c r="D6" s="113"/>
      <c r="E6" s="113"/>
      <c r="F6" s="106">
        <f>D6-E6</f>
        <v>0</v>
      </c>
      <c r="G6" s="107">
        <f>F6/1.46</f>
        <v>0</v>
      </c>
      <c r="H6" s="108">
        <f>G6/C6</f>
        <v>0</v>
      </c>
      <c r="I6" s="122"/>
      <c r="J6" s="109">
        <f>G6</f>
        <v>0</v>
      </c>
      <c r="K6" s="110"/>
      <c r="L6" s="114"/>
      <c r="N6" s="35">
        <f>VLOOKUP(B6,'EMP STATUS'!$D$3:$K$77,8,)</f>
        <v>2298</v>
      </c>
    </row>
    <row r="7" spans="1:14" ht="15.75" customHeight="1" x14ac:dyDescent="0.3">
      <c r="A7" s="112"/>
      <c r="B7" s="113"/>
      <c r="C7" s="124"/>
      <c r="D7" s="113"/>
      <c r="E7" s="113"/>
      <c r="F7" s="106"/>
      <c r="G7" s="107"/>
      <c r="H7" s="108"/>
      <c r="I7" s="113"/>
      <c r="J7" s="109"/>
      <c r="K7" s="110"/>
      <c r="L7" s="114"/>
    </row>
    <row r="8" spans="1:14" ht="15.75" customHeight="1" x14ac:dyDescent="0.3">
      <c r="A8" s="112"/>
      <c r="B8" s="113"/>
      <c r="C8" s="124"/>
      <c r="D8" s="113"/>
      <c r="E8" s="113"/>
      <c r="F8" s="106"/>
      <c r="G8" s="107"/>
      <c r="H8" s="108"/>
      <c r="I8" s="113"/>
      <c r="J8" s="109"/>
      <c r="K8" s="110"/>
      <c r="L8" s="114"/>
    </row>
    <row r="9" spans="1:14" ht="15.75" customHeight="1" x14ac:dyDescent="0.3">
      <c r="A9" s="112"/>
      <c r="B9" s="113"/>
      <c r="C9" s="124"/>
      <c r="D9" s="113"/>
      <c r="E9" s="113"/>
      <c r="F9" s="106"/>
      <c r="G9" s="107"/>
      <c r="H9" s="108"/>
      <c r="I9" s="113"/>
      <c r="J9" s="109"/>
      <c r="K9" s="110"/>
      <c r="L9" s="114"/>
    </row>
    <row r="10" spans="1:14" ht="15.75" customHeight="1" x14ac:dyDescent="0.3">
      <c r="A10" s="104">
        <v>1</v>
      </c>
      <c r="B10" s="105" t="s">
        <v>2252</v>
      </c>
      <c r="C10" s="106">
        <v>2</v>
      </c>
      <c r="D10" s="106">
        <v>106868</v>
      </c>
      <c r="E10" s="106">
        <v>55000</v>
      </c>
      <c r="F10" s="106">
        <f t="shared" ref="F10:F28" si="0">D10-E10</f>
        <v>51868</v>
      </c>
      <c r="G10" s="107">
        <f t="shared" ref="G10:G28" si="1">F10/1.46</f>
        <v>35526.027397260274</v>
      </c>
      <c r="H10" s="108">
        <f t="shared" ref="H10:H18" si="2">G10/C10</f>
        <v>17763.013698630137</v>
      </c>
      <c r="I10" s="106"/>
      <c r="J10" s="109">
        <f t="shared" ref="J10:J28" si="3">G10</f>
        <v>35526.027397260274</v>
      </c>
      <c r="K10" s="110">
        <v>0.05</v>
      </c>
      <c r="L10" s="111">
        <f t="shared" ref="L10:L15" si="4">J10*K10</f>
        <v>1776.3013698630139</v>
      </c>
      <c r="N10" s="35" t="str">
        <f>VLOOKUP(B10,'EMP STATUS'!$D$3:$K$77,8,)</f>
        <v>0366</v>
      </c>
    </row>
    <row r="11" spans="1:14" ht="15.75" customHeight="1" x14ac:dyDescent="0.3">
      <c r="A11" s="104">
        <v>2</v>
      </c>
      <c r="B11" s="106" t="s">
        <v>2563</v>
      </c>
      <c r="C11" s="106">
        <v>1</v>
      </c>
      <c r="D11" s="106">
        <v>28709</v>
      </c>
      <c r="E11" s="106"/>
      <c r="F11" s="106">
        <f t="shared" si="0"/>
        <v>28709</v>
      </c>
      <c r="G11" s="107">
        <f t="shared" si="1"/>
        <v>19663.698630136987</v>
      </c>
      <c r="H11" s="108">
        <f t="shared" si="2"/>
        <v>19663.698630136987</v>
      </c>
      <c r="I11" s="115"/>
      <c r="J11" s="109">
        <f t="shared" si="3"/>
        <v>19663.698630136987</v>
      </c>
      <c r="K11" s="110">
        <v>5.5E-2</v>
      </c>
      <c r="L11" s="114">
        <f t="shared" si="4"/>
        <v>1081.5034246575342</v>
      </c>
      <c r="N11" s="35" t="str">
        <f>VLOOKUP(B11,'EMP STATUS'!$D$3:$K$77,8,)</f>
        <v>0679</v>
      </c>
    </row>
    <row r="12" spans="1:14" ht="15.75" customHeight="1" x14ac:dyDescent="0.3">
      <c r="A12" s="104">
        <v>2</v>
      </c>
      <c r="B12" s="106" t="s">
        <v>2436</v>
      </c>
      <c r="C12" s="124">
        <v>2</v>
      </c>
      <c r="D12" s="106">
        <v>46380</v>
      </c>
      <c r="E12" s="106"/>
      <c r="F12" s="106">
        <f t="shared" si="0"/>
        <v>46380</v>
      </c>
      <c r="G12" s="107">
        <f t="shared" si="1"/>
        <v>31767.123287671235</v>
      </c>
      <c r="H12" s="108">
        <f t="shared" si="2"/>
        <v>15883.561643835617</v>
      </c>
      <c r="I12" s="115"/>
      <c r="J12" s="109">
        <f t="shared" si="3"/>
        <v>31767.123287671235</v>
      </c>
      <c r="K12" s="110"/>
      <c r="L12" s="114">
        <f t="shared" si="4"/>
        <v>0</v>
      </c>
      <c r="N12" s="35" t="str">
        <f>VLOOKUP(B12,'EMP STATUS'!$D$3:$K$77,8,)</f>
        <v>0679</v>
      </c>
    </row>
    <row r="13" spans="1:14" ht="15.75" customHeight="1" x14ac:dyDescent="0.3">
      <c r="A13" s="112">
        <v>1</v>
      </c>
      <c r="B13" s="113" t="s">
        <v>2463</v>
      </c>
      <c r="C13" s="113">
        <v>2</v>
      </c>
      <c r="D13" s="126">
        <v>84278</v>
      </c>
      <c r="E13" s="126"/>
      <c r="F13" s="106">
        <f t="shared" si="0"/>
        <v>84278</v>
      </c>
      <c r="G13" s="107">
        <f t="shared" si="1"/>
        <v>57724.65753424658</v>
      </c>
      <c r="H13" s="108">
        <f t="shared" si="2"/>
        <v>28862.32876712329</v>
      </c>
      <c r="I13" s="113"/>
      <c r="J13" s="109">
        <f t="shared" si="3"/>
        <v>57724.65753424658</v>
      </c>
      <c r="K13" s="110">
        <v>0</v>
      </c>
      <c r="L13" s="114">
        <f t="shared" si="4"/>
        <v>0</v>
      </c>
      <c r="N13" s="35" t="str">
        <f>VLOOKUP(B13,'EMP STATUS'!$D$3:$K$77,8,)</f>
        <v>0694</v>
      </c>
    </row>
    <row r="14" spans="1:14" ht="15.75" customHeight="1" x14ac:dyDescent="0.3">
      <c r="A14" s="104">
        <v>1</v>
      </c>
      <c r="B14" s="106" t="s">
        <v>2299</v>
      </c>
      <c r="C14" s="106">
        <v>8</v>
      </c>
      <c r="D14" s="106">
        <v>221500</v>
      </c>
      <c r="E14" s="106"/>
      <c r="F14" s="106">
        <f t="shared" si="0"/>
        <v>221500</v>
      </c>
      <c r="G14" s="107">
        <f t="shared" si="1"/>
        <v>151712.32876712328</v>
      </c>
      <c r="H14" s="108">
        <f t="shared" si="2"/>
        <v>18964.04109589041</v>
      </c>
      <c r="I14" s="115"/>
      <c r="J14" s="109">
        <f t="shared" si="3"/>
        <v>151712.32876712328</v>
      </c>
      <c r="K14" s="110">
        <v>0</v>
      </c>
      <c r="L14" s="114">
        <f t="shared" si="4"/>
        <v>0</v>
      </c>
      <c r="N14" s="35" t="str">
        <f>VLOOKUP(B14,'EMP STATUS'!$D$3:$K$77,8,)</f>
        <v>0702</v>
      </c>
    </row>
    <row r="15" spans="1:14" ht="15.75" customHeight="1" x14ac:dyDescent="0.3">
      <c r="A15" s="104">
        <v>4</v>
      </c>
      <c r="B15" s="113" t="s">
        <v>2577</v>
      </c>
      <c r="C15" s="124">
        <v>3</v>
      </c>
      <c r="D15" s="113">
        <v>145172</v>
      </c>
      <c r="E15" s="113">
        <v>41900</v>
      </c>
      <c r="F15" s="106">
        <f t="shared" si="0"/>
        <v>103272</v>
      </c>
      <c r="G15" s="107">
        <f t="shared" si="1"/>
        <v>70734.246575342462</v>
      </c>
      <c r="H15" s="108">
        <f t="shared" si="2"/>
        <v>23578.082191780821</v>
      </c>
      <c r="I15" s="122"/>
      <c r="J15" s="109">
        <f t="shared" si="3"/>
        <v>70734.246575342462</v>
      </c>
      <c r="K15" s="110"/>
      <c r="L15" s="114">
        <f t="shared" si="4"/>
        <v>0</v>
      </c>
      <c r="N15" s="35" t="str">
        <f>VLOOKUP(B15,'EMP STATUS'!$D$3:$K$77,8,)</f>
        <v>0894</v>
      </c>
    </row>
    <row r="16" spans="1:14" ht="15.75" customHeight="1" x14ac:dyDescent="0.3">
      <c r="A16" s="112">
        <v>1</v>
      </c>
      <c r="B16" s="123" t="s">
        <v>2343</v>
      </c>
      <c r="C16" s="113">
        <v>5</v>
      </c>
      <c r="D16" s="113">
        <v>154447</v>
      </c>
      <c r="E16" s="113">
        <v>34690</v>
      </c>
      <c r="F16" s="106">
        <f t="shared" si="0"/>
        <v>119757</v>
      </c>
      <c r="G16" s="107">
        <f t="shared" si="1"/>
        <v>82025.34246575342</v>
      </c>
      <c r="H16" s="108">
        <f t="shared" si="2"/>
        <v>16405.068493150684</v>
      </c>
      <c r="I16" s="122"/>
      <c r="J16" s="109">
        <f t="shared" si="3"/>
        <v>82025.34246575342</v>
      </c>
      <c r="K16" s="110"/>
      <c r="L16" s="114"/>
      <c r="N16" s="35" t="str">
        <f>VLOOKUP(B16,'EMP STATUS'!$D$3:$K$77,8,)</f>
        <v>0981</v>
      </c>
    </row>
    <row r="17" spans="1:14" ht="15.75" customHeight="1" x14ac:dyDescent="0.3">
      <c r="A17" s="104">
        <v>5</v>
      </c>
      <c r="B17" s="106" t="s">
        <v>2446</v>
      </c>
      <c r="C17" s="106">
        <v>5</v>
      </c>
      <c r="D17" s="106">
        <v>159683</v>
      </c>
      <c r="E17" s="106">
        <v>63012</v>
      </c>
      <c r="F17" s="106">
        <f t="shared" si="0"/>
        <v>96671</v>
      </c>
      <c r="G17" s="107">
        <f t="shared" si="1"/>
        <v>66213.013698630137</v>
      </c>
      <c r="H17" s="108">
        <f t="shared" si="2"/>
        <v>13242.602739726028</v>
      </c>
      <c r="I17" s="115"/>
      <c r="J17" s="109">
        <f t="shared" si="3"/>
        <v>66213.013698630137</v>
      </c>
      <c r="K17" s="110">
        <v>0</v>
      </c>
      <c r="L17" s="114">
        <f>J17*K17</f>
        <v>0</v>
      </c>
      <c r="N17" s="35" t="str">
        <f>VLOOKUP(B17,'EMP STATUS'!$D$3:$K$77,8,)</f>
        <v>1195</v>
      </c>
    </row>
    <row r="18" spans="1:14" ht="15.75" customHeight="1" x14ac:dyDescent="0.3">
      <c r="A18" s="104">
        <v>1</v>
      </c>
      <c r="B18" s="106" t="s">
        <v>2669</v>
      </c>
      <c r="C18" s="124">
        <v>2</v>
      </c>
      <c r="D18" s="106">
        <v>90990</v>
      </c>
      <c r="E18" s="106">
        <v>35190</v>
      </c>
      <c r="F18" s="106">
        <f t="shared" si="0"/>
        <v>55800</v>
      </c>
      <c r="G18" s="107">
        <f t="shared" si="1"/>
        <v>38219.178082191778</v>
      </c>
      <c r="H18" s="108">
        <f t="shared" si="2"/>
        <v>19109.589041095889</v>
      </c>
      <c r="I18" s="115"/>
      <c r="J18" s="109">
        <f t="shared" si="3"/>
        <v>38219.178082191778</v>
      </c>
      <c r="K18" s="110"/>
      <c r="L18" s="114">
        <f>J18*K18</f>
        <v>0</v>
      </c>
      <c r="N18" s="35" t="str">
        <f>VLOOKUP(B18,'EMP STATUS'!$D$3:$K$77,8,)</f>
        <v>1224</v>
      </c>
    </row>
    <row r="19" spans="1:14" ht="15.75" customHeight="1" x14ac:dyDescent="0.3">
      <c r="A19" s="112">
        <v>5</v>
      </c>
      <c r="B19" s="113" t="s">
        <v>2855</v>
      </c>
      <c r="C19" s="113"/>
      <c r="D19" s="113">
        <v>0</v>
      </c>
      <c r="E19" s="113"/>
      <c r="F19" s="106">
        <f t="shared" si="0"/>
        <v>0</v>
      </c>
      <c r="G19" s="107">
        <f t="shared" si="1"/>
        <v>0</v>
      </c>
      <c r="H19" s="108">
        <v>0</v>
      </c>
      <c r="I19" s="122"/>
      <c r="J19" s="109">
        <f t="shared" si="3"/>
        <v>0</v>
      </c>
      <c r="K19" s="110">
        <v>0</v>
      </c>
      <c r="L19" s="114">
        <f>J19*K19</f>
        <v>0</v>
      </c>
      <c r="N19" s="35" t="str">
        <f>VLOOKUP(B19,'EMP STATUS'!$D$3:$K$77,8,)</f>
        <v>1406</v>
      </c>
    </row>
    <row r="20" spans="1:14" ht="15.75" customHeight="1" x14ac:dyDescent="0.3">
      <c r="A20" s="104">
        <v>6</v>
      </c>
      <c r="B20" s="113" t="s">
        <v>1503</v>
      </c>
      <c r="C20" s="113">
        <v>2</v>
      </c>
      <c r="D20" s="113">
        <v>57379</v>
      </c>
      <c r="E20" s="113"/>
      <c r="F20" s="106">
        <f t="shared" si="0"/>
        <v>57379</v>
      </c>
      <c r="G20" s="107">
        <f t="shared" si="1"/>
        <v>39300.684931506854</v>
      </c>
      <c r="H20" s="108">
        <f t="shared" ref="H20:H28" si="5">G20/C20</f>
        <v>19650.342465753427</v>
      </c>
      <c r="I20" s="122"/>
      <c r="J20" s="109">
        <f t="shared" si="3"/>
        <v>39300.684931506854</v>
      </c>
      <c r="K20" s="110"/>
      <c r="L20" s="114"/>
      <c r="N20" s="35" t="str">
        <f>VLOOKUP(B20,'EMP STATUS'!$D$3:$K$77,8,)</f>
        <v>1601</v>
      </c>
    </row>
    <row r="21" spans="1:14" ht="15.75" customHeight="1" x14ac:dyDescent="0.3">
      <c r="A21" s="104">
        <v>3</v>
      </c>
      <c r="B21" s="106" t="s">
        <v>1309</v>
      </c>
      <c r="C21" s="106">
        <v>4</v>
      </c>
      <c r="D21" s="106">
        <v>132297</v>
      </c>
      <c r="E21" s="106"/>
      <c r="F21" s="106">
        <f t="shared" si="0"/>
        <v>132297</v>
      </c>
      <c r="G21" s="107">
        <f t="shared" si="1"/>
        <v>90614.383561643845</v>
      </c>
      <c r="H21" s="108">
        <f t="shared" si="5"/>
        <v>22653.595890410961</v>
      </c>
      <c r="I21" s="106"/>
      <c r="J21" s="109">
        <f t="shared" si="3"/>
        <v>90614.383561643845</v>
      </c>
      <c r="K21" s="110">
        <v>0.05</v>
      </c>
      <c r="L21" s="114">
        <f>J21*K21</f>
        <v>4530.7191780821922</v>
      </c>
      <c r="N21" s="35" t="str">
        <f>VLOOKUP(B21,'EMP STATUS'!$D$3:$K$77,8,)</f>
        <v>1623</v>
      </c>
    </row>
    <row r="22" spans="1:14" ht="15.75" customHeight="1" x14ac:dyDescent="0.3">
      <c r="A22" s="112">
        <v>2</v>
      </c>
      <c r="B22" s="113" t="s">
        <v>2258</v>
      </c>
      <c r="C22" s="113">
        <v>3</v>
      </c>
      <c r="D22" s="124">
        <v>90748</v>
      </c>
      <c r="E22" s="124">
        <v>45000</v>
      </c>
      <c r="F22" s="106">
        <f t="shared" si="0"/>
        <v>45748</v>
      </c>
      <c r="G22" s="107">
        <f t="shared" si="1"/>
        <v>31334.246575342466</v>
      </c>
      <c r="H22" s="108">
        <f t="shared" si="5"/>
        <v>10444.748858447489</v>
      </c>
      <c r="I22" s="122"/>
      <c r="J22" s="109">
        <f t="shared" si="3"/>
        <v>31334.246575342466</v>
      </c>
      <c r="K22" s="110"/>
      <c r="L22" s="114"/>
      <c r="M22" s="129"/>
      <c r="N22" s="35" t="str">
        <f>VLOOKUP(B22,'EMP STATUS'!$D$3:$K$77,8,)</f>
        <v>1735</v>
      </c>
    </row>
    <row r="23" spans="1:14" ht="15.75" customHeight="1" x14ac:dyDescent="0.3">
      <c r="A23" s="112">
        <v>6</v>
      </c>
      <c r="B23" s="113" t="s">
        <v>2724</v>
      </c>
      <c r="C23" s="113">
        <v>3</v>
      </c>
      <c r="D23" s="113">
        <v>55160</v>
      </c>
      <c r="E23" s="113">
        <v>19800</v>
      </c>
      <c r="F23" s="106">
        <f t="shared" si="0"/>
        <v>35360</v>
      </c>
      <c r="G23" s="107">
        <f t="shared" si="1"/>
        <v>24219.178082191782</v>
      </c>
      <c r="H23" s="108">
        <f t="shared" si="5"/>
        <v>8073.0593607305937</v>
      </c>
      <c r="I23" s="122"/>
      <c r="J23" s="109">
        <f t="shared" si="3"/>
        <v>24219.178082191782</v>
      </c>
      <c r="K23" s="110"/>
      <c r="L23" s="114"/>
      <c r="N23" s="35" t="str">
        <f>VLOOKUP(B23,'EMP STATUS'!$D$3:$K$77,8,)</f>
        <v>1738</v>
      </c>
    </row>
    <row r="24" spans="1:14" ht="15.75" customHeight="1" x14ac:dyDescent="0.3">
      <c r="A24" s="104">
        <v>3</v>
      </c>
      <c r="B24" s="113" t="s">
        <v>2354</v>
      </c>
      <c r="C24" s="113">
        <v>2</v>
      </c>
      <c r="D24" s="113">
        <v>114732</v>
      </c>
      <c r="E24" s="113">
        <v>42239</v>
      </c>
      <c r="F24" s="106">
        <f t="shared" si="0"/>
        <v>72493</v>
      </c>
      <c r="G24" s="107">
        <f t="shared" si="1"/>
        <v>49652.739726027401</v>
      </c>
      <c r="H24" s="108">
        <f t="shared" si="5"/>
        <v>24826.369863013701</v>
      </c>
      <c r="I24" s="122"/>
      <c r="J24" s="109">
        <f t="shared" si="3"/>
        <v>49652.739726027401</v>
      </c>
      <c r="K24" s="110">
        <v>0</v>
      </c>
      <c r="L24" s="114">
        <f>J24*K24</f>
        <v>0</v>
      </c>
      <c r="N24" s="35" t="str">
        <f>VLOOKUP(B24,'EMP STATUS'!$D$3:$K$77,8,)</f>
        <v>1779</v>
      </c>
    </row>
    <row r="25" spans="1:14" ht="15.75" customHeight="1" x14ac:dyDescent="0.3">
      <c r="A25" s="112">
        <v>4</v>
      </c>
      <c r="B25" s="106" t="s">
        <v>2815</v>
      </c>
      <c r="C25" s="106">
        <v>1</v>
      </c>
      <c r="D25" s="106">
        <v>40000</v>
      </c>
      <c r="E25" s="106"/>
      <c r="F25" s="106">
        <f t="shared" si="0"/>
        <v>40000</v>
      </c>
      <c r="G25" s="107">
        <f t="shared" si="1"/>
        <v>27397.260273972603</v>
      </c>
      <c r="H25" s="108">
        <f t="shared" si="5"/>
        <v>27397.260273972603</v>
      </c>
      <c r="I25" s="106"/>
      <c r="J25" s="109">
        <f t="shared" si="3"/>
        <v>27397.260273972603</v>
      </c>
      <c r="K25" s="110"/>
      <c r="L25" s="114"/>
      <c r="N25" s="35" t="str">
        <f>VLOOKUP(B25,'EMP STATUS'!$D$3:$K$77,8,)</f>
        <v>1797</v>
      </c>
    </row>
    <row r="26" spans="1:14" ht="15.75" customHeight="1" x14ac:dyDescent="0.3">
      <c r="A26" s="104">
        <v>4</v>
      </c>
      <c r="B26" s="106" t="s">
        <v>1391</v>
      </c>
      <c r="C26" s="106">
        <v>4</v>
      </c>
      <c r="D26" s="106">
        <v>164297</v>
      </c>
      <c r="E26" s="106">
        <v>50948</v>
      </c>
      <c r="F26" s="106">
        <f t="shared" si="0"/>
        <v>113349</v>
      </c>
      <c r="G26" s="107">
        <f t="shared" si="1"/>
        <v>77636.301369863009</v>
      </c>
      <c r="H26" s="108">
        <f t="shared" si="5"/>
        <v>19409.075342465752</v>
      </c>
      <c r="I26" s="115"/>
      <c r="J26" s="109">
        <f t="shared" si="3"/>
        <v>77636.301369863009</v>
      </c>
      <c r="K26" s="110">
        <v>0</v>
      </c>
      <c r="L26" s="114">
        <f>J26*K26</f>
        <v>0</v>
      </c>
      <c r="N26" s="35" t="str">
        <f>VLOOKUP(B26,'EMP STATUS'!$D$3:$K$77,8,)</f>
        <v>1962</v>
      </c>
    </row>
    <row r="27" spans="1:14" ht="15.75" customHeight="1" x14ac:dyDescent="0.3">
      <c r="A27" s="112">
        <v>4</v>
      </c>
      <c r="B27" s="113" t="s">
        <v>2522</v>
      </c>
      <c r="C27" s="113">
        <v>1</v>
      </c>
      <c r="D27" s="113"/>
      <c r="E27" s="113"/>
      <c r="F27" s="106">
        <f t="shared" si="0"/>
        <v>0</v>
      </c>
      <c r="G27" s="107">
        <f t="shared" si="1"/>
        <v>0</v>
      </c>
      <c r="H27" s="108">
        <f t="shared" si="5"/>
        <v>0</v>
      </c>
      <c r="I27" s="122"/>
      <c r="J27" s="109">
        <f t="shared" si="3"/>
        <v>0</v>
      </c>
      <c r="K27" s="110"/>
      <c r="L27" s="114"/>
      <c r="N27" s="35" t="str">
        <f>VLOOKUP(B27,'EMP STATUS'!$D$3:$K$77,8,)</f>
        <v>2079</v>
      </c>
    </row>
    <row r="28" spans="1:14" ht="15.75" customHeight="1" x14ac:dyDescent="0.3">
      <c r="A28" s="112">
        <v>2</v>
      </c>
      <c r="B28" s="113" t="s">
        <v>2566</v>
      </c>
      <c r="C28" s="113">
        <v>1</v>
      </c>
      <c r="D28" s="113">
        <v>27200</v>
      </c>
      <c r="E28" s="113"/>
      <c r="F28" s="106">
        <f t="shared" si="0"/>
        <v>27200</v>
      </c>
      <c r="G28" s="107">
        <f t="shared" si="1"/>
        <v>18630.136986301372</v>
      </c>
      <c r="H28" s="108">
        <f t="shared" si="5"/>
        <v>18630.136986301372</v>
      </c>
      <c r="I28" s="113"/>
      <c r="J28" s="109">
        <f t="shared" si="3"/>
        <v>18630.136986301372</v>
      </c>
      <c r="K28" s="110"/>
      <c r="L28" s="111">
        <f>J28*K28</f>
        <v>0</v>
      </c>
      <c r="N28" s="35" t="str">
        <f>VLOOKUP(B28,'EMP STATUS'!$D$3:$K$77,8,)</f>
        <v>2106</v>
      </c>
    </row>
    <row r="29" spans="1:14" ht="15.75" customHeight="1" x14ac:dyDescent="0.3">
      <c r="A29" s="112"/>
      <c r="B29" s="113"/>
      <c r="C29" s="113"/>
      <c r="D29" s="124"/>
      <c r="E29" s="124"/>
      <c r="F29" s="106"/>
      <c r="G29" s="107"/>
      <c r="H29" s="108"/>
      <c r="I29" s="122"/>
      <c r="J29" s="109"/>
      <c r="K29" s="110"/>
      <c r="L29" s="114"/>
      <c r="M29" s="129"/>
    </row>
    <row r="30" spans="1:14" ht="15.75" customHeight="1" x14ac:dyDescent="0.3">
      <c r="A30" s="112">
        <v>8</v>
      </c>
      <c r="B30" s="113" t="s">
        <v>2857</v>
      </c>
      <c r="C30" s="113"/>
      <c r="D30" s="126"/>
      <c r="E30" s="126"/>
      <c r="F30" s="106">
        <f t="shared" ref="F30:F38" si="6">D30-E30</f>
        <v>0</v>
      </c>
      <c r="G30" s="107">
        <f t="shared" ref="G30:G38" si="7">F30/1.46</f>
        <v>0</v>
      </c>
      <c r="H30" s="108">
        <v>0</v>
      </c>
      <c r="I30" s="122"/>
      <c r="J30" s="109">
        <f t="shared" ref="J30:J38" si="8">G30</f>
        <v>0</v>
      </c>
      <c r="K30" s="110">
        <v>0</v>
      </c>
      <c r="L30" s="114">
        <f>J30*K30</f>
        <v>0</v>
      </c>
      <c r="N30" s="35" t="str">
        <f>VLOOKUP(B30,'EMP STATUS'!$D$3:$K$77,8,)</f>
        <v>2127</v>
      </c>
    </row>
    <row r="31" spans="1:14" ht="15.75" customHeight="1" x14ac:dyDescent="0.3">
      <c r="A31" s="104">
        <v>4</v>
      </c>
      <c r="B31" s="113" t="s">
        <v>2594</v>
      </c>
      <c r="C31" s="113">
        <v>1</v>
      </c>
      <c r="D31" s="113">
        <v>12232</v>
      </c>
      <c r="E31" s="113">
        <v>4233</v>
      </c>
      <c r="F31" s="106">
        <f t="shared" si="6"/>
        <v>7999</v>
      </c>
      <c r="G31" s="107">
        <f t="shared" si="7"/>
        <v>5478.767123287671</v>
      </c>
      <c r="H31" s="108">
        <f>G31/C31</f>
        <v>5478.767123287671</v>
      </c>
      <c r="I31" s="113"/>
      <c r="J31" s="109">
        <f t="shared" si="8"/>
        <v>5478.767123287671</v>
      </c>
      <c r="K31" s="110">
        <v>0</v>
      </c>
      <c r="L31" s="114">
        <f>J31*K31</f>
        <v>0</v>
      </c>
      <c r="N31" s="35" t="str">
        <f>VLOOKUP(B31,'EMP STATUS'!$D$3:$K$77,8,)</f>
        <v>2160</v>
      </c>
    </row>
    <row r="32" spans="1:14" ht="15.75" customHeight="1" x14ac:dyDescent="0.3">
      <c r="A32" s="104">
        <v>4</v>
      </c>
      <c r="B32" s="123" t="s">
        <v>2856</v>
      </c>
      <c r="C32" s="113"/>
      <c r="D32" s="113"/>
      <c r="E32" s="113"/>
      <c r="F32" s="106">
        <f t="shared" si="6"/>
        <v>0</v>
      </c>
      <c r="G32" s="107">
        <f t="shared" si="7"/>
        <v>0</v>
      </c>
      <c r="H32" s="108">
        <v>0</v>
      </c>
      <c r="I32" s="122"/>
      <c r="J32" s="109">
        <f t="shared" si="8"/>
        <v>0</v>
      </c>
      <c r="K32" s="110"/>
      <c r="L32" s="114"/>
      <c r="N32" s="35" t="str">
        <f>VLOOKUP(B32,'EMP STATUS'!$D$3:$K$77,8,)</f>
        <v>2167</v>
      </c>
    </row>
    <row r="33" spans="1:14" ht="15.75" customHeight="1" x14ac:dyDescent="0.3">
      <c r="A33" s="112">
        <v>1</v>
      </c>
      <c r="B33" s="113" t="s">
        <v>2286</v>
      </c>
      <c r="C33" s="113">
        <v>2</v>
      </c>
      <c r="D33" s="113">
        <v>72068</v>
      </c>
      <c r="E33" s="113">
        <v>38269</v>
      </c>
      <c r="F33" s="106">
        <f t="shared" si="6"/>
        <v>33799</v>
      </c>
      <c r="G33" s="107">
        <f t="shared" si="7"/>
        <v>23150</v>
      </c>
      <c r="H33" s="108">
        <f>G33/C33</f>
        <v>11575</v>
      </c>
      <c r="I33" s="122"/>
      <c r="J33" s="109">
        <f t="shared" si="8"/>
        <v>23150</v>
      </c>
      <c r="K33" s="110"/>
      <c r="L33" s="114"/>
      <c r="N33" s="35" t="str">
        <f>VLOOKUP(B33,'EMP STATUS'!$D$3:$K$77,8,)</f>
        <v>2179</v>
      </c>
    </row>
    <row r="34" spans="1:14" ht="15.75" customHeight="1" x14ac:dyDescent="0.3">
      <c r="A34" s="112">
        <v>3</v>
      </c>
      <c r="B34" s="113" t="s">
        <v>2648</v>
      </c>
      <c r="C34" s="124">
        <v>1</v>
      </c>
      <c r="D34" s="113">
        <v>30000</v>
      </c>
      <c r="E34" s="113"/>
      <c r="F34" s="106">
        <f t="shared" si="6"/>
        <v>30000</v>
      </c>
      <c r="G34" s="107">
        <f t="shared" si="7"/>
        <v>20547.945205479453</v>
      </c>
      <c r="H34" s="108">
        <f>G34/C34</f>
        <v>20547.945205479453</v>
      </c>
      <c r="I34" s="113"/>
      <c r="J34" s="109">
        <f t="shared" si="8"/>
        <v>20547.945205479453</v>
      </c>
      <c r="K34" s="110">
        <v>5.5E-2</v>
      </c>
      <c r="L34" s="114">
        <f>J34*K34</f>
        <v>1130.1369863013699</v>
      </c>
      <c r="N34" s="35" t="str">
        <f>VLOOKUP(B34,'EMP STATUS'!$D$3:$K$77,8,)</f>
        <v>2196</v>
      </c>
    </row>
    <row r="35" spans="1:14" ht="15.75" customHeight="1" x14ac:dyDescent="0.3">
      <c r="A35" s="112">
        <v>3</v>
      </c>
      <c r="B35" s="113" t="s">
        <v>2854</v>
      </c>
      <c r="C35" s="113"/>
      <c r="D35" s="113"/>
      <c r="E35" s="113"/>
      <c r="F35" s="106">
        <f t="shared" si="6"/>
        <v>0</v>
      </c>
      <c r="G35" s="107">
        <f t="shared" si="7"/>
        <v>0</v>
      </c>
      <c r="H35" s="108">
        <v>0</v>
      </c>
      <c r="I35" s="122"/>
      <c r="J35" s="109">
        <f t="shared" si="8"/>
        <v>0</v>
      </c>
      <c r="K35" s="110"/>
      <c r="L35" s="114"/>
      <c r="N35" s="35" t="str">
        <f>VLOOKUP(B35,'EMP STATUS'!$D$3:$K$77,8,)</f>
        <v>2203</v>
      </c>
    </row>
    <row r="36" spans="1:14" ht="15.75" customHeight="1" x14ac:dyDescent="0.3">
      <c r="A36" s="104">
        <v>5</v>
      </c>
      <c r="B36" s="106" t="s">
        <v>2711</v>
      </c>
      <c r="C36" s="106">
        <v>1</v>
      </c>
      <c r="D36" s="106">
        <v>10002</v>
      </c>
      <c r="E36" s="106"/>
      <c r="F36" s="106">
        <f t="shared" si="6"/>
        <v>10002</v>
      </c>
      <c r="G36" s="107">
        <f t="shared" si="7"/>
        <v>6850.6849315068494</v>
      </c>
      <c r="H36" s="108">
        <f>G36/C36</f>
        <v>6850.6849315068494</v>
      </c>
      <c r="I36" s="115"/>
      <c r="J36" s="109">
        <f t="shared" si="8"/>
        <v>6850.6849315068494</v>
      </c>
      <c r="K36" s="110"/>
      <c r="L36" s="114"/>
      <c r="N36" s="35" t="str">
        <f>VLOOKUP(B36,'EMP STATUS'!$D$3:$K$77,8,)</f>
        <v>2249</v>
      </c>
    </row>
    <row r="37" spans="1:14" ht="15.75" customHeight="1" x14ac:dyDescent="0.3">
      <c r="A37" s="112">
        <v>2</v>
      </c>
      <c r="B37" s="113" t="s">
        <v>2553</v>
      </c>
      <c r="C37" s="124">
        <v>1</v>
      </c>
      <c r="D37" s="113">
        <v>27690</v>
      </c>
      <c r="E37" s="113"/>
      <c r="F37" s="106">
        <f t="shared" si="6"/>
        <v>27690</v>
      </c>
      <c r="G37" s="107">
        <f t="shared" si="7"/>
        <v>18965.753424657534</v>
      </c>
      <c r="H37" s="108">
        <f>G37/C37</f>
        <v>18965.753424657534</v>
      </c>
      <c r="I37" s="122"/>
      <c r="J37" s="109">
        <f t="shared" si="8"/>
        <v>18965.753424657534</v>
      </c>
      <c r="K37" s="110"/>
      <c r="L37" s="114">
        <f>J37*K37</f>
        <v>0</v>
      </c>
      <c r="N37" s="35" t="str">
        <f>VLOOKUP(B37,'EMP STATUS'!$D$3:$K$77,8,)</f>
        <v>2257</v>
      </c>
    </row>
    <row r="38" spans="1:14" ht="15.75" customHeight="1" x14ac:dyDescent="0.3">
      <c r="A38" s="112">
        <v>5</v>
      </c>
      <c r="B38" s="113" t="s">
        <v>2778</v>
      </c>
      <c r="C38" s="113">
        <v>1</v>
      </c>
      <c r="D38" s="113"/>
      <c r="E38" s="113"/>
      <c r="F38" s="106">
        <f t="shared" si="6"/>
        <v>0</v>
      </c>
      <c r="G38" s="107">
        <f t="shared" si="7"/>
        <v>0</v>
      </c>
      <c r="H38" s="108">
        <f>G38/C38</f>
        <v>0</v>
      </c>
      <c r="I38" s="122"/>
      <c r="J38" s="109">
        <f t="shared" si="8"/>
        <v>0</v>
      </c>
      <c r="K38" s="110"/>
      <c r="L38" s="114"/>
      <c r="N38" s="35" t="str">
        <f>VLOOKUP(B38,'EMP STATUS'!$D$3:$K$77,8,)</f>
        <v>2327</v>
      </c>
    </row>
    <row r="39" spans="1:14" ht="15.75" customHeight="1" x14ac:dyDescent="0.3">
      <c r="A39" s="112"/>
      <c r="B39" s="113"/>
      <c r="C39" s="113"/>
      <c r="D39" s="124"/>
      <c r="E39" s="124"/>
      <c r="F39" s="106"/>
      <c r="G39" s="107"/>
      <c r="H39" s="108"/>
      <c r="I39" s="122"/>
      <c r="J39" s="109"/>
      <c r="K39" s="110"/>
      <c r="L39" s="114"/>
      <c r="M39" s="129"/>
    </row>
    <row r="40" spans="1:14" ht="15.75" customHeight="1" x14ac:dyDescent="0.3">
      <c r="A40" s="112">
        <v>4</v>
      </c>
      <c r="B40" s="113" t="s">
        <v>2393</v>
      </c>
      <c r="C40" s="113">
        <v>2</v>
      </c>
      <c r="D40" s="113">
        <v>57992</v>
      </c>
      <c r="E40" s="113"/>
      <c r="F40" s="106">
        <f t="shared" ref="F40:F47" si="9">D40-E40</f>
        <v>57992</v>
      </c>
      <c r="G40" s="107">
        <f t="shared" ref="G40:G47" si="10">F40/1.46</f>
        <v>39720.547945205479</v>
      </c>
      <c r="H40" s="108">
        <f t="shared" ref="H40:H47" si="11">G40/C40</f>
        <v>19860.273972602739</v>
      </c>
      <c r="I40" s="122"/>
      <c r="J40" s="109">
        <f t="shared" ref="J40:J47" si="12">G40</f>
        <v>39720.547945205479</v>
      </c>
      <c r="K40" s="110"/>
      <c r="L40" s="114">
        <f t="shared" ref="L40:L46" si="13">J40*K40</f>
        <v>0</v>
      </c>
      <c r="N40" s="35" t="str">
        <f>VLOOKUP(B40,'EMP STATUS'!$D$3:$K$77,8,)</f>
        <v>ARCHN02</v>
      </c>
    </row>
    <row r="41" spans="1:14" ht="15.75" customHeight="1" x14ac:dyDescent="0.3">
      <c r="A41" s="112">
        <v>1</v>
      </c>
      <c r="B41" s="113" t="s">
        <v>2351</v>
      </c>
      <c r="C41" s="113">
        <v>6</v>
      </c>
      <c r="D41" s="122">
        <v>220113</v>
      </c>
      <c r="E41" s="122">
        <v>1000</v>
      </c>
      <c r="F41" s="106">
        <f t="shared" si="9"/>
        <v>219113</v>
      </c>
      <c r="G41" s="107">
        <f t="shared" si="10"/>
        <v>150077.39726027398</v>
      </c>
      <c r="H41" s="108">
        <f t="shared" si="11"/>
        <v>25012.899543378997</v>
      </c>
      <c r="I41" s="122"/>
      <c r="J41" s="109">
        <f t="shared" si="12"/>
        <v>150077.39726027398</v>
      </c>
      <c r="K41" s="110">
        <v>5.5E-2</v>
      </c>
      <c r="L41" s="114">
        <f t="shared" si="13"/>
        <v>8254.2568493150684</v>
      </c>
      <c r="N41" s="35" t="str">
        <f>VLOOKUP(B41,'EMP STATUS'!$D$3:$K$77,8,)</f>
        <v>BAD018</v>
      </c>
    </row>
    <row r="42" spans="1:14" ht="15.75" customHeight="1" x14ac:dyDescent="0.3">
      <c r="A42" s="112">
        <v>2</v>
      </c>
      <c r="B42" s="113" t="s">
        <v>2781</v>
      </c>
      <c r="C42" s="113">
        <v>2</v>
      </c>
      <c r="D42" s="124">
        <v>112371</v>
      </c>
      <c r="E42" s="124">
        <v>73000</v>
      </c>
      <c r="F42" s="106">
        <f t="shared" si="9"/>
        <v>39371</v>
      </c>
      <c r="G42" s="107">
        <f t="shared" si="10"/>
        <v>26966.438356164384</v>
      </c>
      <c r="H42" s="108">
        <f t="shared" si="11"/>
        <v>13483.219178082192</v>
      </c>
      <c r="I42" s="122"/>
      <c r="J42" s="109">
        <f t="shared" si="12"/>
        <v>26966.438356164384</v>
      </c>
      <c r="K42" s="110">
        <v>0.04</v>
      </c>
      <c r="L42" s="114">
        <f t="shared" si="13"/>
        <v>1078.6575342465753</v>
      </c>
      <c r="M42" s="129">
        <f>L42/100*10</f>
        <v>107.86575342465753</v>
      </c>
      <c r="N42" s="35" t="s">
        <v>3106</v>
      </c>
    </row>
    <row r="43" spans="1:14" ht="15.75" customHeight="1" x14ac:dyDescent="0.3">
      <c r="A43" s="104">
        <v>1</v>
      </c>
      <c r="B43" s="106" t="s">
        <v>2539</v>
      </c>
      <c r="C43" s="106">
        <v>2</v>
      </c>
      <c r="D43" s="106">
        <v>77666</v>
      </c>
      <c r="E43" s="106">
        <v>36990</v>
      </c>
      <c r="F43" s="106">
        <f t="shared" si="9"/>
        <v>40676</v>
      </c>
      <c r="G43" s="107">
        <f t="shared" si="10"/>
        <v>27860.273972602739</v>
      </c>
      <c r="H43" s="108">
        <f t="shared" si="11"/>
        <v>13930.13698630137</v>
      </c>
      <c r="I43" s="115"/>
      <c r="J43" s="109">
        <f t="shared" si="12"/>
        <v>27860.273972602739</v>
      </c>
      <c r="K43" s="110">
        <v>0</v>
      </c>
      <c r="L43" s="114">
        <f t="shared" si="13"/>
        <v>0</v>
      </c>
      <c r="N43" s="35" t="s">
        <v>3105</v>
      </c>
    </row>
    <row r="44" spans="1:14" ht="15.75" customHeight="1" x14ac:dyDescent="0.3">
      <c r="A44" s="112">
        <v>3</v>
      </c>
      <c r="B44" s="113" t="s">
        <v>2322</v>
      </c>
      <c r="C44" s="124">
        <v>7</v>
      </c>
      <c r="D44" s="113">
        <v>208642</v>
      </c>
      <c r="E44" s="113"/>
      <c r="F44" s="106">
        <f t="shared" si="9"/>
        <v>208642</v>
      </c>
      <c r="G44" s="107">
        <f t="shared" si="10"/>
        <v>142905.4794520548</v>
      </c>
      <c r="H44" s="108">
        <f t="shared" si="11"/>
        <v>20415.068493150688</v>
      </c>
      <c r="I44" s="122"/>
      <c r="J44" s="109">
        <f t="shared" si="12"/>
        <v>142905.4794520548</v>
      </c>
      <c r="K44" s="110">
        <v>5.5E-2</v>
      </c>
      <c r="L44" s="114">
        <f t="shared" si="13"/>
        <v>7859.8013698630139</v>
      </c>
      <c r="N44" s="35" t="str">
        <f>VLOOKUP(B44,'EMP STATUS'!$D$3:$K$77,8,)</f>
        <v>BAD055</v>
      </c>
    </row>
    <row r="45" spans="1:14" ht="15.75" customHeight="1" x14ac:dyDescent="0.3">
      <c r="A45" s="112">
        <v>1</v>
      </c>
      <c r="B45" s="113" t="s">
        <v>2323</v>
      </c>
      <c r="C45" s="124">
        <v>2</v>
      </c>
      <c r="D45" s="113">
        <v>32481</v>
      </c>
      <c r="E45" s="113"/>
      <c r="F45" s="106">
        <f t="shared" si="9"/>
        <v>32481</v>
      </c>
      <c r="G45" s="107">
        <f t="shared" si="10"/>
        <v>22247.260273972603</v>
      </c>
      <c r="H45" s="108">
        <f t="shared" si="11"/>
        <v>11123.630136986301</v>
      </c>
      <c r="I45" s="122"/>
      <c r="J45" s="109">
        <f t="shared" si="12"/>
        <v>22247.260273972603</v>
      </c>
      <c r="K45" s="110">
        <v>0</v>
      </c>
      <c r="L45" s="114">
        <f t="shared" si="13"/>
        <v>0</v>
      </c>
      <c r="N45" s="35" t="str">
        <f>VLOOKUP(B45,'EMP STATUS'!$D$3:$K$77,8,)</f>
        <v>BAD099</v>
      </c>
    </row>
    <row r="46" spans="1:14" ht="15.75" customHeight="1" x14ac:dyDescent="0.3">
      <c r="A46" s="112">
        <v>3</v>
      </c>
      <c r="B46" s="113" t="s">
        <v>2412</v>
      </c>
      <c r="C46" s="113">
        <v>2</v>
      </c>
      <c r="D46" s="113">
        <v>69579</v>
      </c>
      <c r="E46" s="113">
        <v>33150</v>
      </c>
      <c r="F46" s="106">
        <f t="shared" si="9"/>
        <v>36429</v>
      </c>
      <c r="G46" s="107">
        <f t="shared" si="10"/>
        <v>24951.369863013701</v>
      </c>
      <c r="H46" s="108">
        <f t="shared" si="11"/>
        <v>12475.68493150685</v>
      </c>
      <c r="I46" s="122"/>
      <c r="J46" s="109">
        <f t="shared" si="12"/>
        <v>24951.369863013701</v>
      </c>
      <c r="K46" s="110">
        <v>5.5E-2</v>
      </c>
      <c r="L46" s="114">
        <f t="shared" si="13"/>
        <v>1372.3253424657535</v>
      </c>
      <c r="N46" s="35" t="str">
        <f>VLOOKUP(B46,'EMP STATUS'!$D$3:$K$77,8,)</f>
        <v>BAD146</v>
      </c>
    </row>
    <row r="47" spans="1:14" ht="15.75" customHeight="1" x14ac:dyDescent="0.3">
      <c r="A47" s="112">
        <v>3</v>
      </c>
      <c r="B47" s="113" t="s">
        <v>2315</v>
      </c>
      <c r="C47" s="113">
        <v>2</v>
      </c>
      <c r="D47" s="126">
        <v>112058</v>
      </c>
      <c r="E47" s="126"/>
      <c r="F47" s="106">
        <f t="shared" si="9"/>
        <v>112058</v>
      </c>
      <c r="G47" s="107">
        <f t="shared" si="10"/>
        <v>76752.054794520547</v>
      </c>
      <c r="H47" s="108">
        <f t="shared" si="11"/>
        <v>38376.027397260274</v>
      </c>
      <c r="I47" s="122"/>
      <c r="J47" s="109">
        <f t="shared" si="12"/>
        <v>76752.054794520547</v>
      </c>
      <c r="K47" s="110"/>
      <c r="L47" s="114"/>
      <c r="N47" s="35" t="str">
        <f>VLOOKUP(B47,'EMP STATUS'!$D$3:$K$77,8,)</f>
        <v>BAD183</v>
      </c>
    </row>
    <row r="48" spans="1:14" ht="15.75" customHeight="1" x14ac:dyDescent="0.3">
      <c r="A48" s="112"/>
      <c r="B48" s="113"/>
      <c r="C48" s="113"/>
      <c r="D48" s="113"/>
      <c r="E48" s="113"/>
      <c r="F48" s="106"/>
      <c r="G48" s="107"/>
      <c r="H48" s="108"/>
      <c r="I48" s="122"/>
      <c r="J48" s="109"/>
      <c r="K48" s="110"/>
      <c r="L48" s="114"/>
    </row>
    <row r="49" spans="1:14" ht="15.75" customHeight="1" x14ac:dyDescent="0.3">
      <c r="A49" s="112">
        <v>5</v>
      </c>
      <c r="B49" s="113" t="s">
        <v>2311</v>
      </c>
      <c r="C49" s="113">
        <v>4</v>
      </c>
      <c r="D49" s="113">
        <v>132769</v>
      </c>
      <c r="E49" s="113">
        <v>6500</v>
      </c>
      <c r="F49" s="106">
        <f t="shared" ref="F49:F65" si="14">D49-E49</f>
        <v>126269</v>
      </c>
      <c r="G49" s="107">
        <f t="shared" ref="G49:G65" si="15">F49/1.46</f>
        <v>86485.61643835617</v>
      </c>
      <c r="H49" s="108">
        <f t="shared" ref="H49:H65" si="16">G49/C49</f>
        <v>21621.404109589042</v>
      </c>
      <c r="I49" s="122"/>
      <c r="J49" s="109">
        <f t="shared" ref="J49:J65" si="17">G49</f>
        <v>86485.61643835617</v>
      </c>
      <c r="K49" s="110">
        <v>5.5E-2</v>
      </c>
      <c r="L49" s="114">
        <f t="shared" ref="L49:L54" si="18">J49*K49</f>
        <v>4756.7089041095896</v>
      </c>
      <c r="N49" s="35" t="str">
        <f>VLOOKUP(B49,'EMP STATUS'!$D$3:$K$77,8,)</f>
        <v>BAR0025</v>
      </c>
    </row>
    <row r="50" spans="1:14" ht="15.75" customHeight="1" x14ac:dyDescent="0.3">
      <c r="A50" s="112">
        <v>2</v>
      </c>
      <c r="B50" s="113" t="s">
        <v>2672</v>
      </c>
      <c r="C50" s="113">
        <v>2</v>
      </c>
      <c r="D50" s="126">
        <v>57991</v>
      </c>
      <c r="E50" s="126"/>
      <c r="F50" s="106">
        <f t="shared" si="14"/>
        <v>57991</v>
      </c>
      <c r="G50" s="107">
        <f t="shared" si="15"/>
        <v>39719.863013698632</v>
      </c>
      <c r="H50" s="108">
        <f t="shared" si="16"/>
        <v>19859.931506849316</v>
      </c>
      <c r="I50" s="113"/>
      <c r="J50" s="109">
        <f t="shared" si="17"/>
        <v>39719.863013698632</v>
      </c>
      <c r="K50" s="110">
        <v>0</v>
      </c>
      <c r="L50" s="114">
        <f t="shared" si="18"/>
        <v>0</v>
      </c>
      <c r="N50" s="35" t="s">
        <v>3107</v>
      </c>
    </row>
    <row r="51" spans="1:14" ht="15.75" customHeight="1" x14ac:dyDescent="0.3">
      <c r="A51" s="112">
        <v>2</v>
      </c>
      <c r="B51" s="113" t="s">
        <v>2603</v>
      </c>
      <c r="C51" s="113">
        <v>1</v>
      </c>
      <c r="D51" s="113">
        <v>88031</v>
      </c>
      <c r="E51" s="113">
        <v>58000</v>
      </c>
      <c r="F51" s="106">
        <f t="shared" si="14"/>
        <v>30031</v>
      </c>
      <c r="G51" s="107">
        <f t="shared" si="15"/>
        <v>20569.178082191782</v>
      </c>
      <c r="H51" s="108">
        <f t="shared" si="16"/>
        <v>20569.178082191782</v>
      </c>
      <c r="I51" s="122"/>
      <c r="J51" s="109">
        <f t="shared" si="17"/>
        <v>20569.178082191782</v>
      </c>
      <c r="K51" s="110">
        <v>5.5E-2</v>
      </c>
      <c r="L51" s="114">
        <f t="shared" si="18"/>
        <v>1131.3047945205481</v>
      </c>
      <c r="N51" s="35" t="str">
        <f>VLOOKUP(B51,'EMP STATUS'!$D$3:$K$77,8,)</f>
        <v>BAR013</v>
      </c>
    </row>
    <row r="52" spans="1:14" ht="15.75" customHeight="1" x14ac:dyDescent="0.3">
      <c r="A52" s="112">
        <v>1</v>
      </c>
      <c r="B52" s="113" t="s">
        <v>2259</v>
      </c>
      <c r="C52" s="113">
        <v>8</v>
      </c>
      <c r="D52" s="124">
        <v>281275</v>
      </c>
      <c r="E52" s="124">
        <v>32600</v>
      </c>
      <c r="F52" s="106">
        <f t="shared" si="14"/>
        <v>248675</v>
      </c>
      <c r="G52" s="107">
        <f t="shared" si="15"/>
        <v>170325.34246575343</v>
      </c>
      <c r="H52" s="108">
        <f t="shared" si="16"/>
        <v>21290.667808219179</v>
      </c>
      <c r="I52" s="122"/>
      <c r="J52" s="109">
        <f t="shared" si="17"/>
        <v>170325.34246575343</v>
      </c>
      <c r="K52" s="110">
        <v>0.05</v>
      </c>
      <c r="L52" s="114">
        <f t="shared" si="18"/>
        <v>8516.2671232876728</v>
      </c>
      <c r="M52" s="129">
        <f>L52/100*10</f>
        <v>851.62671232876733</v>
      </c>
      <c r="N52" s="35" t="str">
        <f>VLOOKUP(B52,'EMP STATUS'!$D$3:$K$77,8,)</f>
        <v>BUR006</v>
      </c>
    </row>
    <row r="53" spans="1:14" ht="15.75" customHeight="1" x14ac:dyDescent="0.3">
      <c r="A53" s="112">
        <v>1</v>
      </c>
      <c r="B53" s="113" t="s">
        <v>2408</v>
      </c>
      <c r="C53" s="113">
        <v>2</v>
      </c>
      <c r="D53" s="124">
        <v>114541</v>
      </c>
      <c r="E53" s="124">
        <v>34790</v>
      </c>
      <c r="F53" s="106">
        <f t="shared" si="14"/>
        <v>79751</v>
      </c>
      <c r="G53" s="107">
        <f t="shared" si="15"/>
        <v>54623.972602739726</v>
      </c>
      <c r="H53" s="108">
        <f t="shared" si="16"/>
        <v>27311.986301369863</v>
      </c>
      <c r="I53" s="122"/>
      <c r="J53" s="109">
        <f t="shared" si="17"/>
        <v>54623.972602739726</v>
      </c>
      <c r="K53" s="110">
        <v>0.04</v>
      </c>
      <c r="L53" s="114">
        <f t="shared" si="18"/>
        <v>2184.9589041095892</v>
      </c>
      <c r="M53" s="129">
        <f>L53/100*10</f>
        <v>218.49589041095894</v>
      </c>
      <c r="N53" s="35" t="str">
        <f>VLOOKUP(B53,'EMP STATUS'!$D$3:$K$77,8,)</f>
        <v>BUR036</v>
      </c>
    </row>
    <row r="54" spans="1:14" ht="15.75" customHeight="1" x14ac:dyDescent="0.3">
      <c r="A54" s="112">
        <v>1</v>
      </c>
      <c r="B54" s="113" t="s">
        <v>2280</v>
      </c>
      <c r="C54" s="113">
        <v>5</v>
      </c>
      <c r="D54" s="126">
        <v>78745</v>
      </c>
      <c r="E54" s="126"/>
      <c r="F54" s="106">
        <f t="shared" si="14"/>
        <v>78745</v>
      </c>
      <c r="G54" s="107">
        <f t="shared" si="15"/>
        <v>53934.931506849316</v>
      </c>
      <c r="H54" s="108">
        <f t="shared" si="16"/>
        <v>10786.986301369863</v>
      </c>
      <c r="I54" s="122"/>
      <c r="J54" s="109">
        <f t="shared" si="17"/>
        <v>53934.931506849316</v>
      </c>
      <c r="K54" s="110">
        <v>0</v>
      </c>
      <c r="L54" s="114">
        <f t="shared" si="18"/>
        <v>0</v>
      </c>
      <c r="N54" s="35" t="str">
        <f>VLOOKUP(B54,'EMP STATUS'!$D$3:$K$77,8,)</f>
        <v>BUR086</v>
      </c>
    </row>
    <row r="55" spans="1:14" ht="15.75" customHeight="1" x14ac:dyDescent="0.3">
      <c r="A55" s="112">
        <v>4</v>
      </c>
      <c r="B55" s="106" t="s">
        <v>2369</v>
      </c>
      <c r="C55" s="106">
        <v>6</v>
      </c>
      <c r="D55" s="124">
        <v>106575</v>
      </c>
      <c r="E55" s="124"/>
      <c r="F55" s="106">
        <f t="shared" si="14"/>
        <v>106575</v>
      </c>
      <c r="G55" s="107">
        <f t="shared" si="15"/>
        <v>72996.57534246576</v>
      </c>
      <c r="H55" s="108">
        <f t="shared" si="16"/>
        <v>12166.095890410959</v>
      </c>
      <c r="I55" s="115"/>
      <c r="J55" s="109">
        <f t="shared" si="17"/>
        <v>72996.57534246576</v>
      </c>
      <c r="K55" s="110"/>
      <c r="L55" s="114"/>
      <c r="M55" s="129"/>
      <c r="N55" s="35" t="str">
        <f>VLOOKUP(B55,'EMP STATUS'!$D$3:$K$77,8,)</f>
        <v>BUR098</v>
      </c>
    </row>
    <row r="56" spans="1:14" ht="15.75" customHeight="1" x14ac:dyDescent="0.3">
      <c r="A56" s="112">
        <v>4</v>
      </c>
      <c r="B56" s="106" t="s">
        <v>2623</v>
      </c>
      <c r="C56" s="106">
        <v>3</v>
      </c>
      <c r="D56" s="124">
        <v>197631</v>
      </c>
      <c r="E56" s="124">
        <v>115738</v>
      </c>
      <c r="F56" s="106">
        <f t="shared" si="14"/>
        <v>81893</v>
      </c>
      <c r="G56" s="107">
        <f t="shared" si="15"/>
        <v>56091.095890410958</v>
      </c>
      <c r="H56" s="108">
        <f t="shared" si="16"/>
        <v>18697.031963470319</v>
      </c>
      <c r="I56" s="115"/>
      <c r="J56" s="109">
        <f t="shared" si="17"/>
        <v>56091.095890410958</v>
      </c>
      <c r="K56" s="110">
        <v>5.5E-2</v>
      </c>
      <c r="L56" s="114">
        <f t="shared" ref="L56:L62" si="19">J56*K56</f>
        <v>3085.0102739726026</v>
      </c>
      <c r="M56" s="129">
        <f>L56/100*10</f>
        <v>308.50102739726026</v>
      </c>
      <c r="N56" s="35" t="str">
        <f>VLOOKUP(B56,'EMP STATUS'!$D$3:$K$77,8,)</f>
        <v>BUR141</v>
      </c>
    </row>
    <row r="57" spans="1:14" ht="15.75" customHeight="1" x14ac:dyDescent="0.3">
      <c r="A57" s="112">
        <v>5</v>
      </c>
      <c r="B57" s="106" t="s">
        <v>2619</v>
      </c>
      <c r="C57" s="106">
        <v>1</v>
      </c>
      <c r="D57" s="126">
        <v>29494</v>
      </c>
      <c r="E57" s="126"/>
      <c r="F57" s="106">
        <f t="shared" si="14"/>
        <v>29494</v>
      </c>
      <c r="G57" s="107">
        <f t="shared" si="15"/>
        <v>20201.369863013701</v>
      </c>
      <c r="H57" s="108">
        <f t="shared" si="16"/>
        <v>20201.369863013701</v>
      </c>
      <c r="I57" s="106"/>
      <c r="J57" s="109">
        <f t="shared" si="17"/>
        <v>20201.369863013701</v>
      </c>
      <c r="K57" s="110">
        <v>0</v>
      </c>
      <c r="L57" s="114">
        <f t="shared" si="19"/>
        <v>0</v>
      </c>
      <c r="N57" s="35" t="str">
        <f>VLOOKUP(B57,'EMP STATUS'!$D$3:$K$77,8,)</f>
        <v>BUR259</v>
      </c>
    </row>
    <row r="58" spans="1:14" ht="15.75" customHeight="1" x14ac:dyDescent="0.3">
      <c r="A58" s="112">
        <v>5</v>
      </c>
      <c r="B58" s="113" t="s">
        <v>2407</v>
      </c>
      <c r="C58" s="113">
        <v>2</v>
      </c>
      <c r="D58" s="124">
        <v>8807</v>
      </c>
      <c r="E58" s="124"/>
      <c r="F58" s="106">
        <f t="shared" si="14"/>
        <v>8807</v>
      </c>
      <c r="G58" s="107">
        <f t="shared" si="15"/>
        <v>6032.1917808219177</v>
      </c>
      <c r="H58" s="108">
        <f t="shared" si="16"/>
        <v>3016.0958904109589</v>
      </c>
      <c r="I58" s="122"/>
      <c r="J58" s="109">
        <f t="shared" si="17"/>
        <v>6032.1917808219177</v>
      </c>
      <c r="K58" s="110">
        <v>4.4999999999999998E-2</v>
      </c>
      <c r="L58" s="114">
        <f t="shared" si="19"/>
        <v>271.44863013698631</v>
      </c>
      <c r="M58" s="129">
        <f>L58/100*10</f>
        <v>27.144863013698632</v>
      </c>
      <c r="N58" s="35" t="str">
        <f>VLOOKUP(B58,'EMP STATUS'!$D$3:$K$77,8,)</f>
        <v>BUR266</v>
      </c>
    </row>
    <row r="59" spans="1:14" ht="15.75" customHeight="1" x14ac:dyDescent="0.3">
      <c r="A59" s="112">
        <v>3</v>
      </c>
      <c r="B59" s="123" t="s">
        <v>2272</v>
      </c>
      <c r="C59" s="113">
        <v>1</v>
      </c>
      <c r="D59" s="113">
        <v>27687</v>
      </c>
      <c r="E59" s="113"/>
      <c r="F59" s="106">
        <f t="shared" si="14"/>
        <v>27687</v>
      </c>
      <c r="G59" s="107">
        <f t="shared" si="15"/>
        <v>18963.698630136987</v>
      </c>
      <c r="H59" s="108">
        <f t="shared" si="16"/>
        <v>18963.698630136987</v>
      </c>
      <c r="I59" s="122"/>
      <c r="J59" s="109">
        <f t="shared" si="17"/>
        <v>18963.698630136987</v>
      </c>
      <c r="K59" s="110">
        <v>5.5E-2</v>
      </c>
      <c r="L59" s="114">
        <f t="shared" si="19"/>
        <v>1043.0034246575342</v>
      </c>
      <c r="N59" s="35" t="str">
        <f>VLOOKUP(B59,'EMP STATUS'!$D$3:$K$77,8,)</f>
        <v>KAS10</v>
      </c>
    </row>
    <row r="60" spans="1:14" ht="15.75" customHeight="1" x14ac:dyDescent="0.3">
      <c r="A60" s="112">
        <v>3</v>
      </c>
      <c r="B60" s="113" t="s">
        <v>967</v>
      </c>
      <c r="C60" s="113">
        <v>6</v>
      </c>
      <c r="D60" s="126">
        <v>175264</v>
      </c>
      <c r="E60" s="126"/>
      <c r="F60" s="106">
        <f t="shared" si="14"/>
        <v>175264</v>
      </c>
      <c r="G60" s="107">
        <f t="shared" si="15"/>
        <v>120043.83561643836</v>
      </c>
      <c r="H60" s="108">
        <f t="shared" si="16"/>
        <v>20007.305936073059</v>
      </c>
      <c r="I60" s="113"/>
      <c r="J60" s="109">
        <f t="shared" si="17"/>
        <v>120043.83561643836</v>
      </c>
      <c r="K60" s="110">
        <v>0.05</v>
      </c>
      <c r="L60" s="114">
        <f t="shared" si="19"/>
        <v>6002.1917808219187</v>
      </c>
      <c r="N60" s="35" t="str">
        <f>VLOOKUP(B60,'EMP STATUS'!$D$3:$K$77,8,)</f>
        <v>KDW0023</v>
      </c>
    </row>
    <row r="61" spans="1:14" ht="15.75" customHeight="1" x14ac:dyDescent="0.3">
      <c r="A61" s="112">
        <v>4</v>
      </c>
      <c r="B61" s="106" t="s">
        <v>2279</v>
      </c>
      <c r="C61" s="106">
        <v>2</v>
      </c>
      <c r="D61" s="126">
        <v>90523</v>
      </c>
      <c r="E61" s="126"/>
      <c r="F61" s="106">
        <f t="shared" si="14"/>
        <v>90523</v>
      </c>
      <c r="G61" s="107">
        <f t="shared" si="15"/>
        <v>62002.054794520547</v>
      </c>
      <c r="H61" s="108">
        <f t="shared" si="16"/>
        <v>31001.027397260274</v>
      </c>
      <c r="I61" s="106"/>
      <c r="J61" s="109">
        <f t="shared" si="17"/>
        <v>62002.054794520547</v>
      </c>
      <c r="K61" s="110">
        <v>5.5E-2</v>
      </c>
      <c r="L61" s="114">
        <f t="shared" si="19"/>
        <v>3410.1130136986303</v>
      </c>
      <c r="N61" s="35" t="str">
        <f>VLOOKUP(B61,'EMP STATUS'!$D$3:$K$77,8,)</f>
        <v>KDW0081</v>
      </c>
    </row>
    <row r="62" spans="1:14" ht="15.75" customHeight="1" x14ac:dyDescent="0.3">
      <c r="A62" s="112">
        <v>5</v>
      </c>
      <c r="B62" s="113" t="s">
        <v>2792</v>
      </c>
      <c r="C62" s="113">
        <v>1</v>
      </c>
      <c r="D62" s="126"/>
      <c r="E62" s="126"/>
      <c r="F62" s="106">
        <f t="shared" si="14"/>
        <v>0</v>
      </c>
      <c r="G62" s="107">
        <f t="shared" si="15"/>
        <v>0</v>
      </c>
      <c r="H62" s="108">
        <f t="shared" si="16"/>
        <v>0</v>
      </c>
      <c r="I62" s="113">
        <v>1</v>
      </c>
      <c r="J62" s="109">
        <f t="shared" si="17"/>
        <v>0</v>
      </c>
      <c r="K62" s="110">
        <v>5.5E-2</v>
      </c>
      <c r="L62" s="114">
        <f t="shared" si="19"/>
        <v>0</v>
      </c>
      <c r="N62" s="35" t="str">
        <f>VLOOKUP(B62,'EMP STATUS'!$D$3:$K$77,8,)</f>
        <v>KDW142</v>
      </c>
    </row>
    <row r="63" spans="1:14" ht="15.75" customHeight="1" x14ac:dyDescent="0.3">
      <c r="A63" s="112">
        <v>3</v>
      </c>
      <c r="B63" s="113" t="s">
        <v>2416</v>
      </c>
      <c r="C63" s="113">
        <v>3</v>
      </c>
      <c r="D63" s="126">
        <v>68478</v>
      </c>
      <c r="E63" s="126"/>
      <c r="F63" s="106">
        <f t="shared" si="14"/>
        <v>68478</v>
      </c>
      <c r="G63" s="107">
        <f t="shared" si="15"/>
        <v>46902.739726027401</v>
      </c>
      <c r="H63" s="108">
        <f t="shared" si="16"/>
        <v>15634.246575342468</v>
      </c>
      <c r="I63" s="113">
        <v>1</v>
      </c>
      <c r="J63" s="109">
        <f t="shared" si="17"/>
        <v>46902.739726027401</v>
      </c>
      <c r="K63" s="110"/>
      <c r="L63" s="114"/>
      <c r="N63" s="35" t="str">
        <f>VLOOKUP(B63,'EMP STATUS'!$D$3:$K$77,8,)</f>
        <v>KDW87</v>
      </c>
    </row>
    <row r="64" spans="1:14" ht="15.75" customHeight="1" x14ac:dyDescent="0.3">
      <c r="A64" s="112">
        <v>6</v>
      </c>
      <c r="B64" s="113" t="s">
        <v>2831</v>
      </c>
      <c r="C64" s="113">
        <v>1</v>
      </c>
      <c r="D64" s="126"/>
      <c r="E64" s="126"/>
      <c r="F64" s="106">
        <f t="shared" si="14"/>
        <v>0</v>
      </c>
      <c r="G64" s="107">
        <f t="shared" si="15"/>
        <v>0</v>
      </c>
      <c r="H64" s="108">
        <f t="shared" si="16"/>
        <v>0</v>
      </c>
      <c r="I64" s="122">
        <v>1</v>
      </c>
      <c r="J64" s="109">
        <f t="shared" si="17"/>
        <v>0</v>
      </c>
      <c r="K64" s="110"/>
      <c r="L64" s="114"/>
      <c r="N64" s="35" t="str">
        <f>VLOOKUP(B64,'EMP STATUS'!$D$3:$K$77,8,)</f>
        <v>KNW0188</v>
      </c>
    </row>
    <row r="65" spans="1:14" ht="15.75" customHeight="1" x14ac:dyDescent="0.3">
      <c r="A65" s="112">
        <v>2</v>
      </c>
      <c r="B65" s="113" t="s">
        <v>2507</v>
      </c>
      <c r="C65" s="113">
        <v>7</v>
      </c>
      <c r="D65" s="126">
        <v>233729</v>
      </c>
      <c r="E65" s="126"/>
      <c r="F65" s="106">
        <f t="shared" si="14"/>
        <v>233729</v>
      </c>
      <c r="G65" s="107">
        <f t="shared" si="15"/>
        <v>160088.35616438356</v>
      </c>
      <c r="H65" s="108">
        <f t="shared" si="16"/>
        <v>22869.765166340509</v>
      </c>
      <c r="I65" s="122"/>
      <c r="J65" s="109">
        <f t="shared" si="17"/>
        <v>160088.35616438356</v>
      </c>
      <c r="K65" s="110">
        <v>0.05</v>
      </c>
      <c r="L65" s="127">
        <f>J65*K65*110%</f>
        <v>8804.8595890410961</v>
      </c>
      <c r="N65" s="35" t="str">
        <f>VLOOKUP(B65,'EMP STATUS'!$D$3:$K$77,8,)</f>
        <v>KNW20</v>
      </c>
    </row>
    <row r="66" spans="1:14" ht="15.75" customHeight="1" x14ac:dyDescent="0.3">
      <c r="A66" s="104"/>
      <c r="B66" s="106"/>
      <c r="C66" s="106"/>
      <c r="D66" s="106"/>
      <c r="E66" s="106"/>
      <c r="F66" s="106"/>
      <c r="G66" s="107"/>
      <c r="H66" s="108"/>
      <c r="I66" s="124"/>
      <c r="J66" s="109"/>
      <c r="K66" s="110"/>
      <c r="L66" s="114"/>
    </row>
    <row r="67" spans="1:14" ht="15.75" customHeight="1" x14ac:dyDescent="0.3">
      <c r="A67" s="104">
        <v>2</v>
      </c>
      <c r="B67" s="106" t="s">
        <v>2470</v>
      </c>
      <c r="C67" s="106">
        <v>5</v>
      </c>
      <c r="D67" s="106">
        <v>139872</v>
      </c>
      <c r="E67" s="106">
        <v>5000</v>
      </c>
      <c r="F67" s="106">
        <f t="shared" ref="F67:F98" si="20">D67-E67</f>
        <v>134872</v>
      </c>
      <c r="G67" s="107">
        <f t="shared" ref="G67:G98" si="21">F67/1.46</f>
        <v>92378.082191780821</v>
      </c>
      <c r="H67" s="108">
        <f t="shared" ref="H67:H98" si="22">G67/C67</f>
        <v>18475.616438356163</v>
      </c>
      <c r="I67" s="124"/>
      <c r="J67" s="109">
        <f t="shared" ref="J67:J98" si="23">G67</f>
        <v>92378.082191780821</v>
      </c>
      <c r="K67" s="110">
        <v>5.5E-2</v>
      </c>
      <c r="L67" s="114">
        <f>J67*K67</f>
        <v>5080.7945205479455</v>
      </c>
      <c r="N67" s="35" t="str">
        <f>VLOOKUP(B67,'EMP STATUS'!$D$3:$K$77,8,)</f>
        <v>MHS05</v>
      </c>
    </row>
    <row r="68" spans="1:14" ht="15.75" customHeight="1" x14ac:dyDescent="0.3">
      <c r="A68" s="104">
        <v>3</v>
      </c>
      <c r="B68" s="113" t="s">
        <v>2431</v>
      </c>
      <c r="C68" s="113">
        <v>4</v>
      </c>
      <c r="D68" s="113">
        <f>160771+30000</f>
        <v>190771</v>
      </c>
      <c r="E68" s="113">
        <v>54750</v>
      </c>
      <c r="F68" s="106">
        <f t="shared" si="20"/>
        <v>136021</v>
      </c>
      <c r="G68" s="107">
        <f t="shared" si="21"/>
        <v>93165.068493150684</v>
      </c>
      <c r="H68" s="108">
        <f t="shared" si="22"/>
        <v>23291.267123287671</v>
      </c>
      <c r="I68" s="122"/>
      <c r="J68" s="109">
        <f t="shared" si="23"/>
        <v>93165.068493150684</v>
      </c>
      <c r="K68" s="110">
        <v>5.5E-2</v>
      </c>
      <c r="L68" s="114">
        <f>J68*K68</f>
        <v>5124.0787671232874</v>
      </c>
      <c r="N68" s="35" t="str">
        <f>VLOOKUP(B68,'EMP STATUS'!$D$3:$K$77,8,)</f>
        <v>MHS09</v>
      </c>
    </row>
    <row r="69" spans="1:14" ht="15.75" customHeight="1" x14ac:dyDescent="0.3">
      <c r="A69" s="112">
        <v>1</v>
      </c>
      <c r="B69" s="113" t="s">
        <v>2767</v>
      </c>
      <c r="C69" s="113">
        <v>1</v>
      </c>
      <c r="D69" s="113">
        <v>22046</v>
      </c>
      <c r="E69" s="113"/>
      <c r="F69" s="106">
        <f t="shared" si="20"/>
        <v>22046</v>
      </c>
      <c r="G69" s="107">
        <f t="shared" si="21"/>
        <v>15100</v>
      </c>
      <c r="H69" s="108">
        <f t="shared" si="22"/>
        <v>15100</v>
      </c>
      <c r="I69" s="122"/>
      <c r="J69" s="109">
        <f t="shared" si="23"/>
        <v>15100</v>
      </c>
      <c r="K69" s="110">
        <v>0</v>
      </c>
      <c r="L69" s="114"/>
      <c r="N69" s="35" t="str">
        <f>VLOOKUP(B69,'EMP STATUS'!$D$3:$K$77,8,)</f>
        <v>PAN01</v>
      </c>
    </row>
    <row r="70" spans="1:14" ht="15.75" customHeight="1" x14ac:dyDescent="0.3">
      <c r="A70" s="112">
        <v>4</v>
      </c>
      <c r="B70" s="113" t="s">
        <v>2378</v>
      </c>
      <c r="C70" s="113">
        <v>4</v>
      </c>
      <c r="D70" s="124">
        <v>177003</v>
      </c>
      <c r="E70" s="124">
        <v>61290</v>
      </c>
      <c r="F70" s="106">
        <f t="shared" si="20"/>
        <v>115713</v>
      </c>
      <c r="G70" s="107">
        <f t="shared" si="21"/>
        <v>79255.479452054802</v>
      </c>
      <c r="H70" s="108">
        <f t="shared" si="22"/>
        <v>19813.869863013701</v>
      </c>
      <c r="I70" s="122"/>
      <c r="J70" s="109">
        <f t="shared" si="23"/>
        <v>79255.479452054802</v>
      </c>
      <c r="K70" s="110">
        <v>5.5E-2</v>
      </c>
      <c r="L70" s="114">
        <f>J70*K70</f>
        <v>4359.0513698630139</v>
      </c>
      <c r="N70" s="35" t="str">
        <f>VLOOKUP(B70,'EMP STATUS'!$D$3:$K$77,8,)</f>
        <v>R104</v>
      </c>
    </row>
    <row r="71" spans="1:14" ht="15.75" customHeight="1" x14ac:dyDescent="0.3">
      <c r="A71" s="104">
        <v>2</v>
      </c>
      <c r="B71" s="106" t="s">
        <v>2420</v>
      </c>
      <c r="C71" s="106">
        <v>3</v>
      </c>
      <c r="D71" s="106">
        <v>124695</v>
      </c>
      <c r="E71" s="106"/>
      <c r="F71" s="106">
        <f t="shared" si="20"/>
        <v>124695</v>
      </c>
      <c r="G71" s="107">
        <f t="shared" si="21"/>
        <v>85407.534246575349</v>
      </c>
      <c r="H71" s="108">
        <f t="shared" si="22"/>
        <v>28469.178082191782</v>
      </c>
      <c r="I71" s="115"/>
      <c r="J71" s="109">
        <f t="shared" si="23"/>
        <v>85407.534246575349</v>
      </c>
      <c r="K71" s="110"/>
      <c r="L71" s="114"/>
      <c r="N71" s="35" t="str">
        <f>VLOOKUP(B71,'EMP STATUS'!$D$3:$K$77,8,)</f>
        <v>R223</v>
      </c>
    </row>
    <row r="72" spans="1:14" ht="15.75" customHeight="1" x14ac:dyDescent="0.3">
      <c r="A72" s="112">
        <v>1</v>
      </c>
      <c r="B72" s="123" t="s">
        <v>2586</v>
      </c>
      <c r="C72" s="113">
        <v>3</v>
      </c>
      <c r="D72" s="113">
        <v>98207</v>
      </c>
      <c r="E72" s="113">
        <v>32000</v>
      </c>
      <c r="F72" s="106">
        <f t="shared" si="20"/>
        <v>66207</v>
      </c>
      <c r="G72" s="107">
        <f t="shared" si="21"/>
        <v>45347.260273972606</v>
      </c>
      <c r="H72" s="108">
        <f t="shared" si="22"/>
        <v>15115.753424657536</v>
      </c>
      <c r="I72" s="122">
        <v>1</v>
      </c>
      <c r="J72" s="109">
        <f t="shared" si="23"/>
        <v>45347.260273972606</v>
      </c>
      <c r="K72" s="110">
        <v>0</v>
      </c>
      <c r="L72" s="114">
        <f>J72*K72</f>
        <v>0</v>
      </c>
      <c r="N72" s="35" t="str">
        <f>VLOOKUP(B72,'EMP STATUS'!$D$3:$K$77,8,)</f>
        <v>SEN001</v>
      </c>
    </row>
    <row r="73" spans="1:14" ht="15.75" customHeight="1" x14ac:dyDescent="0.3">
      <c r="A73" s="112">
        <v>3</v>
      </c>
      <c r="B73" s="113" t="s">
        <v>2307</v>
      </c>
      <c r="C73" s="113">
        <v>2</v>
      </c>
      <c r="D73" s="113">
        <v>97373</v>
      </c>
      <c r="E73" s="113">
        <v>23330</v>
      </c>
      <c r="F73" s="106">
        <f t="shared" si="20"/>
        <v>74043</v>
      </c>
      <c r="G73" s="107">
        <f t="shared" si="21"/>
        <v>50714.383561643837</v>
      </c>
      <c r="H73" s="108">
        <f t="shared" si="22"/>
        <v>25357.191780821919</v>
      </c>
      <c r="I73" s="122"/>
      <c r="J73" s="109">
        <f t="shared" si="23"/>
        <v>50714.383561643837</v>
      </c>
      <c r="K73" s="110">
        <v>5.5E-2</v>
      </c>
      <c r="L73" s="114">
        <f>J73*K73</f>
        <v>2789.2910958904113</v>
      </c>
      <c r="N73" s="35" t="str">
        <f>VLOOKUP(B73,'EMP STATUS'!$D$3:$K$77,8,)</f>
        <v>SEN029</v>
      </c>
    </row>
    <row r="74" spans="1:14" ht="15.75" customHeight="1" x14ac:dyDescent="0.3">
      <c r="A74" s="112">
        <v>2</v>
      </c>
      <c r="B74" s="123" t="s">
        <v>2858</v>
      </c>
      <c r="C74" s="113"/>
      <c r="D74" s="113">
        <v>76295</v>
      </c>
      <c r="E74" s="113">
        <v>72500</v>
      </c>
      <c r="F74" s="106">
        <f t="shared" si="20"/>
        <v>3795</v>
      </c>
      <c r="G74" s="107">
        <f t="shared" si="21"/>
        <v>2599.3150684931506</v>
      </c>
      <c r="H74" s="108" t="e">
        <f t="shared" si="22"/>
        <v>#DIV/0!</v>
      </c>
      <c r="I74" s="122"/>
      <c r="J74" s="109">
        <f t="shared" si="23"/>
        <v>2599.3150684931506</v>
      </c>
      <c r="K74" s="110">
        <v>5.5E-2</v>
      </c>
      <c r="L74" s="114">
        <f>J74*K74</f>
        <v>142.9623287671233</v>
      </c>
      <c r="N74" s="35" t="str">
        <f>VLOOKUP(B74,'EMP STATUS'!$D$3:$K$77,8,)</f>
        <v>SEN148</v>
      </c>
    </row>
    <row r="75" spans="1:14" ht="15.75" customHeight="1" x14ac:dyDescent="0.3">
      <c r="A75" s="112">
        <v>4</v>
      </c>
      <c r="B75" s="113" t="s">
        <v>2359</v>
      </c>
      <c r="C75" s="113">
        <v>1</v>
      </c>
      <c r="D75" s="113">
        <v>30001</v>
      </c>
      <c r="E75" s="113"/>
      <c r="F75" s="106">
        <f t="shared" si="20"/>
        <v>30001</v>
      </c>
      <c r="G75" s="107">
        <f t="shared" si="21"/>
        <v>20548.630136986303</v>
      </c>
      <c r="H75" s="108">
        <f t="shared" si="22"/>
        <v>20548.630136986303</v>
      </c>
      <c r="I75" s="122"/>
      <c r="J75" s="109">
        <f t="shared" si="23"/>
        <v>20548.630136986303</v>
      </c>
      <c r="K75" s="110">
        <v>5.5E-2</v>
      </c>
      <c r="L75" s="114">
        <f>J75*K75</f>
        <v>1130.1746575342468</v>
      </c>
      <c r="N75" s="35" t="str">
        <f>VLOOKUP(B75,'EMP STATUS'!$D$3:$K$77,8,)</f>
        <v>SEN182</v>
      </c>
    </row>
    <row r="76" spans="1:14" ht="15.75" customHeight="1" x14ac:dyDescent="0.3">
      <c r="A76" s="112">
        <v>3</v>
      </c>
      <c r="B76" s="113" t="s">
        <v>2292</v>
      </c>
      <c r="C76" s="113">
        <v>3</v>
      </c>
      <c r="D76" s="113">
        <v>18465</v>
      </c>
      <c r="E76" s="113"/>
      <c r="F76" s="106">
        <f t="shared" si="20"/>
        <v>18465</v>
      </c>
      <c r="G76" s="107">
        <f t="shared" si="21"/>
        <v>12647.260273972603</v>
      </c>
      <c r="H76" s="108">
        <f t="shared" si="22"/>
        <v>4215.7534246575342</v>
      </c>
      <c r="I76" s="122"/>
      <c r="J76" s="109">
        <f t="shared" si="23"/>
        <v>12647.260273972603</v>
      </c>
      <c r="K76" s="110">
        <v>0</v>
      </c>
      <c r="L76" s="114">
        <f>J76*K76</f>
        <v>0</v>
      </c>
      <c r="N76" s="35" t="str">
        <f>VLOOKUP(B76,'EMP STATUS'!$D$3:$K$77,8,)</f>
        <v>THI45</v>
      </c>
    </row>
    <row r="77" spans="1:14" ht="15.75" customHeight="1" x14ac:dyDescent="0.3">
      <c r="A77" s="104">
        <v>4</v>
      </c>
      <c r="B77" s="113" t="s">
        <v>2475</v>
      </c>
      <c r="C77" s="113">
        <v>1</v>
      </c>
      <c r="D77" s="113">
        <v>32967</v>
      </c>
      <c r="E77" s="113"/>
      <c r="F77" s="106">
        <f t="shared" si="20"/>
        <v>32967</v>
      </c>
      <c r="G77" s="107">
        <f t="shared" si="21"/>
        <v>22580.136986301372</v>
      </c>
      <c r="H77" s="108">
        <f t="shared" si="22"/>
        <v>22580.136986301372</v>
      </c>
      <c r="I77" s="122"/>
      <c r="J77" s="109">
        <f t="shared" si="23"/>
        <v>22580.136986301372</v>
      </c>
      <c r="K77" s="110"/>
      <c r="L77" s="114"/>
      <c r="N77" s="35" t="str">
        <f>VLOOKUP(B77,'EMP STATUS'!$D$3:$K$77,8,)</f>
        <v>THI50</v>
      </c>
    </row>
    <row r="78" spans="1:14" ht="15.75" customHeight="1" x14ac:dyDescent="0.3">
      <c r="A78" s="104">
        <v>5</v>
      </c>
      <c r="B78" s="113" t="s">
        <v>2820</v>
      </c>
      <c r="C78" s="113">
        <v>1</v>
      </c>
      <c r="D78" s="113"/>
      <c r="E78" s="113"/>
      <c r="F78" s="106">
        <f t="shared" si="20"/>
        <v>0</v>
      </c>
      <c r="G78" s="107">
        <f t="shared" si="21"/>
        <v>0</v>
      </c>
      <c r="H78" s="108">
        <f t="shared" si="22"/>
        <v>0</v>
      </c>
      <c r="I78" s="122">
        <v>1</v>
      </c>
      <c r="J78" s="109">
        <f t="shared" si="23"/>
        <v>0</v>
      </c>
      <c r="K78" s="110"/>
      <c r="L78" s="114"/>
      <c r="N78" s="35" t="str">
        <f>VLOOKUP(B78,'EMP STATUS'!$D$3:$K$77,8,)</f>
        <v>THI64</v>
      </c>
    </row>
    <row r="79" spans="1:14" ht="15.75" customHeight="1" x14ac:dyDescent="0.3">
      <c r="A79" s="104">
        <v>6</v>
      </c>
      <c r="B79" s="113" t="s">
        <v>3031</v>
      </c>
      <c r="C79" s="116"/>
      <c r="D79" s="113"/>
      <c r="E79" s="113"/>
      <c r="F79" s="106">
        <f t="shared" si="20"/>
        <v>0</v>
      </c>
      <c r="G79" s="107">
        <f t="shared" si="21"/>
        <v>0</v>
      </c>
      <c r="H79" s="108" t="e">
        <f t="shared" si="22"/>
        <v>#DIV/0!</v>
      </c>
      <c r="I79" s="113"/>
      <c r="J79" s="109">
        <f t="shared" si="23"/>
        <v>0</v>
      </c>
      <c r="K79" s="110"/>
      <c r="L79" s="114"/>
    </row>
    <row r="80" spans="1:14" ht="15.75" customHeight="1" x14ac:dyDescent="0.3">
      <c r="A80" s="133"/>
      <c r="B80" s="133" t="s">
        <v>3032</v>
      </c>
      <c r="C80" s="117">
        <f>SUM(C74:C79)</f>
        <v>6</v>
      </c>
      <c r="D80" s="117">
        <f>SUM(D74:D79)</f>
        <v>157728</v>
      </c>
      <c r="E80" s="117">
        <f>SUM(E74:E79)</f>
        <v>72500</v>
      </c>
      <c r="F80" s="118">
        <f t="shared" si="20"/>
        <v>85228</v>
      </c>
      <c r="G80" s="119">
        <f t="shared" si="21"/>
        <v>58375.342465753427</v>
      </c>
      <c r="H80" s="120">
        <f t="shared" si="22"/>
        <v>9729.2237442922378</v>
      </c>
      <c r="I80" s="121">
        <f>SUM(I74:I79)</f>
        <v>1</v>
      </c>
      <c r="J80" s="109">
        <f t="shared" si="23"/>
        <v>58375.342465753427</v>
      </c>
      <c r="K80" s="110">
        <v>0</v>
      </c>
      <c r="L80" s="114">
        <f>J80*K80</f>
        <v>0</v>
      </c>
    </row>
    <row r="81" spans="1:13" ht="15.75" customHeight="1" x14ac:dyDescent="0.3">
      <c r="A81" s="104">
        <v>7</v>
      </c>
      <c r="B81" s="113" t="s">
        <v>3031</v>
      </c>
      <c r="C81" s="113"/>
      <c r="D81" s="113"/>
      <c r="E81" s="113"/>
      <c r="F81" s="106">
        <f t="shared" si="20"/>
        <v>0</v>
      </c>
      <c r="G81" s="107">
        <f t="shared" si="21"/>
        <v>0</v>
      </c>
      <c r="H81" s="108" t="e">
        <f t="shared" si="22"/>
        <v>#DIV/0!</v>
      </c>
      <c r="I81" s="122"/>
      <c r="J81" s="109">
        <f t="shared" si="23"/>
        <v>0</v>
      </c>
      <c r="K81" s="110">
        <v>0</v>
      </c>
      <c r="L81" s="114">
        <f>J81*K81</f>
        <v>0</v>
      </c>
    </row>
    <row r="82" spans="1:13" ht="15.75" customHeight="1" x14ac:dyDescent="0.3">
      <c r="A82" s="133" t="s">
        <v>3033</v>
      </c>
      <c r="B82" s="133"/>
      <c r="C82" s="117">
        <f>SUM(C75:C80)</f>
        <v>12</v>
      </c>
      <c r="D82" s="117">
        <f>SUM(D75:D81)</f>
        <v>239161</v>
      </c>
      <c r="E82" s="117">
        <f>SUM(E75:E81)</f>
        <v>72500</v>
      </c>
      <c r="F82" s="118">
        <f t="shared" si="20"/>
        <v>166661</v>
      </c>
      <c r="G82" s="119">
        <f t="shared" si="21"/>
        <v>114151.36986301371</v>
      </c>
      <c r="H82" s="120">
        <f t="shared" si="22"/>
        <v>9512.6141552511417</v>
      </c>
      <c r="I82" s="121">
        <f>SUM(I75:I80)</f>
        <v>2</v>
      </c>
      <c r="J82" s="109">
        <f t="shared" si="23"/>
        <v>114151.36986301371</v>
      </c>
      <c r="K82" s="110"/>
      <c r="L82" s="114"/>
    </row>
    <row r="83" spans="1:13" ht="15.75" customHeight="1" x14ac:dyDescent="0.3">
      <c r="A83" s="104">
        <v>2</v>
      </c>
      <c r="B83" s="105" t="s">
        <v>3034</v>
      </c>
      <c r="C83" s="106"/>
      <c r="D83" s="106">
        <v>2499</v>
      </c>
      <c r="E83" s="106">
        <v>2500</v>
      </c>
      <c r="F83" s="106">
        <f t="shared" si="20"/>
        <v>-1</v>
      </c>
      <c r="G83" s="107">
        <f t="shared" si="21"/>
        <v>-0.68493150684931503</v>
      </c>
      <c r="H83" s="108" t="e">
        <f t="shared" si="22"/>
        <v>#DIV/0!</v>
      </c>
      <c r="I83" s="115"/>
      <c r="J83" s="109">
        <f t="shared" si="23"/>
        <v>-0.68493150684931503</v>
      </c>
      <c r="K83" s="110">
        <v>0</v>
      </c>
      <c r="L83" s="114">
        <f>J83*K83</f>
        <v>0</v>
      </c>
    </row>
    <row r="84" spans="1:13" ht="15.75" customHeight="1" x14ac:dyDescent="0.3">
      <c r="A84" s="112">
        <v>5</v>
      </c>
      <c r="B84" s="123" t="s">
        <v>3031</v>
      </c>
      <c r="C84" s="113"/>
      <c r="D84" s="113"/>
      <c r="E84" s="113"/>
      <c r="F84" s="106">
        <f t="shared" si="20"/>
        <v>0</v>
      </c>
      <c r="G84" s="107">
        <f t="shared" si="21"/>
        <v>0</v>
      </c>
      <c r="H84" s="108" t="e">
        <f t="shared" si="22"/>
        <v>#DIV/0!</v>
      </c>
      <c r="I84" s="122"/>
      <c r="J84" s="109">
        <f t="shared" si="23"/>
        <v>0</v>
      </c>
      <c r="K84" s="110"/>
      <c r="L84" s="114"/>
    </row>
    <row r="85" spans="1:13" ht="15.75" customHeight="1" x14ac:dyDescent="0.3">
      <c r="A85" s="133" t="s">
        <v>3035</v>
      </c>
      <c r="B85" s="133"/>
      <c r="C85" s="117">
        <f>SUM(C80:C84)</f>
        <v>18</v>
      </c>
      <c r="D85" s="117">
        <f>SUM(D80:D84)</f>
        <v>399388</v>
      </c>
      <c r="E85" s="117">
        <f>SUM(E80:E84)</f>
        <v>147500</v>
      </c>
      <c r="F85" s="118">
        <f t="shared" si="20"/>
        <v>251888</v>
      </c>
      <c r="G85" s="119">
        <f t="shared" si="21"/>
        <v>172526.02739726027</v>
      </c>
      <c r="H85" s="120">
        <f t="shared" si="22"/>
        <v>9584.7792998477926</v>
      </c>
      <c r="I85" s="121">
        <f>SUM(I80:I84)</f>
        <v>3</v>
      </c>
      <c r="J85" s="109">
        <f t="shared" si="23"/>
        <v>172526.02739726027</v>
      </c>
      <c r="K85" s="110"/>
      <c r="L85" s="114"/>
    </row>
    <row r="86" spans="1:13" ht="15.75" customHeight="1" x14ac:dyDescent="0.3">
      <c r="A86" s="104">
        <v>4</v>
      </c>
      <c r="B86" s="113" t="s">
        <v>3031</v>
      </c>
      <c r="C86" s="113"/>
      <c r="D86" s="113"/>
      <c r="E86" s="113"/>
      <c r="F86" s="106">
        <f t="shared" si="20"/>
        <v>0</v>
      </c>
      <c r="G86" s="107">
        <f t="shared" si="21"/>
        <v>0</v>
      </c>
      <c r="H86" s="108" t="e">
        <f t="shared" si="22"/>
        <v>#DIV/0!</v>
      </c>
      <c r="I86" s="122"/>
      <c r="J86" s="109">
        <f t="shared" si="23"/>
        <v>0</v>
      </c>
      <c r="K86" s="110">
        <v>5.5E-2</v>
      </c>
      <c r="L86" s="114">
        <f>J86*K86</f>
        <v>0</v>
      </c>
    </row>
    <row r="87" spans="1:13" ht="15.75" customHeight="1" x14ac:dyDescent="0.3">
      <c r="A87" s="133" t="s">
        <v>3036</v>
      </c>
      <c r="B87" s="133"/>
      <c r="C87" s="125">
        <f>SUM(C82:C86)</f>
        <v>30</v>
      </c>
      <c r="D87" s="125">
        <f>SUM(D82:D86)</f>
        <v>641048</v>
      </c>
      <c r="E87" s="125">
        <f>SUM(E82:E86)</f>
        <v>222500</v>
      </c>
      <c r="F87" s="118">
        <f t="shared" si="20"/>
        <v>418548</v>
      </c>
      <c r="G87" s="119">
        <f t="shared" si="21"/>
        <v>286676.71232876711</v>
      </c>
      <c r="H87" s="120">
        <f t="shared" si="22"/>
        <v>9555.8904109589039</v>
      </c>
      <c r="I87" s="125">
        <f>SUM(I82:I86)</f>
        <v>5</v>
      </c>
      <c r="J87" s="109">
        <f t="shared" si="23"/>
        <v>286676.71232876711</v>
      </c>
      <c r="K87" s="110"/>
      <c r="L87" s="114"/>
    </row>
    <row r="88" spans="1:13" ht="15.75" customHeight="1" x14ac:dyDescent="0.3">
      <c r="A88" s="112">
        <v>7</v>
      </c>
      <c r="B88" s="113" t="s">
        <v>3037</v>
      </c>
      <c r="C88" s="113"/>
      <c r="D88" s="113"/>
      <c r="E88" s="113"/>
      <c r="F88" s="106">
        <f t="shared" si="20"/>
        <v>0</v>
      </c>
      <c r="G88" s="107">
        <f t="shared" si="21"/>
        <v>0</v>
      </c>
      <c r="H88" s="108" t="e">
        <f t="shared" si="22"/>
        <v>#DIV/0!</v>
      </c>
      <c r="I88" s="122"/>
      <c r="J88" s="109">
        <f t="shared" si="23"/>
        <v>0</v>
      </c>
      <c r="K88" s="110"/>
      <c r="L88" s="114"/>
    </row>
    <row r="89" spans="1:13" ht="15.75" customHeight="1" x14ac:dyDescent="0.3">
      <c r="A89" s="112">
        <v>9</v>
      </c>
      <c r="B89" s="113" t="s">
        <v>3031</v>
      </c>
      <c r="C89" s="113"/>
      <c r="D89" s="113"/>
      <c r="E89" s="113"/>
      <c r="F89" s="106">
        <f t="shared" si="20"/>
        <v>0</v>
      </c>
      <c r="G89" s="107">
        <f t="shared" si="21"/>
        <v>0</v>
      </c>
      <c r="H89" s="108" t="e">
        <f t="shared" si="22"/>
        <v>#DIV/0!</v>
      </c>
      <c r="I89" s="113"/>
      <c r="J89" s="109">
        <f t="shared" si="23"/>
        <v>0</v>
      </c>
      <c r="K89" s="110">
        <v>0</v>
      </c>
      <c r="L89" s="114">
        <f>J89*K89</f>
        <v>0</v>
      </c>
    </row>
    <row r="90" spans="1:13" ht="15.75" customHeight="1" x14ac:dyDescent="0.3">
      <c r="A90" s="117" t="s">
        <v>3038</v>
      </c>
      <c r="B90" s="117"/>
      <c r="C90" s="117">
        <f>SUM(C81:C89)</f>
        <v>60</v>
      </c>
      <c r="D90" s="117">
        <f>SUM(D81:D89)</f>
        <v>1282096</v>
      </c>
      <c r="E90" s="117"/>
      <c r="F90" s="118">
        <f t="shared" si="20"/>
        <v>1282096</v>
      </c>
      <c r="G90" s="119">
        <f t="shared" si="21"/>
        <v>878147.94520547951</v>
      </c>
      <c r="H90" s="120">
        <f t="shared" si="22"/>
        <v>14635.799086757992</v>
      </c>
      <c r="I90" s="117">
        <f>SUM(I81:I89)</f>
        <v>10</v>
      </c>
      <c r="J90" s="109">
        <f t="shared" si="23"/>
        <v>878147.94520547951</v>
      </c>
      <c r="K90" s="110">
        <v>0</v>
      </c>
      <c r="L90" s="114">
        <f>J90*K90</f>
        <v>0</v>
      </c>
    </row>
    <row r="91" spans="1:13" ht="15.75" customHeight="1" x14ac:dyDescent="0.3">
      <c r="A91" s="112">
        <v>6</v>
      </c>
      <c r="B91" s="113" t="s">
        <v>3031</v>
      </c>
      <c r="C91" s="113"/>
      <c r="D91" s="113"/>
      <c r="E91" s="113"/>
      <c r="F91" s="106">
        <f t="shared" si="20"/>
        <v>0</v>
      </c>
      <c r="G91" s="107">
        <f t="shared" si="21"/>
        <v>0</v>
      </c>
      <c r="H91" s="108" t="e">
        <f t="shared" si="22"/>
        <v>#DIV/0!</v>
      </c>
      <c r="I91" s="113"/>
      <c r="J91" s="109">
        <f t="shared" si="23"/>
        <v>0</v>
      </c>
      <c r="K91" s="110">
        <v>5.5E-2</v>
      </c>
      <c r="L91" s="114">
        <f>J91*K91</f>
        <v>0</v>
      </c>
      <c r="M91" s="35">
        <f>165956-114931</f>
        <v>51025</v>
      </c>
    </row>
    <row r="92" spans="1:13" ht="15.75" customHeight="1" x14ac:dyDescent="0.3">
      <c r="A92" s="117" t="s">
        <v>3039</v>
      </c>
      <c r="B92" s="117"/>
      <c r="C92" s="117">
        <f>SUM(C86:C91)</f>
        <v>90</v>
      </c>
      <c r="D92" s="117">
        <f>SUM(D86:D91)</f>
        <v>1923144</v>
      </c>
      <c r="E92" s="117"/>
      <c r="F92" s="118">
        <f t="shared" si="20"/>
        <v>1923144</v>
      </c>
      <c r="G92" s="119">
        <f t="shared" si="21"/>
        <v>1317221.9178082193</v>
      </c>
      <c r="H92" s="120">
        <f t="shared" si="22"/>
        <v>14635.799086757992</v>
      </c>
      <c r="I92" s="117">
        <f>SUM(I86:I91)</f>
        <v>15</v>
      </c>
      <c r="J92" s="109">
        <f t="shared" si="23"/>
        <v>1317221.9178082193</v>
      </c>
      <c r="K92" s="110"/>
      <c r="L92" s="114"/>
    </row>
    <row r="93" spans="1:13" ht="15.75" customHeight="1" x14ac:dyDescent="0.3">
      <c r="A93" s="112">
        <v>2</v>
      </c>
      <c r="B93" s="113" t="s">
        <v>3040</v>
      </c>
      <c r="C93" s="113"/>
      <c r="D93" s="113"/>
      <c r="E93" s="113"/>
      <c r="F93" s="106">
        <f t="shared" si="20"/>
        <v>0</v>
      </c>
      <c r="G93" s="107">
        <f t="shared" si="21"/>
        <v>0</v>
      </c>
      <c r="H93" s="108" t="e">
        <f t="shared" si="22"/>
        <v>#DIV/0!</v>
      </c>
      <c r="I93" s="122"/>
      <c r="J93" s="109">
        <f t="shared" si="23"/>
        <v>0</v>
      </c>
      <c r="K93" s="110"/>
      <c r="L93" s="114"/>
    </row>
    <row r="94" spans="1:13" ht="15.75" customHeight="1" x14ac:dyDescent="0.3">
      <c r="A94" s="112">
        <v>5</v>
      </c>
      <c r="B94" s="113" t="s">
        <v>3041</v>
      </c>
      <c r="C94" s="113"/>
      <c r="D94" s="113"/>
      <c r="E94" s="113"/>
      <c r="F94" s="106">
        <f t="shared" si="20"/>
        <v>0</v>
      </c>
      <c r="G94" s="107">
        <f t="shared" si="21"/>
        <v>0</v>
      </c>
      <c r="H94" s="108" t="e">
        <f t="shared" si="22"/>
        <v>#DIV/0!</v>
      </c>
      <c r="I94" s="122"/>
      <c r="J94" s="109">
        <f t="shared" si="23"/>
        <v>0</v>
      </c>
      <c r="K94" s="110"/>
      <c r="L94" s="114"/>
    </row>
    <row r="95" spans="1:13" ht="15.75" customHeight="1" x14ac:dyDescent="0.3">
      <c r="A95" s="112">
        <v>6</v>
      </c>
      <c r="B95" s="113" t="s">
        <v>3031</v>
      </c>
      <c r="C95" s="113"/>
      <c r="D95" s="124"/>
      <c r="E95" s="124"/>
      <c r="F95" s="106">
        <f t="shared" si="20"/>
        <v>0</v>
      </c>
      <c r="G95" s="107">
        <f t="shared" si="21"/>
        <v>0</v>
      </c>
      <c r="H95" s="108" t="e">
        <f t="shared" si="22"/>
        <v>#DIV/0!</v>
      </c>
      <c r="I95" s="122"/>
      <c r="J95" s="109">
        <f t="shared" si="23"/>
        <v>0</v>
      </c>
      <c r="K95" s="110"/>
      <c r="L95" s="114"/>
    </row>
    <row r="96" spans="1:13" ht="15.75" customHeight="1" x14ac:dyDescent="0.3">
      <c r="A96" s="117" t="s">
        <v>3042</v>
      </c>
      <c r="B96" s="117"/>
      <c r="C96" s="117">
        <f>SUM(C89:C95)</f>
        <v>150</v>
      </c>
      <c r="D96" s="117">
        <f>SUM(D89:D95)</f>
        <v>3205240</v>
      </c>
      <c r="E96" s="117"/>
      <c r="F96" s="118">
        <f t="shared" si="20"/>
        <v>3205240</v>
      </c>
      <c r="G96" s="119">
        <f t="shared" si="21"/>
        <v>2195369.8630136987</v>
      </c>
      <c r="H96" s="120">
        <f t="shared" si="22"/>
        <v>14635.799086757992</v>
      </c>
      <c r="I96" s="117">
        <f>SUM(I89:I95)</f>
        <v>25</v>
      </c>
      <c r="J96" s="109">
        <f t="shared" si="23"/>
        <v>2195369.8630136987</v>
      </c>
      <c r="K96" s="110">
        <v>5.5E-2</v>
      </c>
      <c r="L96" s="114">
        <f>J96*K96</f>
        <v>120745.34246575343</v>
      </c>
    </row>
    <row r="97" spans="1:13" ht="15.75" customHeight="1" x14ac:dyDescent="0.3">
      <c r="A97" s="112">
        <v>8</v>
      </c>
      <c r="B97" s="113" t="s">
        <v>3031</v>
      </c>
      <c r="C97" s="113"/>
      <c r="D97" s="113"/>
      <c r="E97" s="113"/>
      <c r="F97" s="106">
        <f t="shared" si="20"/>
        <v>0</v>
      </c>
      <c r="G97" s="107">
        <f t="shared" si="21"/>
        <v>0</v>
      </c>
      <c r="H97" s="108" t="e">
        <f t="shared" si="22"/>
        <v>#DIV/0!</v>
      </c>
      <c r="I97" s="122"/>
      <c r="J97" s="109">
        <f t="shared" si="23"/>
        <v>0</v>
      </c>
      <c r="K97" s="110">
        <v>5.5E-2</v>
      </c>
      <c r="L97" s="114">
        <f>J97*K97</f>
        <v>0</v>
      </c>
    </row>
    <row r="98" spans="1:13" ht="15.75" customHeight="1" x14ac:dyDescent="0.3">
      <c r="A98" s="117" t="s">
        <v>3043</v>
      </c>
      <c r="B98" s="117"/>
      <c r="C98" s="117">
        <f>SUM(C90:C97)</f>
        <v>300</v>
      </c>
      <c r="D98" s="117">
        <f>SUM(D90:D97)</f>
        <v>6410480</v>
      </c>
      <c r="E98" s="121">
        <f>SUM(E90:E97)</f>
        <v>0</v>
      </c>
      <c r="F98" s="118">
        <f t="shared" si="20"/>
        <v>6410480</v>
      </c>
      <c r="G98" s="119">
        <f t="shared" si="21"/>
        <v>4390739.7260273974</v>
      </c>
      <c r="H98" s="120">
        <f t="shared" si="22"/>
        <v>14635.799086757992</v>
      </c>
      <c r="I98" s="117">
        <f>SUM(I90:I97)</f>
        <v>50</v>
      </c>
      <c r="J98" s="109">
        <f t="shared" si="23"/>
        <v>4390739.7260273974</v>
      </c>
      <c r="K98" s="110"/>
      <c r="L98" s="114">
        <f>J98*K98</f>
        <v>0</v>
      </c>
    </row>
    <row r="99" spans="1:13" ht="15.75" customHeight="1" x14ac:dyDescent="0.3">
      <c r="A99" s="112">
        <v>6</v>
      </c>
      <c r="B99" s="113" t="s">
        <v>3031</v>
      </c>
      <c r="C99" s="113"/>
      <c r="D99" s="113"/>
      <c r="E99" s="113"/>
      <c r="F99" s="106">
        <f t="shared" ref="F99:F117" si="24">D99-E99</f>
        <v>0</v>
      </c>
      <c r="G99" s="107">
        <f t="shared" ref="G99:G117" si="25">F99/1.46</f>
        <v>0</v>
      </c>
      <c r="H99" s="108" t="e">
        <f t="shared" ref="H99:H117" si="26">G99/C99</f>
        <v>#DIV/0!</v>
      </c>
      <c r="I99" s="122"/>
      <c r="J99" s="109">
        <f t="shared" ref="J99:J117" si="27">G99</f>
        <v>0</v>
      </c>
      <c r="K99" s="110"/>
      <c r="L99" s="114"/>
    </row>
    <row r="100" spans="1:13" ht="15.75" customHeight="1" x14ac:dyDescent="0.3">
      <c r="A100" s="128" t="s">
        <v>3044</v>
      </c>
      <c r="B100" s="117"/>
      <c r="C100" s="117">
        <f>SUM(C94:C99)</f>
        <v>450</v>
      </c>
      <c r="D100" s="117">
        <f>SUM(D94:D99)</f>
        <v>9615720</v>
      </c>
      <c r="E100" s="117">
        <f>SUM(E94:E99)</f>
        <v>0</v>
      </c>
      <c r="F100" s="118">
        <f t="shared" si="24"/>
        <v>9615720</v>
      </c>
      <c r="G100" s="119">
        <f t="shared" si="25"/>
        <v>6586109.5890410962</v>
      </c>
      <c r="H100" s="120">
        <f t="shared" si="26"/>
        <v>14635.799086757992</v>
      </c>
      <c r="I100" s="121">
        <f>SUM(I94:I99)</f>
        <v>75</v>
      </c>
      <c r="J100" s="109">
        <f t="shared" si="27"/>
        <v>6586109.5890410962</v>
      </c>
      <c r="K100" s="110"/>
      <c r="L100" s="114"/>
    </row>
    <row r="101" spans="1:13" ht="15.75" customHeight="1" x14ac:dyDescent="0.3">
      <c r="A101" s="112">
        <v>6</v>
      </c>
      <c r="B101" s="113" t="s">
        <v>3045</v>
      </c>
      <c r="C101" s="113"/>
      <c r="D101" s="113"/>
      <c r="E101" s="113"/>
      <c r="F101" s="106">
        <f t="shared" si="24"/>
        <v>0</v>
      </c>
      <c r="G101" s="107">
        <f t="shared" si="25"/>
        <v>0</v>
      </c>
      <c r="H101" s="108" t="e">
        <f t="shared" si="26"/>
        <v>#DIV/0!</v>
      </c>
      <c r="I101" s="122"/>
      <c r="J101" s="109">
        <f t="shared" si="27"/>
        <v>0</v>
      </c>
      <c r="K101" s="110"/>
      <c r="L101" s="114"/>
    </row>
    <row r="102" spans="1:13" ht="15.75" customHeight="1" x14ac:dyDescent="0.3">
      <c r="A102" s="112">
        <v>7</v>
      </c>
      <c r="B102" s="113" t="s">
        <v>3031</v>
      </c>
      <c r="C102" s="113"/>
      <c r="D102" s="113"/>
      <c r="E102" s="113"/>
      <c r="F102" s="106">
        <f t="shared" si="24"/>
        <v>0</v>
      </c>
      <c r="G102" s="107">
        <f t="shared" si="25"/>
        <v>0</v>
      </c>
      <c r="H102" s="108" t="e">
        <f t="shared" si="26"/>
        <v>#DIV/0!</v>
      </c>
      <c r="I102" s="122"/>
      <c r="J102" s="109">
        <f t="shared" si="27"/>
        <v>0</v>
      </c>
      <c r="K102" s="110"/>
      <c r="L102" s="114"/>
    </row>
    <row r="103" spans="1:13" ht="15.75" customHeight="1" x14ac:dyDescent="0.3">
      <c r="A103" s="117" t="s">
        <v>3046</v>
      </c>
      <c r="B103" s="117"/>
      <c r="C103" s="117">
        <f>SUM(C96:C102)</f>
        <v>900</v>
      </c>
      <c r="D103" s="117">
        <f>SUM(D96:D102)</f>
        <v>19231440</v>
      </c>
      <c r="E103" s="117">
        <f>SUM(E96:E102)</f>
        <v>0</v>
      </c>
      <c r="F103" s="118">
        <f t="shared" si="24"/>
        <v>19231440</v>
      </c>
      <c r="G103" s="119">
        <f t="shared" si="25"/>
        <v>13172219.178082192</v>
      </c>
      <c r="H103" s="120">
        <f t="shared" si="26"/>
        <v>14635.799086757992</v>
      </c>
      <c r="I103" s="117">
        <f>SUM(I96:I102)</f>
        <v>150</v>
      </c>
      <c r="J103" s="109">
        <f t="shared" si="27"/>
        <v>13172219.178082192</v>
      </c>
      <c r="K103" s="110"/>
      <c r="L103" s="114"/>
    </row>
    <row r="104" spans="1:13" ht="15.75" customHeight="1" x14ac:dyDescent="0.3">
      <c r="A104" s="112">
        <v>2</v>
      </c>
      <c r="B104" s="113" t="s">
        <v>3045</v>
      </c>
      <c r="C104" s="113"/>
      <c r="D104" s="113">
        <v>0</v>
      </c>
      <c r="E104" s="113"/>
      <c r="F104" s="106">
        <f t="shared" si="24"/>
        <v>0</v>
      </c>
      <c r="G104" s="107">
        <f t="shared" si="25"/>
        <v>0</v>
      </c>
      <c r="H104" s="108" t="e">
        <f t="shared" si="26"/>
        <v>#DIV/0!</v>
      </c>
      <c r="I104" s="122"/>
      <c r="J104" s="109">
        <f t="shared" si="27"/>
        <v>0</v>
      </c>
      <c r="K104" s="110">
        <v>5.5E-2</v>
      </c>
      <c r="L104" s="114">
        <f>J104*K104</f>
        <v>0</v>
      </c>
    </row>
    <row r="105" spans="1:13" ht="15.75" customHeight="1" x14ac:dyDescent="0.3">
      <c r="A105" s="112">
        <v>5</v>
      </c>
      <c r="B105" s="113" t="s">
        <v>3031</v>
      </c>
      <c r="C105" s="113"/>
      <c r="D105" s="113"/>
      <c r="E105" s="113"/>
      <c r="F105" s="106">
        <f t="shared" si="24"/>
        <v>0</v>
      </c>
      <c r="G105" s="107">
        <f t="shared" si="25"/>
        <v>0</v>
      </c>
      <c r="H105" s="108" t="e">
        <f t="shared" si="26"/>
        <v>#DIV/0!</v>
      </c>
      <c r="I105" s="122"/>
      <c r="J105" s="109">
        <f t="shared" si="27"/>
        <v>0</v>
      </c>
      <c r="K105" s="110"/>
      <c r="L105" s="114"/>
    </row>
    <row r="106" spans="1:13" ht="15.75" customHeight="1" x14ac:dyDescent="0.3">
      <c r="A106" s="117" t="s">
        <v>3047</v>
      </c>
      <c r="B106" s="117"/>
      <c r="C106" s="117">
        <f>SUM(C101:C105)</f>
        <v>900</v>
      </c>
      <c r="D106" s="117">
        <f>SUM(D101:D105)</f>
        <v>19231440</v>
      </c>
      <c r="E106" s="117"/>
      <c r="F106" s="118">
        <f t="shared" si="24"/>
        <v>19231440</v>
      </c>
      <c r="G106" s="119">
        <f t="shared" si="25"/>
        <v>13172219.178082192</v>
      </c>
      <c r="H106" s="120">
        <f t="shared" si="26"/>
        <v>14635.799086757992</v>
      </c>
      <c r="I106" s="121">
        <f>SUM(I101:I105)</f>
        <v>150</v>
      </c>
      <c r="J106" s="109">
        <f t="shared" si="27"/>
        <v>13172219.178082192</v>
      </c>
      <c r="K106" s="110">
        <v>0</v>
      </c>
      <c r="L106" s="114">
        <f>J106*K106</f>
        <v>0</v>
      </c>
    </row>
    <row r="107" spans="1:13" ht="15.75" customHeight="1" x14ac:dyDescent="0.3">
      <c r="A107" s="112">
        <v>5</v>
      </c>
      <c r="B107" s="113" t="s">
        <v>3031</v>
      </c>
      <c r="C107" s="113"/>
      <c r="D107" s="113"/>
      <c r="E107" s="113"/>
      <c r="F107" s="106">
        <f t="shared" si="24"/>
        <v>0</v>
      </c>
      <c r="G107" s="107">
        <f t="shared" si="25"/>
        <v>0</v>
      </c>
      <c r="H107" s="108" t="e">
        <f t="shared" si="26"/>
        <v>#DIV/0!</v>
      </c>
      <c r="I107" s="122"/>
      <c r="J107" s="109">
        <f t="shared" si="27"/>
        <v>0</v>
      </c>
      <c r="K107" s="110">
        <v>0</v>
      </c>
      <c r="L107" s="114">
        <f>J107*K107</f>
        <v>0</v>
      </c>
      <c r="M107" s="129">
        <f>L107/100*10</f>
        <v>0</v>
      </c>
    </row>
    <row r="108" spans="1:13" ht="15.75" customHeight="1" x14ac:dyDescent="0.3">
      <c r="A108" s="117" t="s">
        <v>3048</v>
      </c>
      <c r="B108" s="117"/>
      <c r="C108" s="117">
        <f>SUM(C102:C107)</f>
        <v>1800</v>
      </c>
      <c r="D108" s="117">
        <f>SUM(D102:D107)</f>
        <v>38462880</v>
      </c>
      <c r="E108" s="117">
        <f>SUM(E102:E107)</f>
        <v>0</v>
      </c>
      <c r="F108" s="118">
        <f t="shared" si="24"/>
        <v>38462880</v>
      </c>
      <c r="G108" s="119">
        <f t="shared" si="25"/>
        <v>26344438.356164385</v>
      </c>
      <c r="H108" s="120">
        <f t="shared" si="26"/>
        <v>14635.799086757992</v>
      </c>
      <c r="I108" s="117">
        <f>SUM(I102:I107)</f>
        <v>300</v>
      </c>
      <c r="J108" s="109">
        <f t="shared" si="27"/>
        <v>26344438.356164385</v>
      </c>
      <c r="K108" s="110">
        <v>0.05</v>
      </c>
      <c r="L108" s="114">
        <f>J108*K108</f>
        <v>1317221.9178082193</v>
      </c>
      <c r="M108" s="129">
        <f>L108/100*10</f>
        <v>131722.19178082194</v>
      </c>
    </row>
    <row r="109" spans="1:13" ht="15.75" customHeight="1" x14ac:dyDescent="0.3">
      <c r="A109" s="112">
        <v>5</v>
      </c>
      <c r="B109" s="113" t="s">
        <v>3031</v>
      </c>
      <c r="C109" s="113"/>
      <c r="D109" s="113"/>
      <c r="E109" s="113"/>
      <c r="F109" s="106">
        <f t="shared" si="24"/>
        <v>0</v>
      </c>
      <c r="G109" s="107">
        <f t="shared" si="25"/>
        <v>0</v>
      </c>
      <c r="H109" s="108" t="e">
        <f t="shared" si="26"/>
        <v>#DIV/0!</v>
      </c>
      <c r="I109" s="122"/>
      <c r="J109" s="109">
        <f t="shared" si="27"/>
        <v>0</v>
      </c>
      <c r="K109" s="110"/>
      <c r="L109" s="114"/>
      <c r="M109" s="129"/>
    </row>
    <row r="110" spans="1:13" ht="15.75" customHeight="1" x14ac:dyDescent="0.3">
      <c r="A110" s="117" t="s">
        <v>3049</v>
      </c>
      <c r="B110" s="117"/>
      <c r="C110" s="117">
        <f>SUM(C105:C109)</f>
        <v>2700</v>
      </c>
      <c r="D110" s="117">
        <f>SUM(D105:D109)</f>
        <v>57694320</v>
      </c>
      <c r="E110" s="117">
        <f>SUM(E105:E109)</f>
        <v>0</v>
      </c>
      <c r="F110" s="118">
        <f t="shared" si="24"/>
        <v>57694320</v>
      </c>
      <c r="G110" s="119">
        <f t="shared" si="25"/>
        <v>39516657.534246579</v>
      </c>
      <c r="H110" s="120">
        <f t="shared" si="26"/>
        <v>14635.799086757992</v>
      </c>
      <c r="I110" s="121">
        <f>SUM(I105:I109)</f>
        <v>450</v>
      </c>
      <c r="J110" s="109">
        <f t="shared" si="27"/>
        <v>39516657.534246579</v>
      </c>
      <c r="K110" s="110"/>
      <c r="L110" s="114"/>
      <c r="M110" s="129"/>
    </row>
    <row r="111" spans="1:13" ht="15.75" customHeight="1" x14ac:dyDescent="0.3">
      <c r="A111" s="112">
        <v>5</v>
      </c>
      <c r="B111" s="113" t="s">
        <v>3031</v>
      </c>
      <c r="C111" s="113"/>
      <c r="D111" s="113"/>
      <c r="E111" s="113"/>
      <c r="F111" s="106">
        <f t="shared" si="24"/>
        <v>0</v>
      </c>
      <c r="G111" s="107">
        <f t="shared" si="25"/>
        <v>0</v>
      </c>
      <c r="H111" s="108" t="e">
        <f t="shared" si="26"/>
        <v>#DIV/0!</v>
      </c>
      <c r="I111" s="122"/>
      <c r="J111" s="109">
        <f t="shared" si="27"/>
        <v>0</v>
      </c>
      <c r="K111" s="110"/>
      <c r="L111" s="114">
        <f>J111*K111</f>
        <v>0</v>
      </c>
    </row>
    <row r="112" spans="1:13" ht="15.75" customHeight="1" x14ac:dyDescent="0.3">
      <c r="A112" s="117" t="s">
        <v>3050</v>
      </c>
      <c r="B112" s="117"/>
      <c r="C112" s="117">
        <f>SUM(C107:C111)</f>
        <v>4500</v>
      </c>
      <c r="D112" s="117">
        <f>SUM(D107:D111)</f>
        <v>96157200</v>
      </c>
      <c r="E112" s="117">
        <f>SUM(E107:E111)</f>
        <v>0</v>
      </c>
      <c r="F112" s="118">
        <f t="shared" si="24"/>
        <v>96157200</v>
      </c>
      <c r="G112" s="119">
        <f t="shared" si="25"/>
        <v>65861095.89041096</v>
      </c>
      <c r="H112" s="120">
        <f t="shared" si="26"/>
        <v>14635.79908675799</v>
      </c>
      <c r="I112" s="117">
        <f>SUM(I107:I111)</f>
        <v>750</v>
      </c>
      <c r="J112" s="109">
        <f t="shared" si="27"/>
        <v>65861095.89041096</v>
      </c>
      <c r="K112" s="110"/>
      <c r="L112" s="114"/>
    </row>
    <row r="113" spans="1:12" ht="15.75" customHeight="1" x14ac:dyDescent="0.3">
      <c r="A113" s="104">
        <v>7</v>
      </c>
      <c r="B113" s="106" t="s">
        <v>3051</v>
      </c>
      <c r="C113" s="106"/>
      <c r="D113" s="106"/>
      <c r="E113" s="106"/>
      <c r="F113" s="106">
        <f t="shared" si="24"/>
        <v>0</v>
      </c>
      <c r="G113" s="107">
        <f t="shared" si="25"/>
        <v>0</v>
      </c>
      <c r="H113" s="108" t="e">
        <f t="shared" si="26"/>
        <v>#DIV/0!</v>
      </c>
      <c r="I113" s="115"/>
      <c r="J113" s="109">
        <f t="shared" si="27"/>
        <v>0</v>
      </c>
      <c r="K113" s="110"/>
      <c r="L113" s="114"/>
    </row>
    <row r="114" spans="1:12" ht="15.75" customHeight="1" x14ac:dyDescent="0.3">
      <c r="A114" s="104">
        <v>8</v>
      </c>
      <c r="B114" s="106" t="s">
        <v>3052</v>
      </c>
      <c r="C114" s="106"/>
      <c r="D114" s="106"/>
      <c r="E114" s="106"/>
      <c r="F114" s="106">
        <f t="shared" si="24"/>
        <v>0</v>
      </c>
      <c r="G114" s="107">
        <f t="shared" si="25"/>
        <v>0</v>
      </c>
      <c r="H114" s="108" t="e">
        <f t="shared" si="26"/>
        <v>#DIV/0!</v>
      </c>
      <c r="I114" s="115"/>
      <c r="J114" s="109">
        <f t="shared" si="27"/>
        <v>0</v>
      </c>
      <c r="K114" s="110"/>
      <c r="L114" s="114"/>
    </row>
    <row r="115" spans="1:12" ht="15.75" customHeight="1" x14ac:dyDescent="0.3">
      <c r="A115" s="117" t="s">
        <v>3053</v>
      </c>
      <c r="B115" s="117"/>
      <c r="C115" s="117">
        <f>SUM(C106:C114)</f>
        <v>9900</v>
      </c>
      <c r="D115" s="117">
        <f>SUM(D106:D114)</f>
        <v>211545840</v>
      </c>
      <c r="E115" s="117">
        <f>SUM(E106:E114)</f>
        <v>0</v>
      </c>
      <c r="F115" s="118">
        <f t="shared" si="24"/>
        <v>211545840</v>
      </c>
      <c r="G115" s="119">
        <f t="shared" si="25"/>
        <v>144894410.95890412</v>
      </c>
      <c r="H115" s="120">
        <f t="shared" si="26"/>
        <v>14635.799086757992</v>
      </c>
      <c r="I115" s="121">
        <f>SUM(I106:I114)</f>
        <v>1650</v>
      </c>
      <c r="J115" s="109">
        <f t="shared" si="27"/>
        <v>144894410.95890412</v>
      </c>
      <c r="K115" s="110"/>
      <c r="L115" s="114"/>
    </row>
    <row r="116" spans="1:12" ht="15.75" customHeight="1" x14ac:dyDescent="0.3">
      <c r="A116" s="112">
        <v>1</v>
      </c>
      <c r="B116" s="113" t="s">
        <v>3054</v>
      </c>
      <c r="C116" s="113">
        <v>1</v>
      </c>
      <c r="D116" s="130">
        <f>149138-10</f>
        <v>149128</v>
      </c>
      <c r="E116" s="130">
        <v>40463</v>
      </c>
      <c r="F116" s="106">
        <f t="shared" si="24"/>
        <v>108665</v>
      </c>
      <c r="G116" s="107">
        <f t="shared" si="25"/>
        <v>74428.082191780821</v>
      </c>
      <c r="H116" s="108">
        <f t="shared" si="26"/>
        <v>74428.082191780821</v>
      </c>
      <c r="I116" s="122">
        <v>1</v>
      </c>
      <c r="J116" s="109">
        <f t="shared" si="27"/>
        <v>74428.082191780821</v>
      </c>
      <c r="K116" s="110"/>
      <c r="L116" s="114"/>
    </row>
    <row r="117" spans="1:12" ht="15.75" customHeight="1" x14ac:dyDescent="0.3">
      <c r="A117" s="117" t="s">
        <v>3055</v>
      </c>
      <c r="B117" s="117"/>
      <c r="C117" s="117">
        <f>C105+C99+C93+C86+C80+C72+C65+C56+C48+C41+C31+C25+C19+C11+C115+C116</f>
        <v>9929</v>
      </c>
      <c r="D117" s="131">
        <f>D105+D99+D93+D86+D80+D72+D65+D56+D48+D41+D31+D25+D19+D11+D115+D116</f>
        <v>212683317</v>
      </c>
      <c r="E117" s="117">
        <f>E105+E99+E93+E86+E80+E72+E65+E56+E48+E41+E31+E25+E19+E11+E115+E116</f>
        <v>265934</v>
      </c>
      <c r="F117" s="118">
        <f t="shared" si="24"/>
        <v>212417383</v>
      </c>
      <c r="G117" s="119">
        <f t="shared" si="25"/>
        <v>145491358.21917808</v>
      </c>
      <c r="H117" s="120">
        <f t="shared" si="26"/>
        <v>14653.173352722135</v>
      </c>
      <c r="I117" s="117">
        <f>I105+I99+I93+I86+I80+I72+I65+I56+I48+I41+I31+I25+I19+I11+I115+I116</f>
        <v>1653</v>
      </c>
      <c r="J117" s="109">
        <f t="shared" si="27"/>
        <v>145491358.21917808</v>
      </c>
      <c r="K117" s="110"/>
      <c r="L117" s="114"/>
    </row>
    <row r="120" spans="1:12" x14ac:dyDescent="0.3">
      <c r="D120" s="132"/>
      <c r="E120" s="132"/>
      <c r="F120" s="132"/>
    </row>
  </sheetData>
  <autoFilter ref="A4:N117" xr:uid="{00000000-0001-0000-0400-000000000000}">
    <sortState xmlns:xlrd2="http://schemas.microsoft.com/office/spreadsheetml/2017/richdata2" ref="A5:N117">
      <sortCondition ref="N4:N117"/>
    </sortState>
  </autoFilter>
  <mergeCells count="3">
    <mergeCell ref="A1:I1"/>
    <mergeCell ref="A2:I2"/>
    <mergeCell ref="A3:I3"/>
  </mergeCells>
  <conditionalFormatting sqref="H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FF7128"/>
      </colorScale>
    </cfRule>
  </conditionalFormatting>
  <conditionalFormatting sqref="H5:H1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max"/>
        <color rgb="FFFFEF9C"/>
        <color rgb="FFFF7128"/>
      </colorScale>
    </cfRule>
  </conditionalFormatting>
  <conditionalFormatting sqref="I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EF9C"/>
        <color rgb="FFFF7128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FF7128"/>
      </colorScale>
    </cfRule>
  </conditionalFormatting>
  <dataValidations count="1">
    <dataValidation type="list" allowBlank="1" showInputMessage="1" showErrorMessage="1" sqref="B39 B75 B35" xr:uid="{00000000-0002-0000-0400-000000000000}">
      <formula1>#REF!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77"/>
  <sheetViews>
    <sheetView zoomScale="99" workbookViewId="0">
      <selection activeCell="F20" sqref="F20"/>
    </sheetView>
  </sheetViews>
  <sheetFormatPr defaultRowHeight="14.4" x14ac:dyDescent="0.3"/>
  <cols>
    <col min="2" max="2" width="23" bestFit="1" customWidth="1"/>
    <col min="3" max="4" width="25" bestFit="1" customWidth="1"/>
    <col min="5" max="5" width="22.5546875" bestFit="1" customWidth="1"/>
    <col min="6" max="6" width="24.6640625" bestFit="1" customWidth="1"/>
    <col min="7" max="8" width="12.6640625" bestFit="1" customWidth="1"/>
    <col min="9" max="9" width="12.88671875" bestFit="1" customWidth="1"/>
    <col min="10" max="10" width="9.33203125" style="35" bestFit="1" customWidth="1"/>
    <col min="11" max="11" width="11.44140625" bestFit="1" customWidth="1"/>
    <col min="15" max="15" width="10" bestFit="1" customWidth="1"/>
  </cols>
  <sheetData>
    <row r="2" spans="2:19" x14ac:dyDescent="0.3">
      <c r="B2" s="81" t="s">
        <v>2916</v>
      </c>
      <c r="C2" s="81"/>
      <c r="D2" s="81" t="s">
        <v>2915</v>
      </c>
      <c r="E2" s="81" t="s">
        <v>2872</v>
      </c>
      <c r="F2" s="81" t="s">
        <v>2853</v>
      </c>
      <c r="G2" s="81" t="s">
        <v>2918</v>
      </c>
      <c r="H2" s="74"/>
      <c r="I2" s="81" t="s">
        <v>2919</v>
      </c>
      <c r="J2" s="39" t="s">
        <v>2920</v>
      </c>
      <c r="K2" s="88" t="s">
        <v>3098</v>
      </c>
    </row>
    <row r="3" spans="2:19" x14ac:dyDescent="0.3">
      <c r="B3" s="40" t="s">
        <v>2323</v>
      </c>
      <c r="C3" s="73" t="str">
        <f t="shared" ref="C3:C52" si="0">+TRIM(D3)</f>
        <v>AKASH MISHRA</v>
      </c>
      <c r="D3" s="40" t="s">
        <v>2323</v>
      </c>
      <c r="E3" s="40" t="s">
        <v>2323</v>
      </c>
      <c r="F3" s="73" t="s">
        <v>2320</v>
      </c>
      <c r="G3" s="74" t="s">
        <v>2921</v>
      </c>
      <c r="H3" s="89">
        <v>45444</v>
      </c>
      <c r="I3" s="90">
        <f t="shared" ref="I3:I25" si="1">+DATEDIF(G3,H3,"M")</f>
        <v>59</v>
      </c>
      <c r="J3" s="39" t="str">
        <f>+IF(I3&gt;=3,"OLD","NEW")</f>
        <v>OLD</v>
      </c>
      <c r="K3" s="39" t="s">
        <v>215</v>
      </c>
    </row>
    <row r="4" spans="2:19" x14ac:dyDescent="0.3">
      <c r="B4" s="40" t="s">
        <v>2323</v>
      </c>
      <c r="C4" s="73" t="str">
        <f t="shared" si="0"/>
        <v>ARPAN SHARMA</v>
      </c>
      <c r="D4" s="40" t="s">
        <v>2577</v>
      </c>
      <c r="E4" s="40" t="s">
        <v>2323</v>
      </c>
      <c r="F4" s="73" t="s">
        <v>2320</v>
      </c>
      <c r="G4" s="74" t="s">
        <v>2922</v>
      </c>
      <c r="H4" s="89">
        <v>45444</v>
      </c>
      <c r="I4" s="90">
        <f t="shared" si="1"/>
        <v>74</v>
      </c>
      <c r="J4" s="39" t="str">
        <f t="shared" ref="J4:J67" si="2">+IF(I4&gt;=3,"OLD","NEW")</f>
        <v>OLD</v>
      </c>
      <c r="K4" s="39" t="s">
        <v>3065</v>
      </c>
    </row>
    <row r="5" spans="2:19" x14ac:dyDescent="0.3">
      <c r="B5" s="40" t="s">
        <v>2323</v>
      </c>
      <c r="C5" s="73" t="str">
        <f t="shared" si="0"/>
        <v>NEETESH DALE</v>
      </c>
      <c r="D5" s="40" t="s">
        <v>2322</v>
      </c>
      <c r="E5" s="40" t="s">
        <v>2323</v>
      </c>
      <c r="F5" s="73" t="s">
        <v>2320</v>
      </c>
      <c r="G5" s="91" t="s">
        <v>2923</v>
      </c>
      <c r="H5" s="89">
        <v>45444</v>
      </c>
      <c r="I5" s="90">
        <f t="shared" si="1"/>
        <v>78</v>
      </c>
      <c r="J5" s="39" t="str">
        <f t="shared" si="2"/>
        <v>OLD</v>
      </c>
      <c r="K5" s="39" t="s">
        <v>237</v>
      </c>
    </row>
    <row r="6" spans="2:19" x14ac:dyDescent="0.3">
      <c r="B6" s="40" t="s">
        <v>2323</v>
      </c>
      <c r="C6" s="73" t="str">
        <f t="shared" si="0"/>
        <v>SANJAY SEN</v>
      </c>
      <c r="D6" s="40" t="s">
        <v>2436</v>
      </c>
      <c r="E6" s="40" t="s">
        <v>2323</v>
      </c>
      <c r="F6" s="73" t="s">
        <v>2320</v>
      </c>
      <c r="G6" s="91" t="s">
        <v>2924</v>
      </c>
      <c r="H6" s="89">
        <v>45444</v>
      </c>
      <c r="I6" s="90">
        <f t="shared" si="1"/>
        <v>84</v>
      </c>
      <c r="J6" s="39" t="str">
        <f t="shared" si="2"/>
        <v>OLD</v>
      </c>
      <c r="K6" s="39" t="s">
        <v>3066</v>
      </c>
    </row>
    <row r="7" spans="2:19" x14ac:dyDescent="0.3">
      <c r="B7" s="40" t="s">
        <v>2351</v>
      </c>
      <c r="C7" s="73" t="str">
        <f t="shared" si="0"/>
        <v>FAIZAL MANSURI</v>
      </c>
      <c r="D7" s="40" t="s">
        <v>2412</v>
      </c>
      <c r="E7" s="40" t="s">
        <v>2351</v>
      </c>
      <c r="F7" s="73" t="s">
        <v>393</v>
      </c>
      <c r="G7" s="91" t="s">
        <v>2925</v>
      </c>
      <c r="H7" s="89">
        <v>45444</v>
      </c>
      <c r="I7" s="90">
        <f t="shared" si="1"/>
        <v>40</v>
      </c>
      <c r="J7" s="39" t="str">
        <f t="shared" si="2"/>
        <v>OLD</v>
      </c>
      <c r="K7" s="39" t="s">
        <v>3071</v>
      </c>
    </row>
    <row r="8" spans="2:19" x14ac:dyDescent="0.3">
      <c r="B8" s="40" t="s">
        <v>2351</v>
      </c>
      <c r="C8" s="73" t="str">
        <f t="shared" si="0"/>
        <v>SANTOSH YADAV</v>
      </c>
      <c r="D8" s="40" t="s">
        <v>2603</v>
      </c>
      <c r="E8" s="40" t="s">
        <v>2351</v>
      </c>
      <c r="F8" s="73" t="s">
        <v>393</v>
      </c>
      <c r="G8" s="91" t="s">
        <v>2926</v>
      </c>
      <c r="H8" s="89">
        <v>45444</v>
      </c>
      <c r="I8" s="90">
        <f t="shared" si="1"/>
        <v>92</v>
      </c>
      <c r="J8" s="39" t="str">
        <f t="shared" si="2"/>
        <v>OLD</v>
      </c>
      <c r="K8" s="39" t="s">
        <v>533</v>
      </c>
      <c r="Q8">
        <v>17</v>
      </c>
      <c r="R8">
        <v>51</v>
      </c>
      <c r="S8">
        <f>+R8/Q8*6</f>
        <v>18</v>
      </c>
    </row>
    <row r="9" spans="2:19" x14ac:dyDescent="0.3">
      <c r="B9" s="40" t="s">
        <v>2351</v>
      </c>
      <c r="C9" s="73" t="str">
        <f t="shared" si="0"/>
        <v>SHAILENDRA MUVADIYA</v>
      </c>
      <c r="D9" s="40" t="s">
        <v>2378</v>
      </c>
      <c r="E9" s="40" t="s">
        <v>2351</v>
      </c>
      <c r="F9" s="73" t="s">
        <v>393</v>
      </c>
      <c r="G9" s="91" t="s">
        <v>2927</v>
      </c>
      <c r="H9" s="89">
        <v>45444</v>
      </c>
      <c r="I9" s="90">
        <f t="shared" si="1"/>
        <v>50</v>
      </c>
      <c r="J9" s="39" t="str">
        <f t="shared" si="2"/>
        <v>OLD</v>
      </c>
      <c r="K9" s="39" t="s">
        <v>440</v>
      </c>
      <c r="Q9">
        <v>18</v>
      </c>
      <c r="R9">
        <v>72</v>
      </c>
      <c r="S9">
        <f>+R9/Q9*6</f>
        <v>24</v>
      </c>
    </row>
    <row r="10" spans="2:19" x14ac:dyDescent="0.3">
      <c r="B10" s="40" t="s">
        <v>2299</v>
      </c>
      <c r="C10" s="73" t="str">
        <f t="shared" si="0"/>
        <v>ARJUN KUSHWAH</v>
      </c>
      <c r="D10" s="40" t="s">
        <v>1503</v>
      </c>
      <c r="E10" s="40" t="s">
        <v>2299</v>
      </c>
      <c r="F10" s="73" t="s">
        <v>2875</v>
      </c>
      <c r="G10" s="74" t="s">
        <v>2928</v>
      </c>
      <c r="H10" s="89">
        <v>45444</v>
      </c>
      <c r="I10" s="90">
        <f t="shared" si="1"/>
        <v>4</v>
      </c>
      <c r="J10" s="39" t="str">
        <f t="shared" si="2"/>
        <v>OLD</v>
      </c>
      <c r="K10" s="39" t="s">
        <v>3064</v>
      </c>
      <c r="O10">
        <v>300000</v>
      </c>
    </row>
    <row r="11" spans="2:19" x14ac:dyDescent="0.3">
      <c r="B11" s="40" t="s">
        <v>2351</v>
      </c>
      <c r="C11" s="73" t="str">
        <f t="shared" si="0"/>
        <v>SHAILENDRA SHARMA</v>
      </c>
      <c r="D11" s="40" t="s">
        <v>2311</v>
      </c>
      <c r="E11" s="40" t="s">
        <v>2351</v>
      </c>
      <c r="F11" s="73" t="s">
        <v>393</v>
      </c>
      <c r="G11" s="91" t="s">
        <v>2929</v>
      </c>
      <c r="H11" s="89">
        <v>45444</v>
      </c>
      <c r="I11" s="90">
        <f t="shared" si="1"/>
        <v>23</v>
      </c>
      <c r="J11" s="39" t="str">
        <f t="shared" si="2"/>
        <v>OLD</v>
      </c>
      <c r="K11" s="39" t="s">
        <v>381</v>
      </c>
      <c r="O11">
        <v>300000</v>
      </c>
      <c r="P11">
        <f>+O11*5%</f>
        <v>15000</v>
      </c>
    </row>
    <row r="12" spans="2:19" x14ac:dyDescent="0.3">
      <c r="B12" s="40" t="s">
        <v>2351</v>
      </c>
      <c r="C12" s="73" t="str">
        <f t="shared" si="0"/>
        <v>SUMIT KUMAWAT</v>
      </c>
      <c r="D12" s="40" t="s">
        <v>2724</v>
      </c>
      <c r="E12" s="40" t="s">
        <v>2351</v>
      </c>
      <c r="F12" s="73" t="s">
        <v>393</v>
      </c>
      <c r="G12" s="91" t="s">
        <v>2930</v>
      </c>
      <c r="H12" s="89">
        <v>45444</v>
      </c>
      <c r="I12" s="90">
        <f t="shared" si="1"/>
        <v>24</v>
      </c>
      <c r="J12" s="39" t="str">
        <f t="shared" si="2"/>
        <v>OLD</v>
      </c>
      <c r="K12" s="39" t="s">
        <v>3091</v>
      </c>
      <c r="O12">
        <v>300000</v>
      </c>
      <c r="P12">
        <f>+O12*10%</f>
        <v>30000</v>
      </c>
    </row>
    <row r="13" spans="2:19" x14ac:dyDescent="0.3">
      <c r="B13" s="40" t="s">
        <v>2351</v>
      </c>
      <c r="C13" s="73" t="str">
        <f t="shared" si="0"/>
        <v>VINOD MANGROLIYA</v>
      </c>
      <c r="D13" s="40" t="s">
        <v>2351</v>
      </c>
      <c r="E13" s="40" t="s">
        <v>2351</v>
      </c>
      <c r="F13" s="73" t="s">
        <v>393</v>
      </c>
      <c r="G13" s="91" t="s">
        <v>2931</v>
      </c>
      <c r="H13" s="89">
        <v>45444</v>
      </c>
      <c r="I13" s="90">
        <f t="shared" si="1"/>
        <v>101</v>
      </c>
      <c r="J13" s="39" t="str">
        <f t="shared" si="2"/>
        <v>OLD</v>
      </c>
      <c r="K13" s="39" t="s">
        <v>3070</v>
      </c>
      <c r="O13">
        <v>300000</v>
      </c>
      <c r="P13">
        <f>+O13*15%</f>
        <v>45000</v>
      </c>
    </row>
    <row r="14" spans="2:19" x14ac:dyDescent="0.3">
      <c r="B14" s="40" t="s">
        <v>2259</v>
      </c>
      <c r="C14" s="73" t="str">
        <f t="shared" si="0"/>
        <v>ANIL CHOUDHARY</v>
      </c>
      <c r="D14" s="40" t="s">
        <v>2369</v>
      </c>
      <c r="E14" s="40" t="s">
        <v>2259</v>
      </c>
      <c r="F14" s="73" t="s">
        <v>646</v>
      </c>
      <c r="G14" s="74" t="s">
        <v>2932</v>
      </c>
      <c r="H14" s="89">
        <v>45444</v>
      </c>
      <c r="I14" s="90">
        <f t="shared" si="1"/>
        <v>55</v>
      </c>
      <c r="J14" s="39" t="str">
        <f t="shared" si="2"/>
        <v>OLD</v>
      </c>
      <c r="K14" s="39" t="s">
        <v>652</v>
      </c>
      <c r="O14">
        <v>300000</v>
      </c>
      <c r="P14">
        <f>+O14*20%</f>
        <v>60000</v>
      </c>
    </row>
    <row r="15" spans="2:19" x14ac:dyDescent="0.3">
      <c r="B15" s="40" t="s">
        <v>2586</v>
      </c>
      <c r="C15" s="73" t="str">
        <f t="shared" si="0"/>
        <v>DANISH KHAN</v>
      </c>
      <c r="D15" s="40" t="s">
        <v>2855</v>
      </c>
      <c r="E15" s="40" t="s">
        <v>2586</v>
      </c>
      <c r="F15" s="73" t="s">
        <v>1744</v>
      </c>
      <c r="G15" s="74" t="s">
        <v>2933</v>
      </c>
      <c r="H15" s="89">
        <v>45444</v>
      </c>
      <c r="I15" s="90">
        <f t="shared" si="1"/>
        <v>6</v>
      </c>
      <c r="J15" s="39" t="str">
        <f t="shared" si="2"/>
        <v>OLD</v>
      </c>
      <c r="K15" s="39" t="s">
        <v>3067</v>
      </c>
      <c r="O15">
        <v>113500000</v>
      </c>
      <c r="P15">
        <f>+O15*30%</f>
        <v>34050000</v>
      </c>
    </row>
    <row r="16" spans="2:19" x14ac:dyDescent="0.3">
      <c r="B16" s="40" t="s">
        <v>2408</v>
      </c>
      <c r="C16" s="73" t="str">
        <f t="shared" si="0"/>
        <v>ASHISH MOURYA</v>
      </c>
      <c r="D16" s="40" t="s">
        <v>2408</v>
      </c>
      <c r="E16" s="40" t="s">
        <v>2408</v>
      </c>
      <c r="F16" s="73" t="s">
        <v>646</v>
      </c>
      <c r="G16" s="74" t="s">
        <v>2934</v>
      </c>
      <c r="H16" s="89">
        <v>45444</v>
      </c>
      <c r="I16" s="90">
        <f t="shared" si="1"/>
        <v>85</v>
      </c>
      <c r="J16" s="39" t="str">
        <f t="shared" si="2"/>
        <v>OLD</v>
      </c>
      <c r="K16" s="39" t="s">
        <v>687</v>
      </c>
    </row>
    <row r="17" spans="2:11" x14ac:dyDescent="0.3">
      <c r="B17" s="40" t="s">
        <v>2408</v>
      </c>
      <c r="C17" s="73" t="str">
        <f t="shared" si="0"/>
        <v>BHAGWAN DHANGAR</v>
      </c>
      <c r="D17" s="40" t="s">
        <v>2623</v>
      </c>
      <c r="E17" s="40" t="s">
        <v>2408</v>
      </c>
      <c r="F17" s="73" t="s">
        <v>646</v>
      </c>
      <c r="G17" s="74" t="s">
        <v>2935</v>
      </c>
      <c r="H17" s="89">
        <v>45444</v>
      </c>
      <c r="I17" s="90">
        <f t="shared" si="1"/>
        <v>41</v>
      </c>
      <c r="J17" s="39" t="str">
        <f t="shared" si="2"/>
        <v>OLD</v>
      </c>
      <c r="K17" s="39" t="s">
        <v>785</v>
      </c>
    </row>
    <row r="18" spans="2:11" x14ac:dyDescent="0.3">
      <c r="B18" s="40" t="s">
        <v>2408</v>
      </c>
      <c r="C18" s="73" t="str">
        <f t="shared" si="0"/>
        <v>DEVENDRA GOSAWI</v>
      </c>
      <c r="D18" s="40" t="s">
        <v>2781</v>
      </c>
      <c r="E18" s="40" t="s">
        <v>2408</v>
      </c>
      <c r="F18" s="73" t="s">
        <v>646</v>
      </c>
      <c r="G18" s="91" t="s">
        <v>2931</v>
      </c>
      <c r="H18" s="89">
        <v>45444</v>
      </c>
      <c r="I18" s="90">
        <f t="shared" si="1"/>
        <v>101</v>
      </c>
      <c r="J18" s="39" t="str">
        <f t="shared" si="2"/>
        <v>OLD</v>
      </c>
      <c r="K18" s="39" t="s">
        <v>3070</v>
      </c>
    </row>
    <row r="19" spans="2:11" x14ac:dyDescent="0.3">
      <c r="B19" s="40" t="s">
        <v>2259</v>
      </c>
      <c r="C19" s="73" t="str">
        <f t="shared" si="0"/>
        <v>NIKHIL CHOUHAN</v>
      </c>
      <c r="D19" s="40" t="s">
        <v>2258</v>
      </c>
      <c r="E19" s="40" t="s">
        <v>2259</v>
      </c>
      <c r="F19" s="73" t="s">
        <v>646</v>
      </c>
      <c r="G19" s="91" t="s">
        <v>2936</v>
      </c>
      <c r="H19" s="89">
        <v>45444</v>
      </c>
      <c r="I19" s="90">
        <f t="shared" si="1"/>
        <v>35</v>
      </c>
      <c r="J19" s="39" t="str">
        <f t="shared" si="2"/>
        <v>OLD</v>
      </c>
      <c r="K19" s="39" t="s">
        <v>3079</v>
      </c>
    </row>
    <row r="20" spans="2:11" x14ac:dyDescent="0.3">
      <c r="B20" s="40" t="s">
        <v>2408</v>
      </c>
      <c r="C20" s="73" t="str">
        <f t="shared" si="0"/>
        <v>RANJEET BHAGAT</v>
      </c>
      <c r="D20" s="40" t="s">
        <v>2407</v>
      </c>
      <c r="E20" s="40" t="s">
        <v>2408</v>
      </c>
      <c r="F20" s="73" t="s">
        <v>646</v>
      </c>
      <c r="G20" s="91" t="s">
        <v>2937</v>
      </c>
      <c r="H20" s="89">
        <v>45444</v>
      </c>
      <c r="I20" s="90">
        <f t="shared" si="1"/>
        <v>10</v>
      </c>
      <c r="J20" s="39" t="str">
        <f t="shared" si="2"/>
        <v>OLD</v>
      </c>
      <c r="K20" s="39" t="s">
        <v>3081</v>
      </c>
    </row>
    <row r="21" spans="2:11" x14ac:dyDescent="0.3">
      <c r="B21" s="40" t="s">
        <v>2259</v>
      </c>
      <c r="C21" s="73" t="str">
        <f t="shared" si="0"/>
        <v>MAHESH GIRI</v>
      </c>
      <c r="D21" s="40" t="s">
        <v>2873</v>
      </c>
      <c r="E21" s="40" t="s">
        <v>2259</v>
      </c>
      <c r="F21" s="73" t="s">
        <v>646</v>
      </c>
      <c r="G21" s="89">
        <v>45413</v>
      </c>
      <c r="H21" s="89">
        <v>45444</v>
      </c>
      <c r="I21" s="90">
        <f t="shared" si="1"/>
        <v>1</v>
      </c>
      <c r="J21" s="39" t="str">
        <f t="shared" si="2"/>
        <v>NEW</v>
      </c>
      <c r="K21" s="39" t="s">
        <v>2938</v>
      </c>
    </row>
    <row r="22" spans="2:11" x14ac:dyDescent="0.3">
      <c r="B22" s="40" t="s">
        <v>2280</v>
      </c>
      <c r="C22" s="73" t="str">
        <f t="shared" si="0"/>
        <v>HARISH PATIDAR</v>
      </c>
      <c r="D22" s="40" t="s">
        <v>967</v>
      </c>
      <c r="E22" s="40" t="s">
        <v>2280</v>
      </c>
      <c r="F22" s="73" t="s">
        <v>2877</v>
      </c>
      <c r="G22" s="74" t="s">
        <v>2939</v>
      </c>
      <c r="H22" s="89">
        <v>45444</v>
      </c>
      <c r="I22" s="90">
        <f t="shared" si="1"/>
        <v>86</v>
      </c>
      <c r="J22" s="39" t="str">
        <f t="shared" si="2"/>
        <v>OLD</v>
      </c>
      <c r="K22" s="39" t="s">
        <v>966</v>
      </c>
    </row>
    <row r="23" spans="2:11" x14ac:dyDescent="0.3">
      <c r="B23" s="40" t="s">
        <v>2259</v>
      </c>
      <c r="C23" s="73" t="str">
        <f t="shared" si="0"/>
        <v>VINOD RATHOD</v>
      </c>
      <c r="D23" s="40" t="s">
        <v>2259</v>
      </c>
      <c r="E23" s="40" t="s">
        <v>2259</v>
      </c>
      <c r="F23" s="73" t="s">
        <v>646</v>
      </c>
      <c r="G23" s="91" t="s">
        <v>2940</v>
      </c>
      <c r="H23" s="89">
        <v>45444</v>
      </c>
      <c r="I23" s="90">
        <f t="shared" si="1"/>
        <v>65</v>
      </c>
      <c r="J23" s="39" t="str">
        <f t="shared" si="2"/>
        <v>OLD</v>
      </c>
      <c r="K23" s="39" t="s">
        <v>615</v>
      </c>
    </row>
    <row r="24" spans="2:11" x14ac:dyDescent="0.3">
      <c r="B24" s="73" t="s">
        <v>871</v>
      </c>
      <c r="C24" s="73" t="str">
        <f t="shared" si="0"/>
        <v>MAHESH MOURYA</v>
      </c>
      <c r="D24" s="40" t="s">
        <v>2570</v>
      </c>
      <c r="E24" s="73" t="s">
        <v>871</v>
      </c>
      <c r="F24" s="73" t="s">
        <v>871</v>
      </c>
      <c r="G24" s="89" t="s">
        <v>2941</v>
      </c>
      <c r="H24" s="89">
        <v>45444</v>
      </c>
      <c r="I24" s="90">
        <f t="shared" si="1"/>
        <v>3</v>
      </c>
      <c r="J24" s="39" t="str">
        <f t="shared" si="2"/>
        <v>OLD</v>
      </c>
      <c r="K24" s="39">
        <v>2298</v>
      </c>
    </row>
    <row r="25" spans="2:11" x14ac:dyDescent="0.3">
      <c r="B25" s="73" t="s">
        <v>871</v>
      </c>
      <c r="C25" s="73" t="str">
        <f t="shared" si="0"/>
        <v>NAGEEN MEENA</v>
      </c>
      <c r="D25" s="40" t="s">
        <v>2393</v>
      </c>
      <c r="E25" s="73" t="s">
        <v>871</v>
      </c>
      <c r="F25" s="73" t="s">
        <v>871</v>
      </c>
      <c r="G25" s="91" t="s">
        <v>2942</v>
      </c>
      <c r="H25" s="89">
        <v>45444</v>
      </c>
      <c r="I25" s="90">
        <f t="shared" si="1"/>
        <v>1</v>
      </c>
      <c r="J25" s="39" t="str">
        <f t="shared" si="2"/>
        <v>NEW</v>
      </c>
      <c r="K25" s="39" t="s">
        <v>889</v>
      </c>
    </row>
    <row r="26" spans="2:11" x14ac:dyDescent="0.3">
      <c r="B26" s="73" t="s">
        <v>871</v>
      </c>
      <c r="C26" s="73" t="str">
        <f t="shared" si="0"/>
        <v>YOGESH RATHOD</v>
      </c>
      <c r="D26" s="40" t="s">
        <v>2778</v>
      </c>
      <c r="E26" s="73" t="s">
        <v>871</v>
      </c>
      <c r="F26" s="73" t="s">
        <v>871</v>
      </c>
      <c r="G26" s="91" t="s">
        <v>2943</v>
      </c>
      <c r="H26" s="89">
        <v>45444</v>
      </c>
      <c r="I26" s="90">
        <v>0</v>
      </c>
      <c r="J26" s="39" t="str">
        <f t="shared" si="2"/>
        <v>NEW</v>
      </c>
      <c r="K26" s="39" t="s">
        <v>3085</v>
      </c>
    </row>
    <row r="27" spans="2:11" x14ac:dyDescent="0.3">
      <c r="B27" s="73" t="s">
        <v>871</v>
      </c>
      <c r="C27" s="73" t="str">
        <f t="shared" si="0"/>
        <v>SANJAY GAUTAM</v>
      </c>
      <c r="D27" s="40" t="s">
        <v>2315</v>
      </c>
      <c r="E27" s="73" t="s">
        <v>871</v>
      </c>
      <c r="F27" s="73" t="s">
        <v>871</v>
      </c>
      <c r="G27" s="91" t="s">
        <v>2944</v>
      </c>
      <c r="H27" s="89">
        <v>45444</v>
      </c>
      <c r="I27" s="90">
        <f t="shared" ref="I27:I70" si="3">+DATEDIF(G27,H27,"M")</f>
        <v>19</v>
      </c>
      <c r="J27" s="39" t="str">
        <f t="shared" si="2"/>
        <v>OLD</v>
      </c>
      <c r="K27" s="39" t="s">
        <v>3086</v>
      </c>
    </row>
    <row r="28" spans="2:11" x14ac:dyDescent="0.3">
      <c r="B28" s="73" t="s">
        <v>2269</v>
      </c>
      <c r="C28" s="73" t="str">
        <f t="shared" si="0"/>
        <v>AADITYA SOHNI</v>
      </c>
      <c r="D28" s="40" t="s">
        <v>2859</v>
      </c>
      <c r="E28" s="73" t="s">
        <v>2269</v>
      </c>
      <c r="F28" s="73" t="s">
        <v>2269</v>
      </c>
      <c r="G28" s="74" t="s">
        <v>2945</v>
      </c>
      <c r="H28" s="89">
        <v>45444</v>
      </c>
      <c r="I28" s="90">
        <f t="shared" si="3"/>
        <v>20</v>
      </c>
      <c r="J28" s="39" t="str">
        <f t="shared" si="2"/>
        <v>OLD</v>
      </c>
      <c r="K28" s="39" t="s">
        <v>3096</v>
      </c>
    </row>
    <row r="29" spans="2:11" x14ac:dyDescent="0.3">
      <c r="B29" s="73" t="s">
        <v>2269</v>
      </c>
      <c r="C29" s="73" t="str">
        <f t="shared" si="0"/>
        <v>PAWAN YADAV</v>
      </c>
      <c r="D29" s="40" t="s">
        <v>2856</v>
      </c>
      <c r="E29" s="73" t="s">
        <v>2269</v>
      </c>
      <c r="F29" s="73" t="s">
        <v>2269</v>
      </c>
      <c r="G29" s="91" t="s">
        <v>2946</v>
      </c>
      <c r="H29" s="89">
        <v>45444</v>
      </c>
      <c r="I29" s="90">
        <f t="shared" si="3"/>
        <v>10</v>
      </c>
      <c r="J29" s="39" t="str">
        <f t="shared" si="2"/>
        <v>OLD</v>
      </c>
      <c r="K29" s="39" t="s">
        <v>3097</v>
      </c>
    </row>
    <row r="30" spans="2:11" x14ac:dyDescent="0.3">
      <c r="B30" s="73" t="s">
        <v>2269</v>
      </c>
      <c r="C30" s="73" t="str">
        <f t="shared" si="0"/>
        <v>SACHIN VERMA</v>
      </c>
      <c r="D30" s="40" t="s">
        <v>2343</v>
      </c>
      <c r="E30" s="73" t="s">
        <v>2269</v>
      </c>
      <c r="F30" s="73" t="s">
        <v>2269</v>
      </c>
      <c r="G30" s="91" t="s">
        <v>2947</v>
      </c>
      <c r="H30" s="89">
        <v>45444</v>
      </c>
      <c r="I30" s="90">
        <f t="shared" si="3"/>
        <v>70</v>
      </c>
      <c r="J30" s="39" t="str">
        <f t="shared" si="2"/>
        <v>OLD</v>
      </c>
      <c r="K30" s="39" t="s">
        <v>3083</v>
      </c>
    </row>
    <row r="31" spans="2:11" x14ac:dyDescent="0.3">
      <c r="B31" s="73" t="s">
        <v>2269</v>
      </c>
      <c r="C31" s="73" t="str">
        <f t="shared" si="0"/>
        <v>VIRENDRA PATEL</v>
      </c>
      <c r="D31" s="40" t="s">
        <v>2272</v>
      </c>
      <c r="E31" s="73" t="s">
        <v>2269</v>
      </c>
      <c r="F31" s="73" t="s">
        <v>2269</v>
      </c>
      <c r="G31" s="91" t="s">
        <v>2948</v>
      </c>
      <c r="H31" s="89">
        <v>45444</v>
      </c>
      <c r="I31" s="90">
        <f t="shared" si="3"/>
        <v>13</v>
      </c>
      <c r="J31" s="39" t="str">
        <f t="shared" si="2"/>
        <v>OLD</v>
      </c>
      <c r="K31" s="39" t="s">
        <v>1297</v>
      </c>
    </row>
    <row r="32" spans="2:11" x14ac:dyDescent="0.3">
      <c r="B32" s="40" t="s">
        <v>2280</v>
      </c>
      <c r="C32" s="73" t="str">
        <f t="shared" si="0"/>
        <v>ABHISHEK TIWARI</v>
      </c>
      <c r="D32" s="40" t="s">
        <v>2831</v>
      </c>
      <c r="E32" s="40" t="s">
        <v>2280</v>
      </c>
      <c r="F32" s="73" t="s">
        <v>2877</v>
      </c>
      <c r="G32" s="91" t="s">
        <v>2949</v>
      </c>
      <c r="H32" s="89">
        <v>45444</v>
      </c>
      <c r="I32" s="90">
        <f t="shared" si="3"/>
        <v>5</v>
      </c>
      <c r="J32" s="39" t="str">
        <f t="shared" si="2"/>
        <v>OLD</v>
      </c>
      <c r="K32" s="39" t="s">
        <v>1274</v>
      </c>
    </row>
    <row r="33" spans="2:11" x14ac:dyDescent="0.3">
      <c r="B33" s="40" t="s">
        <v>2280</v>
      </c>
      <c r="C33" s="73" t="str">
        <f t="shared" si="0"/>
        <v>KRISHNA KASHYAP</v>
      </c>
      <c r="D33" s="40" t="s">
        <v>2279</v>
      </c>
      <c r="E33" s="40" t="s">
        <v>2280</v>
      </c>
      <c r="F33" s="73" t="s">
        <v>2877</v>
      </c>
      <c r="G33" s="91" t="s">
        <v>2950</v>
      </c>
      <c r="H33" s="89">
        <v>45444</v>
      </c>
      <c r="I33" s="90">
        <f t="shared" si="3"/>
        <v>77</v>
      </c>
      <c r="J33" s="39" t="str">
        <f t="shared" si="2"/>
        <v>OLD</v>
      </c>
      <c r="K33" s="39" t="s">
        <v>943</v>
      </c>
    </row>
    <row r="34" spans="2:11" x14ac:dyDescent="0.3">
      <c r="B34" s="40" t="s">
        <v>2280</v>
      </c>
      <c r="C34" s="73" t="str">
        <f t="shared" si="0"/>
        <v>MANGAL MURTI</v>
      </c>
      <c r="D34" s="40" t="s">
        <v>2857</v>
      </c>
      <c r="E34" s="40" t="s">
        <v>2280</v>
      </c>
      <c r="F34" s="73" t="s">
        <v>2877</v>
      </c>
      <c r="G34" s="91" t="s">
        <v>2951</v>
      </c>
      <c r="H34" s="89">
        <v>45444</v>
      </c>
      <c r="I34" s="90">
        <f t="shared" si="3"/>
        <v>12</v>
      </c>
      <c r="J34" s="39" t="str">
        <f t="shared" si="2"/>
        <v>OLD</v>
      </c>
      <c r="K34" s="39" t="s">
        <v>3076</v>
      </c>
    </row>
    <row r="35" spans="2:11" x14ac:dyDescent="0.3">
      <c r="B35" s="40" t="s">
        <v>2280</v>
      </c>
      <c r="C35" s="73" t="str">
        <f t="shared" si="0"/>
        <v>MRIDUL MANKANDAY</v>
      </c>
      <c r="D35" s="40" t="s">
        <v>2792</v>
      </c>
      <c r="E35" s="40" t="s">
        <v>2280</v>
      </c>
      <c r="F35" s="73" t="s">
        <v>2877</v>
      </c>
      <c r="G35" s="91" t="s">
        <v>2952</v>
      </c>
      <c r="H35" s="89">
        <v>45444</v>
      </c>
      <c r="I35" s="90">
        <f t="shared" si="3"/>
        <v>25</v>
      </c>
      <c r="J35" s="39" t="str">
        <f t="shared" si="2"/>
        <v>OLD</v>
      </c>
      <c r="K35" s="39" t="s">
        <v>1209</v>
      </c>
    </row>
    <row r="36" spans="2:11" x14ac:dyDescent="0.3">
      <c r="B36" s="40" t="s">
        <v>2280</v>
      </c>
      <c r="C36" s="73" t="str">
        <f t="shared" si="0"/>
        <v>RAJESH KUMAR</v>
      </c>
      <c r="D36" s="40" t="s">
        <v>2280</v>
      </c>
      <c r="E36" s="40" t="s">
        <v>2280</v>
      </c>
      <c r="F36" s="73" t="s">
        <v>2877</v>
      </c>
      <c r="G36" s="91" t="s">
        <v>2953</v>
      </c>
      <c r="H36" s="89">
        <v>45444</v>
      </c>
      <c r="I36" s="90">
        <f t="shared" si="3"/>
        <v>57</v>
      </c>
      <c r="J36" s="39" t="str">
        <f t="shared" si="2"/>
        <v>OLD</v>
      </c>
      <c r="K36" s="39" t="s">
        <v>879</v>
      </c>
    </row>
    <row r="37" spans="2:11" x14ac:dyDescent="0.3">
      <c r="B37" s="40" t="s">
        <v>2280</v>
      </c>
      <c r="C37" s="73" t="str">
        <f t="shared" si="0"/>
        <v>SANDEEP RAIKWAR</v>
      </c>
      <c r="D37" s="40" t="s">
        <v>2507</v>
      </c>
      <c r="E37" s="40" t="s">
        <v>2280</v>
      </c>
      <c r="F37" s="73" t="s">
        <v>2877</v>
      </c>
      <c r="G37" s="91" t="s">
        <v>2954</v>
      </c>
      <c r="H37" s="89">
        <v>45444</v>
      </c>
      <c r="I37" s="90">
        <f t="shared" si="3"/>
        <v>143</v>
      </c>
      <c r="J37" s="39" t="str">
        <f t="shared" si="2"/>
        <v>OLD</v>
      </c>
      <c r="K37" s="39" t="s">
        <v>1041</v>
      </c>
    </row>
    <row r="38" spans="2:11" x14ac:dyDescent="0.3">
      <c r="B38" s="40" t="s">
        <v>986</v>
      </c>
      <c r="C38" s="73" t="str">
        <f t="shared" si="0"/>
        <v>ABHISHEK UPADHYAY</v>
      </c>
      <c r="D38" s="40" t="s">
        <v>2463</v>
      </c>
      <c r="E38" s="40" t="s">
        <v>2463</v>
      </c>
      <c r="F38" s="73" t="s">
        <v>2879</v>
      </c>
      <c r="G38" s="74" t="s">
        <v>2955</v>
      </c>
      <c r="H38" s="89">
        <v>45444</v>
      </c>
      <c r="I38" s="90">
        <f t="shared" si="3"/>
        <v>83</v>
      </c>
      <c r="J38" s="39" t="str">
        <f t="shared" si="2"/>
        <v>OLD</v>
      </c>
      <c r="K38" s="39" t="s">
        <v>3060</v>
      </c>
    </row>
    <row r="39" spans="2:11" x14ac:dyDescent="0.3">
      <c r="B39" s="40" t="s">
        <v>986</v>
      </c>
      <c r="C39" s="73" t="str">
        <f t="shared" si="0"/>
        <v>ANKIT TIROLE</v>
      </c>
      <c r="D39" s="40" t="s">
        <v>2619</v>
      </c>
      <c r="E39" s="40" t="s">
        <v>2463</v>
      </c>
      <c r="F39" s="73" t="s">
        <v>2879</v>
      </c>
      <c r="G39" s="74" t="s">
        <v>2956</v>
      </c>
      <c r="H39" s="89">
        <v>45444</v>
      </c>
      <c r="I39" s="90">
        <f t="shared" si="3"/>
        <v>11</v>
      </c>
      <c r="J39" s="39" t="str">
        <f t="shared" si="2"/>
        <v>OLD</v>
      </c>
      <c r="K39" s="39" t="s">
        <v>3063</v>
      </c>
    </row>
    <row r="40" spans="2:11" x14ac:dyDescent="0.3">
      <c r="B40" s="40" t="s">
        <v>986</v>
      </c>
      <c r="C40" s="73" t="str">
        <f t="shared" si="0"/>
        <v>LAKHAN KANADE</v>
      </c>
      <c r="D40" s="40" t="s">
        <v>2815</v>
      </c>
      <c r="E40" s="40" t="s">
        <v>2463</v>
      </c>
      <c r="F40" s="73" t="s">
        <v>2879</v>
      </c>
      <c r="G40" s="91" t="s">
        <v>2957</v>
      </c>
      <c r="H40" s="89">
        <v>45444</v>
      </c>
      <c r="I40" s="90">
        <f t="shared" si="3"/>
        <v>33</v>
      </c>
      <c r="J40" s="39" t="str">
        <f t="shared" si="2"/>
        <v>OLD</v>
      </c>
      <c r="K40" s="39" t="s">
        <v>3075</v>
      </c>
    </row>
    <row r="41" spans="2:11" x14ac:dyDescent="0.3">
      <c r="B41" s="40" t="s">
        <v>986</v>
      </c>
      <c r="C41" s="73" t="str">
        <f t="shared" si="0"/>
        <v>MILAN MOURYA</v>
      </c>
      <c r="D41" s="40" t="s">
        <v>2416</v>
      </c>
      <c r="E41" s="40" t="s">
        <v>2463</v>
      </c>
      <c r="F41" s="73" t="s">
        <v>2879</v>
      </c>
      <c r="G41" s="91" t="s">
        <v>2958</v>
      </c>
      <c r="H41" s="89">
        <v>45444</v>
      </c>
      <c r="I41" s="90">
        <f t="shared" si="3"/>
        <v>47</v>
      </c>
      <c r="J41" s="39" t="str">
        <f t="shared" si="2"/>
        <v>OLD</v>
      </c>
      <c r="K41" s="39" t="s">
        <v>997</v>
      </c>
    </row>
    <row r="42" spans="2:11" x14ac:dyDescent="0.3">
      <c r="B42" s="40" t="s">
        <v>986</v>
      </c>
      <c r="C42" s="73" t="str">
        <f t="shared" si="0"/>
        <v>MUKESH DODE</v>
      </c>
      <c r="D42" s="40" t="s">
        <v>2672</v>
      </c>
      <c r="E42" s="40" t="s">
        <v>2463</v>
      </c>
      <c r="F42" s="73" t="s">
        <v>2879</v>
      </c>
      <c r="G42" s="91" t="s">
        <v>2926</v>
      </c>
      <c r="H42" s="89">
        <v>45444</v>
      </c>
      <c r="I42" s="90">
        <f t="shared" si="3"/>
        <v>92</v>
      </c>
      <c r="J42" s="39" t="str">
        <f t="shared" si="2"/>
        <v>OLD</v>
      </c>
      <c r="K42" s="39" t="s">
        <v>533</v>
      </c>
    </row>
    <row r="43" spans="2:11" x14ac:dyDescent="0.3">
      <c r="B43" s="40" t="s">
        <v>2252</v>
      </c>
      <c r="C43" s="73" t="str">
        <f t="shared" si="0"/>
        <v>AJAY MANDLOI</v>
      </c>
      <c r="D43" s="40" t="s">
        <v>2711</v>
      </c>
      <c r="E43" s="40" t="s">
        <v>2252</v>
      </c>
      <c r="F43" s="73" t="s">
        <v>2878</v>
      </c>
      <c r="G43" s="74" t="s">
        <v>2959</v>
      </c>
      <c r="H43" s="89">
        <v>45444</v>
      </c>
      <c r="I43" s="90">
        <f t="shared" si="3"/>
        <v>5</v>
      </c>
      <c r="J43" s="39" t="str">
        <f t="shared" si="2"/>
        <v>OLD</v>
      </c>
      <c r="K43" s="39" t="s">
        <v>3061</v>
      </c>
    </row>
    <row r="44" spans="2:11" x14ac:dyDescent="0.3">
      <c r="B44" s="40" t="s">
        <v>2862</v>
      </c>
      <c r="C44" s="73" t="str">
        <f t="shared" si="0"/>
        <v>HIMANSHU MOURYA</v>
      </c>
      <c r="D44" s="40" t="s">
        <v>2553</v>
      </c>
      <c r="E44" s="40" t="s">
        <v>2862</v>
      </c>
      <c r="F44" s="73" t="s">
        <v>2878</v>
      </c>
      <c r="G44" s="91" t="s">
        <v>2960</v>
      </c>
      <c r="H44" s="89">
        <v>45444</v>
      </c>
      <c r="I44" s="90">
        <f t="shared" si="3"/>
        <v>4</v>
      </c>
      <c r="J44" s="39" t="str">
        <f t="shared" si="2"/>
        <v>OLD</v>
      </c>
      <c r="K44" s="39" t="s">
        <v>3072</v>
      </c>
    </row>
    <row r="45" spans="2:11" x14ac:dyDescent="0.3">
      <c r="B45" s="40" t="s">
        <v>2862</v>
      </c>
      <c r="C45" s="73" t="str">
        <f t="shared" si="0"/>
        <v>RISHABH SONI</v>
      </c>
      <c r="D45" s="40" t="s">
        <v>2669</v>
      </c>
      <c r="E45" s="40" t="s">
        <v>2862</v>
      </c>
      <c r="F45" s="73" t="s">
        <v>2878</v>
      </c>
      <c r="G45" s="91" t="s">
        <v>2961</v>
      </c>
      <c r="H45" s="89">
        <v>45444</v>
      </c>
      <c r="I45" s="90">
        <f t="shared" si="3"/>
        <v>57</v>
      </c>
      <c r="J45" s="39" t="str">
        <f t="shared" si="2"/>
        <v>OLD</v>
      </c>
      <c r="K45" s="39" t="s">
        <v>3082</v>
      </c>
    </row>
    <row r="46" spans="2:11" x14ac:dyDescent="0.3">
      <c r="B46" s="40" t="s">
        <v>2252</v>
      </c>
      <c r="C46" s="73" t="str">
        <f t="shared" si="0"/>
        <v>HUKUM ARYA</v>
      </c>
      <c r="D46" s="40" t="s">
        <v>2252</v>
      </c>
      <c r="E46" s="92" t="s">
        <v>2252</v>
      </c>
      <c r="F46" s="73" t="s">
        <v>2874</v>
      </c>
      <c r="G46" s="91" t="s">
        <v>2962</v>
      </c>
      <c r="H46" s="89">
        <v>45444</v>
      </c>
      <c r="I46" s="90">
        <f t="shared" si="3"/>
        <v>109</v>
      </c>
      <c r="J46" s="39" t="str">
        <f t="shared" si="2"/>
        <v>OLD</v>
      </c>
      <c r="K46" s="39" t="s">
        <v>3074</v>
      </c>
    </row>
    <row r="47" spans="2:11" x14ac:dyDescent="0.3">
      <c r="B47" s="75" t="s">
        <v>2252</v>
      </c>
      <c r="C47" s="73" t="str">
        <f t="shared" si="0"/>
        <v>NARAYAN CHANDKE</v>
      </c>
      <c r="D47" s="75" t="s">
        <v>2566</v>
      </c>
      <c r="E47" s="92" t="s">
        <v>2252</v>
      </c>
      <c r="F47" s="73" t="s">
        <v>2874</v>
      </c>
      <c r="G47" s="91" t="s">
        <v>2963</v>
      </c>
      <c r="H47" s="89">
        <v>45444</v>
      </c>
      <c r="I47" s="90">
        <f t="shared" si="3"/>
        <v>14</v>
      </c>
      <c r="J47" s="39" t="str">
        <f t="shared" si="2"/>
        <v>OLD</v>
      </c>
      <c r="K47" s="39" t="s">
        <v>3077</v>
      </c>
    </row>
    <row r="48" spans="2:11" x14ac:dyDescent="0.3">
      <c r="B48" s="40" t="s">
        <v>2299</v>
      </c>
      <c r="C48" s="73" t="str">
        <f t="shared" si="0"/>
        <v>SACHIN YADAV</v>
      </c>
      <c r="D48" s="40" t="s">
        <v>1391</v>
      </c>
      <c r="E48" s="40" t="s">
        <v>2299</v>
      </c>
      <c r="F48" s="73" t="s">
        <v>2875</v>
      </c>
      <c r="G48" s="74" t="s">
        <v>2964</v>
      </c>
      <c r="H48" s="89">
        <v>45444</v>
      </c>
      <c r="I48" s="90">
        <f t="shared" si="3"/>
        <v>22</v>
      </c>
      <c r="J48" s="39" t="str">
        <f t="shared" si="2"/>
        <v>OLD</v>
      </c>
      <c r="K48" s="39" t="s">
        <v>3084</v>
      </c>
    </row>
    <row r="49" spans="2:11" x14ac:dyDescent="0.3">
      <c r="B49" s="75" t="s">
        <v>2862</v>
      </c>
      <c r="C49" s="73" t="str">
        <f t="shared" si="0"/>
        <v>RAJ KOCHALE</v>
      </c>
      <c r="D49" s="75" t="s">
        <v>2648</v>
      </c>
      <c r="E49" s="40" t="s">
        <v>2862</v>
      </c>
      <c r="F49" s="73" t="s">
        <v>2874</v>
      </c>
      <c r="G49" s="91" t="s">
        <v>2965</v>
      </c>
      <c r="H49" s="89">
        <v>45444</v>
      </c>
      <c r="I49" s="90">
        <f t="shared" si="3"/>
        <v>8</v>
      </c>
      <c r="J49" s="39" t="str">
        <f t="shared" si="2"/>
        <v>OLD</v>
      </c>
      <c r="K49" s="39" t="s">
        <v>3080</v>
      </c>
    </row>
    <row r="50" spans="2:11" x14ac:dyDescent="0.3">
      <c r="B50" s="40" t="s">
        <v>2252</v>
      </c>
      <c r="C50" s="73" t="str">
        <f t="shared" si="0"/>
        <v>VIKASH KUSHWAH</v>
      </c>
      <c r="D50" s="40" t="s">
        <v>2594</v>
      </c>
      <c r="E50" s="40" t="s">
        <v>2252</v>
      </c>
      <c r="F50" s="73" t="s">
        <v>2874</v>
      </c>
      <c r="G50" s="91" t="s">
        <v>2966</v>
      </c>
      <c r="H50" s="89">
        <v>45444</v>
      </c>
      <c r="I50" s="90">
        <f t="shared" si="3"/>
        <v>10</v>
      </c>
      <c r="J50" s="39" t="str">
        <f t="shared" si="2"/>
        <v>OLD</v>
      </c>
      <c r="K50" s="39" t="s">
        <v>3093</v>
      </c>
    </row>
    <row r="51" spans="2:11" x14ac:dyDescent="0.3">
      <c r="B51" s="40" t="s">
        <v>2299</v>
      </c>
      <c r="C51" s="73" t="str">
        <f t="shared" si="0"/>
        <v>ARVIND YADAV</v>
      </c>
      <c r="D51" s="40" t="s">
        <v>2563</v>
      </c>
      <c r="E51" s="40" t="s">
        <v>2299</v>
      </c>
      <c r="F51" s="73" t="s">
        <v>2875</v>
      </c>
      <c r="G51" s="74" t="s">
        <v>2924</v>
      </c>
      <c r="H51" s="89">
        <v>45444</v>
      </c>
      <c r="I51" s="90">
        <f t="shared" si="3"/>
        <v>84</v>
      </c>
      <c r="J51" s="39" t="str">
        <f t="shared" si="2"/>
        <v>OLD</v>
      </c>
      <c r="K51" s="39" t="s">
        <v>3066</v>
      </c>
    </row>
    <row r="52" spans="2:11" x14ac:dyDescent="0.3">
      <c r="B52" s="40" t="s">
        <v>2299</v>
      </c>
      <c r="C52" s="73" t="str">
        <f t="shared" si="0"/>
        <v>HIMANSHU YADAV</v>
      </c>
      <c r="D52" s="40" t="s">
        <v>2446</v>
      </c>
      <c r="E52" s="40" t="s">
        <v>2299</v>
      </c>
      <c r="F52" s="73" t="s">
        <v>2875</v>
      </c>
      <c r="G52" s="91" t="s">
        <v>2967</v>
      </c>
      <c r="H52" s="89">
        <v>45444</v>
      </c>
      <c r="I52" s="90">
        <f t="shared" si="3"/>
        <v>58</v>
      </c>
      <c r="J52" s="39" t="str">
        <f t="shared" si="2"/>
        <v>OLD</v>
      </c>
      <c r="K52" s="39" t="s">
        <v>3073</v>
      </c>
    </row>
    <row r="53" spans="2:11" x14ac:dyDescent="0.3">
      <c r="B53" s="40" t="s">
        <v>2299</v>
      </c>
      <c r="C53" s="73" t="s">
        <v>2968</v>
      </c>
      <c r="D53" s="40" t="s">
        <v>2354</v>
      </c>
      <c r="E53" s="40" t="s">
        <v>2299</v>
      </c>
      <c r="F53" s="73" t="s">
        <v>2875</v>
      </c>
      <c r="G53" s="91" t="s">
        <v>2969</v>
      </c>
      <c r="H53" s="89">
        <v>45444</v>
      </c>
      <c r="I53" s="90">
        <f t="shared" si="3"/>
        <v>33</v>
      </c>
      <c r="J53" s="39" t="str">
        <f t="shared" si="2"/>
        <v>OLD</v>
      </c>
      <c r="K53" s="39" t="s">
        <v>3087</v>
      </c>
    </row>
    <row r="54" spans="2:11" x14ac:dyDescent="0.3">
      <c r="B54" s="40" t="s">
        <v>2299</v>
      </c>
      <c r="C54" s="73" t="str">
        <f t="shared" ref="C54:C77" si="4">+TRIM(D54)</f>
        <v>SOURABH YADAV</v>
      </c>
      <c r="D54" s="40" t="s">
        <v>2299</v>
      </c>
      <c r="E54" s="40" t="s">
        <v>2299</v>
      </c>
      <c r="F54" s="73" t="s">
        <v>2875</v>
      </c>
      <c r="G54" s="91" t="s">
        <v>2970</v>
      </c>
      <c r="H54" s="89">
        <v>45444</v>
      </c>
      <c r="I54" s="90">
        <f t="shared" si="3"/>
        <v>82</v>
      </c>
      <c r="J54" s="39" t="str">
        <f t="shared" si="2"/>
        <v>OLD</v>
      </c>
      <c r="K54" s="39" t="s">
        <v>3090</v>
      </c>
    </row>
    <row r="55" spans="2:11" x14ac:dyDescent="0.3">
      <c r="B55" s="40" t="s">
        <v>2539</v>
      </c>
      <c r="C55" s="73" t="str">
        <f t="shared" si="4"/>
        <v>GURPREET BHATIYA</v>
      </c>
      <c r="D55" s="40" t="s">
        <v>2470</v>
      </c>
      <c r="E55" s="40" t="s">
        <v>2539</v>
      </c>
      <c r="F55" s="73" t="s">
        <v>1844</v>
      </c>
      <c r="G55" s="91" t="s">
        <v>2971</v>
      </c>
      <c r="H55" s="89">
        <v>45444</v>
      </c>
      <c r="I55" s="90">
        <f t="shared" si="3"/>
        <v>90</v>
      </c>
      <c r="J55" s="39" t="str">
        <f t="shared" si="2"/>
        <v>OLD</v>
      </c>
      <c r="K55" s="39" t="s">
        <v>1904</v>
      </c>
    </row>
    <row r="56" spans="2:11" x14ac:dyDescent="0.3">
      <c r="B56" s="40" t="s">
        <v>2539</v>
      </c>
      <c r="C56" s="73" t="str">
        <f t="shared" si="4"/>
        <v>PANKAJ PANWAR</v>
      </c>
      <c r="D56" s="40" t="s">
        <v>2431</v>
      </c>
      <c r="E56" s="40" t="s">
        <v>2539</v>
      </c>
      <c r="F56" s="73" t="s">
        <v>1844</v>
      </c>
      <c r="G56" s="91" t="s">
        <v>2972</v>
      </c>
      <c r="H56" s="89">
        <v>45444</v>
      </c>
      <c r="I56" s="90">
        <f t="shared" si="3"/>
        <v>24</v>
      </c>
      <c r="J56" s="39" t="str">
        <f t="shared" si="2"/>
        <v>OLD</v>
      </c>
      <c r="K56" s="39" t="s">
        <v>1893</v>
      </c>
    </row>
    <row r="57" spans="2:11" x14ac:dyDescent="0.3">
      <c r="B57" s="40" t="s">
        <v>2539</v>
      </c>
      <c r="C57" s="73" t="str">
        <f t="shared" si="4"/>
        <v>RAVI VERMA</v>
      </c>
      <c r="D57" s="40" t="s">
        <v>2539</v>
      </c>
      <c r="E57" s="40" t="s">
        <v>2539</v>
      </c>
      <c r="F57" s="73" t="s">
        <v>1844</v>
      </c>
      <c r="G57" s="91" t="s">
        <v>2931</v>
      </c>
      <c r="H57" s="89">
        <v>45444</v>
      </c>
      <c r="I57" s="90">
        <f t="shared" si="3"/>
        <v>101</v>
      </c>
      <c r="J57" s="39" t="str">
        <f t="shared" si="2"/>
        <v>OLD</v>
      </c>
      <c r="K57" s="39" t="s">
        <v>3070</v>
      </c>
    </row>
    <row r="58" spans="2:11" x14ac:dyDescent="0.3">
      <c r="B58" s="40" t="s">
        <v>2523</v>
      </c>
      <c r="C58" s="73" t="str">
        <f t="shared" si="4"/>
        <v>DEEPAK AISHIKAR</v>
      </c>
      <c r="D58" s="40" t="s">
        <v>2860</v>
      </c>
      <c r="E58" s="40" t="s">
        <v>2767</v>
      </c>
      <c r="F58" s="73" t="s">
        <v>2521</v>
      </c>
      <c r="G58" s="74" t="s">
        <v>2973</v>
      </c>
      <c r="H58" s="89">
        <v>45444</v>
      </c>
      <c r="I58" s="90">
        <f t="shared" si="3"/>
        <v>13</v>
      </c>
      <c r="J58" s="39" t="str">
        <f t="shared" si="2"/>
        <v>OLD</v>
      </c>
      <c r="K58" s="39" t="s">
        <v>3068</v>
      </c>
    </row>
    <row r="59" spans="2:11" x14ac:dyDescent="0.3">
      <c r="B59" s="40" t="s">
        <v>2523</v>
      </c>
      <c r="C59" s="73" t="str">
        <f t="shared" si="4"/>
        <v>ROHIT SAWLE</v>
      </c>
      <c r="D59" s="40" t="s">
        <v>2767</v>
      </c>
      <c r="E59" s="40" t="s">
        <v>2767</v>
      </c>
      <c r="F59" s="73" t="s">
        <v>2521</v>
      </c>
      <c r="G59" s="91" t="s">
        <v>2974</v>
      </c>
      <c r="H59" s="89">
        <v>45444</v>
      </c>
      <c r="I59" s="90">
        <f t="shared" si="3"/>
        <v>33</v>
      </c>
      <c r="J59" s="39" t="str">
        <f t="shared" si="2"/>
        <v>OLD</v>
      </c>
      <c r="K59" s="39" t="s">
        <v>1749</v>
      </c>
    </row>
    <row r="60" spans="2:11" x14ac:dyDescent="0.3">
      <c r="B60" s="40" t="s">
        <v>2767</v>
      </c>
      <c r="C60" s="73" t="str">
        <f t="shared" si="4"/>
        <v>RAVINDRA SONIS</v>
      </c>
      <c r="D60" s="40" t="s">
        <v>2522</v>
      </c>
      <c r="E60" s="40" t="s">
        <v>2767</v>
      </c>
      <c r="F60" s="73" t="s">
        <v>2521</v>
      </c>
      <c r="G60" s="91" t="s">
        <v>2975</v>
      </c>
      <c r="H60" s="89">
        <v>45444</v>
      </c>
      <c r="I60" s="90">
        <f t="shared" si="3"/>
        <v>2</v>
      </c>
      <c r="J60" s="39" t="str">
        <f t="shared" si="2"/>
        <v>NEW</v>
      </c>
      <c r="K60" s="39" t="s">
        <v>3088</v>
      </c>
    </row>
    <row r="61" spans="2:11" x14ac:dyDescent="0.3">
      <c r="B61" s="40" t="s">
        <v>2523</v>
      </c>
      <c r="C61" s="73" t="str">
        <f t="shared" si="4"/>
        <v>SHUBHAM SONI</v>
      </c>
      <c r="D61" s="40" t="s">
        <v>2854</v>
      </c>
      <c r="E61" s="40" t="s">
        <v>2767</v>
      </c>
      <c r="F61" s="73" t="s">
        <v>2521</v>
      </c>
      <c r="G61" s="91" t="s">
        <v>2976</v>
      </c>
      <c r="H61" s="89">
        <v>45444</v>
      </c>
      <c r="I61" s="90">
        <f t="shared" si="3"/>
        <v>8</v>
      </c>
      <c r="J61" s="39" t="str">
        <f t="shared" si="2"/>
        <v>OLD</v>
      </c>
      <c r="K61" s="39" t="s">
        <v>3089</v>
      </c>
    </row>
    <row r="62" spans="2:11" x14ac:dyDescent="0.3">
      <c r="B62" s="40" t="s">
        <v>2586</v>
      </c>
      <c r="C62" s="73" t="str">
        <f t="shared" si="4"/>
        <v>DEEPAK GUPTA</v>
      </c>
      <c r="D62" s="40" t="s">
        <v>2858</v>
      </c>
      <c r="E62" s="40" t="s">
        <v>2586</v>
      </c>
      <c r="F62" s="73" t="s">
        <v>1744</v>
      </c>
      <c r="G62" s="91" t="s">
        <v>2977</v>
      </c>
      <c r="H62" s="89">
        <v>45444</v>
      </c>
      <c r="I62" s="90">
        <f t="shared" si="3"/>
        <v>34</v>
      </c>
      <c r="J62" s="39" t="str">
        <f t="shared" si="2"/>
        <v>OLD</v>
      </c>
      <c r="K62" s="39" t="s">
        <v>3069</v>
      </c>
    </row>
    <row r="63" spans="2:11" x14ac:dyDescent="0.3">
      <c r="B63" s="40" t="s">
        <v>2586</v>
      </c>
      <c r="C63" s="73" t="str">
        <f t="shared" si="4"/>
        <v>IMRAN MANSURI</v>
      </c>
      <c r="D63" s="40" t="s">
        <v>2586</v>
      </c>
      <c r="E63" s="40" t="s">
        <v>2586</v>
      </c>
      <c r="F63" s="73" t="s">
        <v>1744</v>
      </c>
      <c r="G63" s="91" t="s">
        <v>2978</v>
      </c>
      <c r="H63" s="89">
        <v>45444</v>
      </c>
      <c r="I63" s="90">
        <f t="shared" si="3"/>
        <v>63</v>
      </c>
      <c r="J63" s="39" t="str">
        <f t="shared" si="2"/>
        <v>OLD</v>
      </c>
      <c r="K63" s="39" t="s">
        <v>1857</v>
      </c>
    </row>
    <row r="64" spans="2:11" x14ac:dyDescent="0.3">
      <c r="B64" s="40" t="s">
        <v>2252</v>
      </c>
      <c r="C64" s="73" t="str">
        <f t="shared" si="4"/>
        <v>SURENDRA MANDLOI</v>
      </c>
      <c r="D64" s="40" t="s">
        <v>1309</v>
      </c>
      <c r="E64" s="40" t="s">
        <v>2252</v>
      </c>
      <c r="F64" s="73" t="s">
        <v>2874</v>
      </c>
      <c r="G64" s="74" t="s">
        <v>2979</v>
      </c>
      <c r="H64" s="89">
        <v>45444</v>
      </c>
      <c r="I64" s="90">
        <f t="shared" si="3"/>
        <v>40</v>
      </c>
      <c r="J64" s="39" t="str">
        <f t="shared" si="2"/>
        <v>OLD</v>
      </c>
      <c r="K64" s="39" t="s">
        <v>3092</v>
      </c>
    </row>
    <row r="65" spans="2:11" x14ac:dyDescent="0.3">
      <c r="B65" s="40" t="s">
        <v>2586</v>
      </c>
      <c r="C65" s="73" t="str">
        <f t="shared" si="4"/>
        <v>ROSHNI GUPTA</v>
      </c>
      <c r="D65" s="40" t="s">
        <v>2359</v>
      </c>
      <c r="E65" s="40" t="s">
        <v>2586</v>
      </c>
      <c r="F65" s="73" t="s">
        <v>1744</v>
      </c>
      <c r="G65" s="91" t="s">
        <v>2980</v>
      </c>
      <c r="H65" s="89">
        <v>45444</v>
      </c>
      <c r="I65" s="90">
        <f t="shared" si="3"/>
        <v>21</v>
      </c>
      <c r="J65" s="39" t="str">
        <f t="shared" si="2"/>
        <v>OLD</v>
      </c>
      <c r="K65" s="39" t="s">
        <v>2021</v>
      </c>
    </row>
    <row r="66" spans="2:11" x14ac:dyDescent="0.3">
      <c r="B66" s="40" t="s">
        <v>2586</v>
      </c>
      <c r="C66" s="73" t="str">
        <f t="shared" si="4"/>
        <v>SAMROJ SHEIKH</v>
      </c>
      <c r="D66" s="40" t="s">
        <v>2307</v>
      </c>
      <c r="E66" s="40" t="s">
        <v>2586</v>
      </c>
      <c r="F66" s="73" t="s">
        <v>1744</v>
      </c>
      <c r="G66" s="91" t="s">
        <v>2981</v>
      </c>
      <c r="H66" s="89">
        <v>45444</v>
      </c>
      <c r="I66" s="90">
        <f t="shared" si="3"/>
        <v>71</v>
      </c>
      <c r="J66" s="39" t="str">
        <f t="shared" si="2"/>
        <v>OLD</v>
      </c>
      <c r="K66" s="39" t="s">
        <v>1855</v>
      </c>
    </row>
    <row r="67" spans="2:11" x14ac:dyDescent="0.3">
      <c r="B67" s="40" t="s">
        <v>2286</v>
      </c>
      <c r="C67" s="73" t="str">
        <f t="shared" si="4"/>
        <v>AMIT SONI</v>
      </c>
      <c r="D67" s="40" t="s">
        <v>2475</v>
      </c>
      <c r="E67" s="40" t="s">
        <v>2286</v>
      </c>
      <c r="F67" s="73" t="s">
        <v>2283</v>
      </c>
      <c r="G67" s="74" t="s">
        <v>2982</v>
      </c>
      <c r="H67" s="89">
        <v>45444</v>
      </c>
      <c r="I67" s="90">
        <f t="shared" si="3"/>
        <v>9</v>
      </c>
      <c r="J67" s="39" t="str">
        <f t="shared" si="2"/>
        <v>OLD</v>
      </c>
      <c r="K67" s="39" t="s">
        <v>3062</v>
      </c>
    </row>
    <row r="68" spans="2:11" x14ac:dyDescent="0.3">
      <c r="B68" s="40" t="s">
        <v>2286</v>
      </c>
      <c r="C68" s="73" t="str">
        <f t="shared" si="4"/>
        <v>NATWAR PATIDAR</v>
      </c>
      <c r="D68" s="40" t="s">
        <v>2286</v>
      </c>
      <c r="E68" s="40" t="s">
        <v>2286</v>
      </c>
      <c r="F68" s="73" t="s">
        <v>2283</v>
      </c>
      <c r="G68" s="91" t="s">
        <v>2983</v>
      </c>
      <c r="H68" s="89">
        <v>45444</v>
      </c>
      <c r="I68" s="90">
        <f t="shared" si="3"/>
        <v>9</v>
      </c>
      <c r="J68" s="39" t="str">
        <f t="shared" ref="J68:J72" si="5">+IF(I68&gt;=3,"OLD","NEW")</f>
        <v>OLD</v>
      </c>
      <c r="K68" s="39" t="s">
        <v>3078</v>
      </c>
    </row>
    <row r="69" spans="2:11" x14ac:dyDescent="0.3">
      <c r="B69" s="40" t="s">
        <v>2286</v>
      </c>
      <c r="C69" s="73" t="str">
        <f t="shared" si="4"/>
        <v>SHRIKANT YADAV</v>
      </c>
      <c r="D69" s="40" t="s">
        <v>2420</v>
      </c>
      <c r="E69" s="40" t="s">
        <v>2286</v>
      </c>
      <c r="F69" s="73" t="s">
        <v>2283</v>
      </c>
      <c r="G69" s="91" t="s">
        <v>2984</v>
      </c>
      <c r="H69" s="89">
        <v>45444</v>
      </c>
      <c r="I69" s="90">
        <f t="shared" si="3"/>
        <v>43</v>
      </c>
      <c r="J69" s="39" t="str">
        <f t="shared" si="5"/>
        <v>OLD</v>
      </c>
      <c r="K69" s="39" t="s">
        <v>1879</v>
      </c>
    </row>
    <row r="70" spans="2:11" x14ac:dyDescent="0.3">
      <c r="B70" s="40" t="s">
        <v>2286</v>
      </c>
      <c r="C70" s="73" t="str">
        <f t="shared" si="4"/>
        <v>WASIM KHAN</v>
      </c>
      <c r="D70" s="40" t="s">
        <v>2292</v>
      </c>
      <c r="E70" s="40" t="s">
        <v>2286</v>
      </c>
      <c r="F70" s="73" t="s">
        <v>2283</v>
      </c>
      <c r="G70" s="91" t="s">
        <v>2985</v>
      </c>
      <c r="H70" s="89">
        <v>45444</v>
      </c>
      <c r="I70" s="90">
        <f t="shared" si="3"/>
        <v>11</v>
      </c>
      <c r="J70" s="39" t="str">
        <f t="shared" si="5"/>
        <v>OLD</v>
      </c>
      <c r="K70" s="39" t="s">
        <v>3094</v>
      </c>
    </row>
    <row r="71" spans="2:11" x14ac:dyDescent="0.3">
      <c r="B71" s="40" t="s">
        <v>2432</v>
      </c>
      <c r="C71" s="73" t="str">
        <f t="shared" si="4"/>
        <v>ASHISH LAAD</v>
      </c>
      <c r="D71" s="40" t="s">
        <v>2432</v>
      </c>
      <c r="E71" s="40" t="s">
        <v>2432</v>
      </c>
      <c r="F71" s="73" t="s">
        <v>1844</v>
      </c>
      <c r="G71" s="91" t="s">
        <v>3002</v>
      </c>
      <c r="H71" s="89">
        <v>45444</v>
      </c>
      <c r="I71" s="90">
        <f t="shared" ref="I71:I77" si="6">+DATEDIF(G71,H71,"M")</f>
        <v>184</v>
      </c>
      <c r="J71" s="39" t="str">
        <f t="shared" si="5"/>
        <v>OLD</v>
      </c>
      <c r="K71" s="39" t="s">
        <v>1786</v>
      </c>
    </row>
    <row r="72" spans="2:11" x14ac:dyDescent="0.3">
      <c r="B72" s="40" t="s">
        <v>2312</v>
      </c>
      <c r="C72" s="73" t="str">
        <f t="shared" si="4"/>
        <v>NITIN MEHTA</v>
      </c>
      <c r="D72" s="40" t="s">
        <v>2312</v>
      </c>
      <c r="E72" s="40" t="s">
        <v>2312</v>
      </c>
      <c r="F72" s="73" t="s">
        <v>393</v>
      </c>
      <c r="G72" s="91" t="s">
        <v>2931</v>
      </c>
      <c r="H72" s="89">
        <v>45444</v>
      </c>
      <c r="I72" s="90">
        <f t="shared" si="6"/>
        <v>101</v>
      </c>
      <c r="J72" s="39" t="str">
        <f t="shared" si="5"/>
        <v>OLD</v>
      </c>
      <c r="K72" s="39" t="s">
        <v>383</v>
      </c>
    </row>
    <row r="73" spans="2:11" x14ac:dyDescent="0.3">
      <c r="B73" s="75" t="s">
        <v>2862</v>
      </c>
      <c r="C73" s="73" t="str">
        <f t="shared" si="4"/>
        <v>ANJALI YADAV</v>
      </c>
      <c r="D73" s="40" t="s">
        <v>2582</v>
      </c>
      <c r="E73" s="40" t="s">
        <v>2862</v>
      </c>
      <c r="F73" s="73" t="s">
        <v>2878</v>
      </c>
      <c r="G73" s="91" t="s">
        <v>3003</v>
      </c>
      <c r="H73" s="89">
        <v>45444</v>
      </c>
      <c r="I73" s="90">
        <f t="shared" si="6"/>
        <v>1</v>
      </c>
      <c r="J73" s="39" t="str">
        <f t="shared" ref="J73" si="7">+IF(I73&gt;=3,"OLD","NEW")</f>
        <v>NEW</v>
      </c>
      <c r="K73" s="39">
        <v>2231</v>
      </c>
    </row>
    <row r="74" spans="2:11" x14ac:dyDescent="0.3">
      <c r="B74" s="75" t="s">
        <v>2862</v>
      </c>
      <c r="C74" s="73" t="str">
        <f t="shared" si="4"/>
        <v>NIRAJ YADAV</v>
      </c>
      <c r="D74" s="40" t="s">
        <v>2995</v>
      </c>
      <c r="E74" s="40" t="s">
        <v>2862</v>
      </c>
      <c r="F74" s="73" t="s">
        <v>2878</v>
      </c>
      <c r="G74" s="135" t="s">
        <v>3004</v>
      </c>
      <c r="H74" s="135" t="s">
        <v>3004</v>
      </c>
      <c r="I74" s="90">
        <f t="shared" si="6"/>
        <v>0</v>
      </c>
      <c r="J74" s="39" t="s">
        <v>3005</v>
      </c>
      <c r="K74" s="39">
        <v>2350</v>
      </c>
    </row>
    <row r="75" spans="2:11" x14ac:dyDescent="0.3">
      <c r="B75" s="75" t="s">
        <v>2862</v>
      </c>
      <c r="C75" s="73" t="str">
        <f t="shared" si="4"/>
        <v>VIKAS PATEL</v>
      </c>
      <c r="D75" s="40" t="s">
        <v>2996</v>
      </c>
      <c r="E75" s="40" t="s">
        <v>2862</v>
      </c>
      <c r="F75" s="73" t="s">
        <v>2878</v>
      </c>
      <c r="G75" s="135" t="s">
        <v>3004</v>
      </c>
      <c r="H75" s="135" t="s">
        <v>3004</v>
      </c>
      <c r="I75" s="90">
        <f t="shared" si="6"/>
        <v>0</v>
      </c>
      <c r="J75" s="39" t="s">
        <v>3005</v>
      </c>
      <c r="K75" s="39">
        <v>2347</v>
      </c>
    </row>
    <row r="76" spans="2:11" x14ac:dyDescent="0.3">
      <c r="B76" s="75" t="s">
        <v>2862</v>
      </c>
      <c r="C76" s="73" t="str">
        <f t="shared" si="4"/>
        <v>PRAKASH SEN</v>
      </c>
      <c r="D76" s="40" t="s">
        <v>2997</v>
      </c>
      <c r="E76" s="40" t="s">
        <v>2862</v>
      </c>
      <c r="F76" s="73" t="s">
        <v>2878</v>
      </c>
      <c r="G76" s="135" t="s">
        <v>3004</v>
      </c>
      <c r="H76" s="135" t="s">
        <v>3004</v>
      </c>
      <c r="I76" s="97">
        <f t="shared" si="6"/>
        <v>0</v>
      </c>
      <c r="J76" s="39" t="s">
        <v>3005</v>
      </c>
      <c r="K76" s="39">
        <v>2349</v>
      </c>
    </row>
    <row r="77" spans="2:11" x14ac:dyDescent="0.3">
      <c r="B77" s="40" t="s">
        <v>2286</v>
      </c>
      <c r="C77" s="73" t="str">
        <f t="shared" si="4"/>
        <v>ATISH MOYE</v>
      </c>
      <c r="D77" s="40" t="s">
        <v>2820</v>
      </c>
      <c r="E77" s="40" t="s">
        <v>2286</v>
      </c>
      <c r="F77" s="73" t="s">
        <v>2283</v>
      </c>
      <c r="G77" s="135" t="s">
        <v>3006</v>
      </c>
      <c r="H77" s="136">
        <v>45444</v>
      </c>
      <c r="I77" s="90">
        <f t="shared" si="6"/>
        <v>0</v>
      </c>
      <c r="J77" s="39" t="s">
        <v>3005</v>
      </c>
      <c r="K77" s="39" t="s">
        <v>2155</v>
      </c>
    </row>
  </sheetData>
  <autoFilter ref="B2:S77" xr:uid="{00000000-0009-0000-0000-000006000000}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M186"/>
  <sheetViews>
    <sheetView workbookViewId="0">
      <selection activeCell="D2" sqref="D2"/>
    </sheetView>
  </sheetViews>
  <sheetFormatPr defaultRowHeight="14.4" x14ac:dyDescent="0.3"/>
  <cols>
    <col min="1" max="1" width="8.6640625" bestFit="1" customWidth="1"/>
    <col min="2" max="2" width="4.88671875" bestFit="1" customWidth="1"/>
    <col min="3" max="4" width="30" bestFit="1" customWidth="1"/>
    <col min="5" max="5" width="48" bestFit="1" customWidth="1"/>
    <col min="6" max="6" width="13.6640625" bestFit="1" customWidth="1"/>
    <col min="7" max="7" width="23.109375" bestFit="1" customWidth="1"/>
    <col min="8" max="8" width="15.6640625" bestFit="1" customWidth="1"/>
    <col min="9" max="9" width="19.109375" bestFit="1" customWidth="1"/>
    <col min="10" max="10" width="17.44140625" bestFit="1" customWidth="1"/>
    <col min="11" max="11" width="8.6640625" bestFit="1" customWidth="1"/>
    <col min="12" max="12" width="15.109375" bestFit="1" customWidth="1"/>
    <col min="13" max="13" width="8.109375" bestFit="1" customWidth="1"/>
    <col min="14" max="14" width="12.44140625" bestFit="1" customWidth="1"/>
    <col min="15" max="15" width="18.6640625" bestFit="1" customWidth="1"/>
    <col min="16" max="16" width="17.44140625" bestFit="1" customWidth="1"/>
    <col min="17" max="18" width="15.5546875" bestFit="1" customWidth="1"/>
    <col min="19" max="19" width="23.109375" bestFit="1" customWidth="1"/>
    <col min="20" max="20" width="15.5546875" bestFit="1" customWidth="1"/>
    <col min="21" max="21" width="17.44140625" bestFit="1" customWidth="1"/>
    <col min="22" max="22" width="18" bestFit="1" customWidth="1"/>
    <col min="23" max="23" width="21.88671875" bestFit="1" customWidth="1"/>
    <col min="24" max="24" width="7.33203125" bestFit="1" customWidth="1"/>
    <col min="25" max="25" width="18" bestFit="1" customWidth="1"/>
    <col min="26" max="26" width="15.6640625" bestFit="1" customWidth="1"/>
    <col min="27" max="27" width="15.5546875" bestFit="1" customWidth="1"/>
    <col min="28" max="28" width="12.109375" bestFit="1" customWidth="1"/>
    <col min="29" max="29" width="17" bestFit="1" customWidth="1"/>
    <col min="30" max="30" width="15.5546875" bestFit="1" customWidth="1"/>
    <col min="31" max="31" width="10.109375" bestFit="1" customWidth="1"/>
    <col min="32" max="32" width="51" bestFit="1" customWidth="1"/>
    <col min="33" max="33" width="10.33203125" bestFit="1" customWidth="1"/>
    <col min="34" max="34" width="29.33203125" bestFit="1" customWidth="1"/>
    <col min="35" max="35" width="12.109375" bestFit="1" customWidth="1"/>
    <col min="36" max="36" width="20.6640625" bestFit="1" customWidth="1"/>
    <col min="37" max="37" width="9.88671875" bestFit="1" customWidth="1"/>
    <col min="38" max="38" width="18" bestFit="1" customWidth="1"/>
    <col min="39" max="39" width="7.5546875" bestFit="1" customWidth="1"/>
    <col min="40" max="40" width="5.6640625" bestFit="1" customWidth="1"/>
    <col min="41" max="41" width="18.5546875" bestFit="1" customWidth="1"/>
    <col min="42" max="42" width="17.44140625" bestFit="1" customWidth="1"/>
    <col min="43" max="45" width="15.109375" bestFit="1" customWidth="1"/>
    <col min="46" max="46" width="11.5546875" bestFit="1" customWidth="1"/>
    <col min="47" max="47" width="27.109375" bestFit="1" customWidth="1"/>
    <col min="48" max="48" width="43.5546875" bestFit="1" customWidth="1"/>
    <col min="49" max="49" width="28.44140625" bestFit="1" customWidth="1"/>
    <col min="50" max="50" width="35.88671875" bestFit="1" customWidth="1"/>
    <col min="51" max="51" width="16.88671875" bestFit="1" customWidth="1"/>
    <col min="52" max="52" width="22.109375" bestFit="1" customWidth="1"/>
    <col min="53" max="53" width="6" bestFit="1" customWidth="1"/>
    <col min="54" max="54" width="9.44140625" bestFit="1" customWidth="1"/>
    <col min="55" max="56" width="10.5546875" bestFit="1" customWidth="1"/>
    <col min="57" max="57" width="21" bestFit="1" customWidth="1"/>
    <col min="58" max="58" width="21.6640625" bestFit="1" customWidth="1"/>
    <col min="59" max="59" width="11.33203125" bestFit="1" customWidth="1"/>
    <col min="60" max="60" width="16.5546875" bestFit="1" customWidth="1"/>
    <col min="61" max="61" width="17.5546875" bestFit="1" customWidth="1"/>
    <col min="62" max="62" width="18" bestFit="1" customWidth="1"/>
    <col min="63" max="63" width="11.6640625" bestFit="1" customWidth="1"/>
    <col min="65" max="65" width="11.88671875" bestFit="1" customWidth="1"/>
    <col min="66" max="66" width="11" bestFit="1" customWidth="1"/>
    <col min="67" max="67" width="11.6640625" bestFit="1" customWidth="1"/>
    <col min="68" max="69" width="12.44140625" bestFit="1" customWidth="1"/>
    <col min="70" max="70" width="18.5546875" bestFit="1" customWidth="1"/>
    <col min="71" max="71" width="7.88671875" bestFit="1" customWidth="1"/>
    <col min="72" max="72" width="12.88671875" bestFit="1" customWidth="1"/>
    <col min="73" max="73" width="13.5546875" bestFit="1" customWidth="1"/>
    <col min="74" max="74" width="13.44140625" bestFit="1" customWidth="1"/>
    <col min="75" max="75" width="11.33203125" bestFit="1" customWidth="1"/>
    <col min="76" max="76" width="33.88671875" bestFit="1" customWidth="1"/>
    <col min="77" max="77" width="21.109375" bestFit="1" customWidth="1"/>
    <col min="78" max="78" width="7" bestFit="1" customWidth="1"/>
    <col min="79" max="79" width="6.88671875" bestFit="1" customWidth="1"/>
    <col min="80" max="80" width="16" bestFit="1" customWidth="1"/>
    <col min="81" max="81" width="16.44140625" bestFit="1" customWidth="1"/>
    <col min="82" max="82" width="24.5546875" bestFit="1" customWidth="1"/>
    <col min="83" max="83" width="26.109375" bestFit="1" customWidth="1"/>
    <col min="84" max="84" width="22.5546875" bestFit="1" customWidth="1"/>
    <col min="85" max="85" width="18" bestFit="1" customWidth="1"/>
    <col min="86" max="86" width="32.5546875" bestFit="1" customWidth="1"/>
    <col min="87" max="87" width="15.33203125" bestFit="1" customWidth="1"/>
    <col min="88" max="88" width="52.6640625" bestFit="1" customWidth="1"/>
    <col min="89" max="89" width="10.5546875" bestFit="1" customWidth="1"/>
    <col min="90" max="90" width="15" bestFit="1" customWidth="1"/>
    <col min="91" max="91" width="18.88671875" bestFit="1" customWidth="1"/>
    <col min="92" max="92" width="20.5546875" bestFit="1" customWidth="1"/>
    <col min="93" max="93" width="23.5546875" bestFit="1" customWidth="1"/>
    <col min="94" max="94" width="11.6640625" bestFit="1" customWidth="1"/>
    <col min="95" max="95" width="31.44140625" bestFit="1" customWidth="1"/>
    <col min="96" max="97" width="20.44140625" bestFit="1" customWidth="1"/>
    <col min="98" max="98" width="25.5546875" bestFit="1" customWidth="1"/>
    <col min="99" max="99" width="32.88671875" bestFit="1" customWidth="1"/>
    <col min="100" max="100" width="14.109375" bestFit="1" customWidth="1"/>
    <col min="101" max="101" width="24.44140625" bestFit="1" customWidth="1"/>
    <col min="102" max="102" width="12.5546875" bestFit="1" customWidth="1"/>
    <col min="103" max="103" width="29.44140625" bestFit="1" customWidth="1"/>
    <col min="104" max="104" width="20.33203125" bestFit="1" customWidth="1"/>
    <col min="105" max="105" width="72.88671875" bestFit="1" customWidth="1"/>
    <col min="106" max="106" width="8.33203125" bestFit="1" customWidth="1"/>
    <col min="107" max="107" width="20.6640625" bestFit="1" customWidth="1"/>
    <col min="108" max="108" width="97.44140625" bestFit="1" customWidth="1"/>
    <col min="109" max="109" width="9.33203125" bestFit="1" customWidth="1"/>
    <col min="110" max="110" width="19.109375" bestFit="1" customWidth="1"/>
    <col min="111" max="111" width="10" bestFit="1" customWidth="1"/>
    <col min="112" max="112" width="12.5546875" bestFit="1" customWidth="1"/>
    <col min="113" max="113" width="6.33203125" bestFit="1" customWidth="1"/>
    <col min="114" max="114" width="12.44140625" bestFit="1" customWidth="1"/>
    <col min="115" max="115" width="10.5546875" bestFit="1" customWidth="1"/>
    <col min="116" max="116" width="12.33203125" bestFit="1" customWidth="1"/>
    <col min="117" max="117" width="7.44140625" bestFit="1" customWidth="1"/>
    <col min="118" max="118" width="8.5546875" bestFit="1" customWidth="1"/>
    <col min="120" max="120" width="21.109375" bestFit="1" customWidth="1"/>
    <col min="121" max="121" width="13.5546875" bestFit="1" customWidth="1"/>
    <col min="122" max="122" width="10.88671875" bestFit="1" customWidth="1"/>
    <col min="123" max="123" width="15.109375" bestFit="1" customWidth="1"/>
    <col min="124" max="124" width="15.5546875" bestFit="1" customWidth="1"/>
    <col min="125" max="125" width="14" bestFit="1" customWidth="1"/>
    <col min="126" max="126" width="12.44140625" bestFit="1" customWidth="1"/>
    <col min="127" max="127" width="13.6640625" bestFit="1" customWidth="1"/>
    <col min="128" max="128" width="13.33203125" bestFit="1" customWidth="1"/>
    <col min="129" max="129" width="12.44140625" bestFit="1" customWidth="1"/>
    <col min="130" max="130" width="12.5546875" bestFit="1" customWidth="1"/>
    <col min="131" max="133" width="14.6640625" bestFit="1" customWidth="1"/>
    <col min="134" max="134" width="15.44140625" bestFit="1" customWidth="1"/>
    <col min="135" max="135" width="12.44140625" bestFit="1" customWidth="1"/>
    <col min="136" max="136" width="8.88671875" bestFit="1" customWidth="1"/>
    <col min="137" max="137" width="12.33203125" bestFit="1" customWidth="1"/>
    <col min="138" max="138" width="15.5546875" bestFit="1" customWidth="1"/>
    <col min="139" max="139" width="17.6640625" bestFit="1" customWidth="1"/>
    <col min="140" max="140" width="15.5546875" bestFit="1" customWidth="1"/>
    <col min="141" max="141" width="17.88671875" bestFit="1" customWidth="1"/>
    <col min="142" max="142" width="22.6640625" bestFit="1" customWidth="1"/>
    <col min="143" max="143" width="11.33203125" bestFit="1" customWidth="1"/>
    <col min="144" max="144" width="4.88671875" bestFit="1" customWidth="1"/>
    <col min="145" max="145" width="9.6640625" bestFit="1" customWidth="1"/>
    <col min="146" max="146" width="5.109375" bestFit="1" customWidth="1"/>
    <col min="147" max="147" width="17.44140625" bestFit="1" customWidth="1"/>
    <col min="148" max="148" width="19.109375" bestFit="1" customWidth="1"/>
    <col min="149" max="149" width="10" bestFit="1" customWidth="1"/>
    <col min="150" max="150" width="16.44140625" bestFit="1" customWidth="1"/>
    <col min="151" max="151" width="20.6640625" bestFit="1" customWidth="1"/>
    <col min="152" max="152" width="11.33203125" bestFit="1" customWidth="1"/>
    <col min="153" max="153" width="60.33203125" bestFit="1" customWidth="1"/>
    <col min="154" max="154" width="13.33203125" bestFit="1" customWidth="1"/>
    <col min="155" max="155" width="15" bestFit="1" customWidth="1"/>
    <col min="156" max="156" width="13.5546875" bestFit="1" customWidth="1"/>
    <col min="157" max="157" width="14.33203125" bestFit="1" customWidth="1"/>
    <col min="158" max="158" width="17.6640625" bestFit="1" customWidth="1"/>
    <col min="159" max="159" width="13.109375" bestFit="1" customWidth="1"/>
    <col min="160" max="161" width="15.33203125" bestFit="1" customWidth="1"/>
    <col min="162" max="162" width="19.44140625" bestFit="1" customWidth="1"/>
    <col min="163" max="163" width="14.6640625" bestFit="1" customWidth="1"/>
    <col min="164" max="164" width="14.5546875" bestFit="1" customWidth="1"/>
    <col min="165" max="165" width="21.88671875" bestFit="1" customWidth="1"/>
    <col min="166" max="166" width="13.88671875" bestFit="1" customWidth="1"/>
    <col min="167" max="167" width="14.109375" bestFit="1" customWidth="1"/>
    <col min="168" max="168" width="19" bestFit="1" customWidth="1"/>
    <col min="169" max="169" width="21.44140625" bestFit="1" customWidth="1"/>
    <col min="170" max="170" width="19.5546875" bestFit="1" customWidth="1"/>
    <col min="171" max="171" width="14.88671875" bestFit="1" customWidth="1"/>
    <col min="172" max="172" width="10.109375" bestFit="1" customWidth="1"/>
    <col min="173" max="173" width="15.44140625" bestFit="1" customWidth="1"/>
    <col min="174" max="174" width="12.109375" bestFit="1" customWidth="1"/>
    <col min="175" max="175" width="14.33203125" bestFit="1" customWidth="1"/>
    <col min="176" max="176" width="15.109375" bestFit="1" customWidth="1"/>
    <col min="177" max="177" width="23.44140625" bestFit="1" customWidth="1"/>
    <col min="178" max="178" width="18.88671875" bestFit="1" customWidth="1"/>
    <col min="179" max="179" width="19.88671875" bestFit="1" customWidth="1"/>
    <col min="180" max="180" width="24.6640625" bestFit="1" customWidth="1"/>
    <col min="181" max="182" width="13.44140625" bestFit="1" customWidth="1"/>
    <col min="183" max="183" width="11.88671875" bestFit="1" customWidth="1"/>
    <col min="184" max="184" width="16.6640625" bestFit="1" customWidth="1"/>
    <col min="185" max="185" width="14.109375" bestFit="1" customWidth="1"/>
    <col min="186" max="186" width="9.5546875" bestFit="1" customWidth="1"/>
    <col min="187" max="187" width="10.44140625" bestFit="1" customWidth="1"/>
    <col min="188" max="188" width="16" bestFit="1" customWidth="1"/>
    <col min="189" max="189" width="13.44140625" bestFit="1" customWidth="1"/>
    <col min="190" max="190" width="8.88671875" bestFit="1" customWidth="1"/>
    <col min="191" max="191" width="9.6640625" bestFit="1" customWidth="1"/>
    <col min="192" max="192" width="17.6640625" bestFit="1" customWidth="1"/>
    <col min="193" max="193" width="15" bestFit="1" customWidth="1"/>
    <col min="194" max="194" width="10.44140625" bestFit="1" customWidth="1"/>
    <col min="195" max="195" width="11.33203125" bestFit="1" customWidth="1"/>
  </cols>
  <sheetData>
    <row r="1" spans="1:19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</row>
    <row r="2" spans="1:195" x14ac:dyDescent="0.3">
      <c r="A2">
        <v>11104</v>
      </c>
      <c r="B2">
        <v>1</v>
      </c>
      <c r="C2" t="s">
        <v>195</v>
      </c>
      <c r="D2" t="s">
        <v>195</v>
      </c>
      <c r="E2" t="s">
        <v>196</v>
      </c>
      <c r="F2">
        <v>2457188823</v>
      </c>
      <c r="G2">
        <v>2457188823</v>
      </c>
      <c r="H2" t="s">
        <v>197</v>
      </c>
      <c r="I2" t="s">
        <v>198</v>
      </c>
      <c r="J2" t="s">
        <v>199</v>
      </c>
      <c r="L2" t="s">
        <v>200</v>
      </c>
      <c r="O2">
        <v>9926884558</v>
      </c>
      <c r="P2" t="s">
        <v>201</v>
      </c>
      <c r="Q2" s="1">
        <v>45453</v>
      </c>
      <c r="R2" s="1">
        <v>45453</v>
      </c>
      <c r="S2" s="1">
        <v>45453</v>
      </c>
      <c r="U2" t="s">
        <v>201</v>
      </c>
      <c r="W2" t="s">
        <v>202</v>
      </c>
      <c r="AB2" t="s">
        <v>203</v>
      </c>
      <c r="AD2" t="s">
        <v>204</v>
      </c>
      <c r="AE2">
        <v>4804</v>
      </c>
      <c r="AF2" t="s">
        <v>205</v>
      </c>
      <c r="AG2" t="s">
        <v>206</v>
      </c>
      <c r="AH2" t="s">
        <v>207</v>
      </c>
      <c r="AI2">
        <v>534495.68992200005</v>
      </c>
      <c r="AJ2">
        <v>689499</v>
      </c>
      <c r="AK2">
        <v>29</v>
      </c>
      <c r="AL2">
        <v>10000</v>
      </c>
      <c r="AM2">
        <v>0</v>
      </c>
      <c r="AN2">
        <v>0</v>
      </c>
      <c r="AO2">
        <v>2100</v>
      </c>
      <c r="AP2">
        <v>15000</v>
      </c>
      <c r="AQ2">
        <v>5000</v>
      </c>
      <c r="AR2">
        <v>0</v>
      </c>
      <c r="AS2">
        <v>0</v>
      </c>
      <c r="AT2">
        <v>0</v>
      </c>
      <c r="AU2">
        <v>0</v>
      </c>
      <c r="AV2">
        <v>11456</v>
      </c>
      <c r="AW2">
        <v>0</v>
      </c>
      <c r="AX2">
        <v>0</v>
      </c>
      <c r="AY2">
        <v>43556</v>
      </c>
      <c r="AZ2">
        <v>645943</v>
      </c>
      <c r="BA2">
        <v>46690</v>
      </c>
      <c r="BB2">
        <v>0</v>
      </c>
      <c r="BC2">
        <v>0</v>
      </c>
      <c r="BD2">
        <v>63731</v>
      </c>
      <c r="BE2" t="s">
        <v>208</v>
      </c>
      <c r="BF2">
        <v>0</v>
      </c>
      <c r="BG2">
        <v>0</v>
      </c>
      <c r="BH2" t="s">
        <v>209</v>
      </c>
      <c r="BI2">
        <v>24501</v>
      </c>
      <c r="BJ2">
        <v>885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500</v>
      </c>
      <c r="BT2">
        <v>0</v>
      </c>
      <c r="BU2">
        <v>0</v>
      </c>
      <c r="BV2">
        <v>0</v>
      </c>
      <c r="BW2">
        <v>0</v>
      </c>
      <c r="BX2">
        <v>782250</v>
      </c>
      <c r="BY2">
        <v>0</v>
      </c>
      <c r="BZ2">
        <v>0</v>
      </c>
      <c r="CA2">
        <v>0</v>
      </c>
      <c r="CB2">
        <v>394250</v>
      </c>
      <c r="CC2">
        <v>0</v>
      </c>
      <c r="CD2">
        <v>0</v>
      </c>
      <c r="CE2">
        <v>394250</v>
      </c>
      <c r="CF2">
        <v>0</v>
      </c>
      <c r="CG2">
        <v>0</v>
      </c>
      <c r="CH2">
        <v>388000</v>
      </c>
      <c r="CJ2" t="s">
        <v>210</v>
      </c>
      <c r="CL2" t="s">
        <v>211</v>
      </c>
      <c r="CM2">
        <v>0</v>
      </c>
      <c r="CN2">
        <v>0</v>
      </c>
      <c r="CO2">
        <v>0</v>
      </c>
      <c r="CP2">
        <v>0</v>
      </c>
      <c r="CQ2" t="s">
        <v>212</v>
      </c>
      <c r="CU2">
        <v>0</v>
      </c>
      <c r="CV2" t="s">
        <v>213</v>
      </c>
      <c r="CW2" t="s">
        <v>214</v>
      </c>
      <c r="CX2" t="s">
        <v>215</v>
      </c>
      <c r="CY2" t="s">
        <v>216</v>
      </c>
      <c r="CZ2" t="s">
        <v>217</v>
      </c>
      <c r="DB2" t="s">
        <v>218</v>
      </c>
      <c r="DD2" t="s">
        <v>219</v>
      </c>
      <c r="DF2" t="s">
        <v>220</v>
      </c>
      <c r="DG2">
        <v>451115</v>
      </c>
      <c r="DL2">
        <v>0</v>
      </c>
      <c r="DN2">
        <v>0</v>
      </c>
      <c r="DP2" t="s">
        <v>221</v>
      </c>
      <c r="DQ2" t="s">
        <v>222</v>
      </c>
      <c r="DR2" t="s">
        <v>223</v>
      </c>
      <c r="DS2">
        <v>0</v>
      </c>
      <c r="DV2">
        <v>0</v>
      </c>
      <c r="DW2">
        <v>1.5</v>
      </c>
      <c r="DX2">
        <v>5820</v>
      </c>
      <c r="DY2">
        <v>1047.5999999999999</v>
      </c>
      <c r="DZ2">
        <v>6867.6</v>
      </c>
      <c r="EC2">
        <v>0</v>
      </c>
      <c r="EQ2" t="s">
        <v>224</v>
      </c>
      <c r="ER2" s="1">
        <v>45434</v>
      </c>
      <c r="ES2">
        <v>4000</v>
      </c>
      <c r="ET2">
        <v>498744.29</v>
      </c>
      <c r="EU2">
        <v>5426.4</v>
      </c>
      <c r="EV2">
        <v>250906</v>
      </c>
      <c r="EW2" t="s">
        <v>225</v>
      </c>
      <c r="EX2">
        <v>0</v>
      </c>
      <c r="EY2" t="s">
        <v>226</v>
      </c>
      <c r="EZ2" t="s">
        <v>202</v>
      </c>
      <c r="FA2" t="s">
        <v>226</v>
      </c>
      <c r="FB2" t="s">
        <v>226</v>
      </c>
      <c r="FC2" t="s">
        <v>202</v>
      </c>
      <c r="FD2" t="s">
        <v>202</v>
      </c>
      <c r="FE2" t="s">
        <v>202</v>
      </c>
      <c r="FF2" t="s">
        <v>202</v>
      </c>
      <c r="FG2" t="s">
        <v>202</v>
      </c>
      <c r="FH2" t="s">
        <v>202</v>
      </c>
      <c r="FI2" t="s">
        <v>202</v>
      </c>
      <c r="FJ2" t="s">
        <v>202</v>
      </c>
      <c r="FK2" t="s">
        <v>202</v>
      </c>
      <c r="FL2" t="s">
        <v>202</v>
      </c>
      <c r="FM2" t="s">
        <v>202</v>
      </c>
      <c r="FN2" t="s">
        <v>202</v>
      </c>
      <c r="FO2">
        <v>38978</v>
      </c>
      <c r="FP2">
        <v>7712</v>
      </c>
      <c r="FQ2">
        <v>0</v>
      </c>
      <c r="FR2">
        <v>4804</v>
      </c>
      <c r="FS2">
        <v>0</v>
      </c>
      <c r="FT2">
        <v>0</v>
      </c>
      <c r="FW2">
        <v>0</v>
      </c>
      <c r="FX2">
        <v>0</v>
      </c>
      <c r="FY2">
        <v>0</v>
      </c>
      <c r="GA2">
        <v>-8583</v>
      </c>
    </row>
    <row r="3" spans="1:195" x14ac:dyDescent="0.3">
      <c r="A3">
        <v>11107</v>
      </c>
      <c r="B3">
        <v>2</v>
      </c>
      <c r="C3" t="s">
        <v>195</v>
      </c>
      <c r="D3" t="s">
        <v>195</v>
      </c>
      <c r="E3" t="s">
        <v>227</v>
      </c>
      <c r="F3">
        <v>2456663066</v>
      </c>
      <c r="G3">
        <v>2456663066</v>
      </c>
      <c r="H3" t="s">
        <v>228</v>
      </c>
      <c r="I3" t="s">
        <v>198</v>
      </c>
      <c r="J3" t="s">
        <v>199</v>
      </c>
      <c r="L3" t="s">
        <v>200</v>
      </c>
      <c r="O3">
        <v>9926906574</v>
      </c>
      <c r="P3" t="s">
        <v>229</v>
      </c>
      <c r="Q3" s="1">
        <v>45442</v>
      </c>
      <c r="R3" s="1">
        <v>45442</v>
      </c>
      <c r="S3" s="1">
        <v>45453</v>
      </c>
      <c r="U3" t="s">
        <v>229</v>
      </c>
      <c r="W3" t="s">
        <v>202</v>
      </c>
      <c r="AB3">
        <v>105755</v>
      </c>
      <c r="AD3" t="s">
        <v>230</v>
      </c>
      <c r="AE3">
        <v>4811</v>
      </c>
      <c r="AF3" t="s">
        <v>231</v>
      </c>
      <c r="AG3" t="s">
        <v>232</v>
      </c>
      <c r="AH3" t="s">
        <v>233</v>
      </c>
      <c r="AI3">
        <v>586234</v>
      </c>
      <c r="AJ3">
        <v>756242</v>
      </c>
      <c r="AK3">
        <v>29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10000</v>
      </c>
      <c r="AW3">
        <v>0</v>
      </c>
      <c r="AX3">
        <v>0</v>
      </c>
      <c r="AY3">
        <v>10000</v>
      </c>
      <c r="AZ3">
        <v>746242</v>
      </c>
      <c r="BA3">
        <v>11240</v>
      </c>
      <c r="BB3">
        <v>0</v>
      </c>
      <c r="BC3">
        <v>0</v>
      </c>
      <c r="BD3">
        <v>68170</v>
      </c>
      <c r="BE3" t="s">
        <v>234</v>
      </c>
      <c r="BF3">
        <v>12862</v>
      </c>
      <c r="BG3">
        <v>3670</v>
      </c>
      <c r="BH3" t="s">
        <v>209</v>
      </c>
      <c r="BI3">
        <v>31932</v>
      </c>
      <c r="BJ3">
        <v>885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500</v>
      </c>
      <c r="BT3">
        <v>0</v>
      </c>
      <c r="BU3">
        <v>0</v>
      </c>
      <c r="BV3">
        <v>0</v>
      </c>
      <c r="BW3">
        <v>0</v>
      </c>
      <c r="BX3">
        <v>875501</v>
      </c>
      <c r="BY3">
        <v>0</v>
      </c>
      <c r="BZ3">
        <v>21303</v>
      </c>
      <c r="CA3">
        <v>0</v>
      </c>
      <c r="CB3">
        <v>861000</v>
      </c>
      <c r="CC3">
        <v>0</v>
      </c>
      <c r="CD3">
        <v>0</v>
      </c>
      <c r="CE3">
        <v>882303</v>
      </c>
      <c r="CF3">
        <v>0</v>
      </c>
      <c r="CG3">
        <v>0</v>
      </c>
      <c r="CH3">
        <v>850000</v>
      </c>
      <c r="CJ3" t="s">
        <v>235</v>
      </c>
      <c r="CL3" t="s">
        <v>236</v>
      </c>
      <c r="CM3">
        <v>0</v>
      </c>
      <c r="CN3">
        <v>0</v>
      </c>
      <c r="CO3">
        <v>0</v>
      </c>
      <c r="CP3">
        <v>0</v>
      </c>
      <c r="CU3">
        <v>-856802</v>
      </c>
      <c r="CV3" t="s">
        <v>237</v>
      </c>
      <c r="CW3" t="s">
        <v>238</v>
      </c>
      <c r="CX3" t="s">
        <v>215</v>
      </c>
      <c r="CY3" t="s">
        <v>216</v>
      </c>
      <c r="CZ3" t="s">
        <v>217</v>
      </c>
      <c r="DB3" t="s">
        <v>239</v>
      </c>
      <c r="DD3" t="s">
        <v>240</v>
      </c>
      <c r="DF3" t="s">
        <v>220</v>
      </c>
      <c r="DG3">
        <v>451115</v>
      </c>
      <c r="DL3">
        <v>0</v>
      </c>
      <c r="DN3">
        <v>0</v>
      </c>
      <c r="DP3" t="s">
        <v>241</v>
      </c>
      <c r="DQ3">
        <v>1005537</v>
      </c>
      <c r="DR3" t="s">
        <v>223</v>
      </c>
      <c r="DS3">
        <v>12862</v>
      </c>
      <c r="DT3" s="1">
        <v>45453</v>
      </c>
      <c r="DU3" t="s">
        <v>242</v>
      </c>
      <c r="DV3">
        <v>0</v>
      </c>
      <c r="DW3">
        <v>0.97</v>
      </c>
      <c r="DX3">
        <v>8245</v>
      </c>
      <c r="DY3">
        <v>1484.1</v>
      </c>
      <c r="DZ3">
        <v>9729.1</v>
      </c>
      <c r="EC3">
        <v>0</v>
      </c>
      <c r="EQ3" t="s">
        <v>243</v>
      </c>
      <c r="ER3" s="1">
        <v>45420</v>
      </c>
      <c r="ES3">
        <v>6000</v>
      </c>
      <c r="ET3">
        <v>565963</v>
      </c>
      <c r="EU3">
        <v>0</v>
      </c>
      <c r="EV3">
        <v>249382</v>
      </c>
      <c r="EW3" t="s">
        <v>244</v>
      </c>
      <c r="EX3">
        <v>0</v>
      </c>
      <c r="EY3" t="s">
        <v>226</v>
      </c>
      <c r="EZ3" t="s">
        <v>226</v>
      </c>
      <c r="FA3" t="s">
        <v>226</v>
      </c>
      <c r="FB3" t="s">
        <v>226</v>
      </c>
      <c r="FC3" t="s">
        <v>202</v>
      </c>
      <c r="FD3" t="s">
        <v>202</v>
      </c>
      <c r="FE3" t="s">
        <v>202</v>
      </c>
      <c r="FF3" t="s">
        <v>202</v>
      </c>
      <c r="FG3" t="s">
        <v>202</v>
      </c>
      <c r="FH3" t="s">
        <v>202</v>
      </c>
      <c r="FI3" t="s">
        <v>202</v>
      </c>
      <c r="FJ3" t="s">
        <v>202</v>
      </c>
      <c r="FK3" t="s">
        <v>202</v>
      </c>
      <c r="FL3" t="s">
        <v>202</v>
      </c>
      <c r="FM3" t="s">
        <v>202</v>
      </c>
      <c r="FN3" t="s">
        <v>202</v>
      </c>
      <c r="FO3">
        <v>18047</v>
      </c>
      <c r="FP3">
        <v>-6807</v>
      </c>
      <c r="FQ3">
        <v>1239.8699999999999</v>
      </c>
      <c r="FR3">
        <v>4811</v>
      </c>
      <c r="FS3">
        <v>0</v>
      </c>
      <c r="FT3">
        <v>0</v>
      </c>
      <c r="FW3">
        <v>0</v>
      </c>
      <c r="FX3">
        <v>0</v>
      </c>
      <c r="FY3">
        <v>0</v>
      </c>
      <c r="GA3">
        <v>-885</v>
      </c>
    </row>
    <row r="4" spans="1:195" x14ac:dyDescent="0.3">
      <c r="A4">
        <v>11115</v>
      </c>
      <c r="B4">
        <v>3</v>
      </c>
      <c r="C4" t="s">
        <v>195</v>
      </c>
      <c r="D4" t="s">
        <v>195</v>
      </c>
      <c r="E4" t="s">
        <v>245</v>
      </c>
      <c r="F4">
        <v>2456993956</v>
      </c>
      <c r="G4">
        <v>2456993956</v>
      </c>
      <c r="H4" t="s">
        <v>246</v>
      </c>
      <c r="I4" t="s">
        <v>198</v>
      </c>
      <c r="J4" t="s">
        <v>199</v>
      </c>
      <c r="L4" t="s">
        <v>200</v>
      </c>
      <c r="O4">
        <v>9754481111</v>
      </c>
      <c r="P4" t="s">
        <v>247</v>
      </c>
      <c r="Q4" s="1">
        <v>45440</v>
      </c>
      <c r="R4" s="1">
        <v>45440</v>
      </c>
      <c r="S4" s="1">
        <v>45453</v>
      </c>
      <c r="U4" t="s">
        <v>247</v>
      </c>
      <c r="W4" t="s">
        <v>202</v>
      </c>
      <c r="AB4">
        <v>892048</v>
      </c>
      <c r="AD4" t="s">
        <v>248</v>
      </c>
      <c r="AE4">
        <v>4694</v>
      </c>
      <c r="AF4" t="s">
        <v>249</v>
      </c>
      <c r="AG4" t="s">
        <v>206</v>
      </c>
      <c r="AH4" t="s">
        <v>250</v>
      </c>
      <c r="AI4">
        <v>654257.35658899997</v>
      </c>
      <c r="AJ4">
        <v>843992</v>
      </c>
      <c r="AK4">
        <v>29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6331</v>
      </c>
      <c r="AW4">
        <v>0</v>
      </c>
      <c r="AX4">
        <v>0</v>
      </c>
      <c r="AY4">
        <v>6331</v>
      </c>
      <c r="AZ4">
        <v>837661</v>
      </c>
      <c r="BA4">
        <v>16000</v>
      </c>
      <c r="BB4">
        <v>0</v>
      </c>
      <c r="BC4">
        <v>0</v>
      </c>
      <c r="BD4">
        <v>75190</v>
      </c>
      <c r="BE4" t="s">
        <v>234</v>
      </c>
      <c r="BF4">
        <v>14349</v>
      </c>
      <c r="BG4">
        <v>4255</v>
      </c>
      <c r="BH4" t="s">
        <v>209</v>
      </c>
      <c r="BI4">
        <v>31160</v>
      </c>
      <c r="BJ4">
        <v>885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500</v>
      </c>
      <c r="BT4">
        <v>0</v>
      </c>
      <c r="BU4">
        <v>0</v>
      </c>
      <c r="BV4">
        <v>0</v>
      </c>
      <c r="BW4">
        <v>0</v>
      </c>
      <c r="BX4">
        <v>980000</v>
      </c>
      <c r="BY4">
        <v>0</v>
      </c>
      <c r="BZ4">
        <v>145000</v>
      </c>
      <c r="CA4">
        <v>0</v>
      </c>
      <c r="CB4">
        <v>840100</v>
      </c>
      <c r="CC4">
        <v>0</v>
      </c>
      <c r="CD4">
        <v>0</v>
      </c>
      <c r="CE4">
        <v>985100</v>
      </c>
      <c r="CF4">
        <v>0</v>
      </c>
      <c r="CG4">
        <v>0</v>
      </c>
      <c r="CH4">
        <v>700000</v>
      </c>
      <c r="CJ4" t="s">
        <v>251</v>
      </c>
      <c r="CL4" t="s">
        <v>236</v>
      </c>
      <c r="CM4">
        <v>0</v>
      </c>
      <c r="CN4">
        <v>0</v>
      </c>
      <c r="CO4">
        <v>0</v>
      </c>
      <c r="CP4">
        <v>0</v>
      </c>
      <c r="CU4">
        <v>-705100</v>
      </c>
      <c r="CV4" t="s">
        <v>215</v>
      </c>
      <c r="CW4" t="s">
        <v>216</v>
      </c>
      <c r="CX4" t="s">
        <v>215</v>
      </c>
      <c r="CY4" t="s">
        <v>216</v>
      </c>
      <c r="CZ4" t="s">
        <v>217</v>
      </c>
      <c r="DB4" t="s">
        <v>252</v>
      </c>
      <c r="DD4" t="s">
        <v>253</v>
      </c>
      <c r="DF4" t="s">
        <v>220</v>
      </c>
      <c r="DG4">
        <v>451115</v>
      </c>
      <c r="DL4">
        <v>0</v>
      </c>
      <c r="DN4">
        <v>0</v>
      </c>
      <c r="DP4" t="s">
        <v>254</v>
      </c>
      <c r="DQ4">
        <v>7506217</v>
      </c>
      <c r="DR4" t="s">
        <v>223</v>
      </c>
      <c r="DS4">
        <v>14348.8</v>
      </c>
      <c r="DT4" s="1">
        <v>45453</v>
      </c>
      <c r="DU4" t="s">
        <v>255</v>
      </c>
      <c r="DV4">
        <v>0</v>
      </c>
      <c r="DW4">
        <v>1.27</v>
      </c>
      <c r="DX4">
        <v>8890</v>
      </c>
      <c r="DY4">
        <v>1600.2</v>
      </c>
      <c r="DZ4">
        <v>10490.2</v>
      </c>
      <c r="EC4">
        <v>0</v>
      </c>
      <c r="EQ4" t="s">
        <v>256</v>
      </c>
      <c r="ER4" s="1">
        <v>45432</v>
      </c>
      <c r="ES4">
        <v>6000</v>
      </c>
      <c r="ET4">
        <v>616882.35</v>
      </c>
      <c r="EU4">
        <v>0</v>
      </c>
      <c r="EV4">
        <v>248934</v>
      </c>
      <c r="EW4" t="s">
        <v>257</v>
      </c>
      <c r="EX4">
        <v>0</v>
      </c>
      <c r="EY4" t="s">
        <v>226</v>
      </c>
      <c r="EZ4" t="s">
        <v>226</v>
      </c>
      <c r="FA4" t="s">
        <v>226</v>
      </c>
      <c r="FB4" t="s">
        <v>226</v>
      </c>
      <c r="FC4" t="s">
        <v>202</v>
      </c>
      <c r="FD4" t="s">
        <v>202</v>
      </c>
      <c r="FE4" t="s">
        <v>202</v>
      </c>
      <c r="FF4" t="s">
        <v>202</v>
      </c>
      <c r="FG4" t="s">
        <v>202</v>
      </c>
      <c r="FH4" t="s">
        <v>202</v>
      </c>
      <c r="FI4" t="s">
        <v>202</v>
      </c>
      <c r="FJ4" t="s">
        <v>202</v>
      </c>
      <c r="FK4" t="s">
        <v>202</v>
      </c>
      <c r="FL4" t="s">
        <v>202</v>
      </c>
      <c r="FM4" t="s">
        <v>202</v>
      </c>
      <c r="FN4" t="s">
        <v>202</v>
      </c>
      <c r="FO4">
        <v>16000</v>
      </c>
      <c r="FP4">
        <v>0</v>
      </c>
      <c r="FQ4">
        <v>296.62</v>
      </c>
      <c r="FR4">
        <v>4694</v>
      </c>
      <c r="FS4">
        <v>0</v>
      </c>
      <c r="FT4">
        <v>0</v>
      </c>
      <c r="FW4">
        <v>0</v>
      </c>
      <c r="FX4">
        <v>0</v>
      </c>
      <c r="FY4">
        <v>0</v>
      </c>
      <c r="GA4">
        <v>-885</v>
      </c>
    </row>
    <row r="5" spans="1:195" x14ac:dyDescent="0.3">
      <c r="A5">
        <v>11126</v>
      </c>
      <c r="B5">
        <v>4</v>
      </c>
      <c r="C5" t="s">
        <v>195</v>
      </c>
      <c r="D5" t="s">
        <v>195</v>
      </c>
      <c r="E5" t="s">
        <v>258</v>
      </c>
      <c r="F5">
        <v>2457113981</v>
      </c>
      <c r="G5">
        <v>2457113981</v>
      </c>
      <c r="H5" t="s">
        <v>259</v>
      </c>
      <c r="I5" t="s">
        <v>198</v>
      </c>
      <c r="J5" t="s">
        <v>199</v>
      </c>
      <c r="L5" t="s">
        <v>260</v>
      </c>
      <c r="O5">
        <v>8839234918</v>
      </c>
      <c r="P5" t="s">
        <v>261</v>
      </c>
      <c r="Q5" s="1">
        <v>45456</v>
      </c>
      <c r="R5" s="1">
        <v>45456</v>
      </c>
      <c r="S5" s="1">
        <v>45455</v>
      </c>
      <c r="U5" t="s">
        <v>261</v>
      </c>
      <c r="W5" t="s">
        <v>202</v>
      </c>
      <c r="AB5" t="s">
        <v>262</v>
      </c>
      <c r="AD5" t="s">
        <v>204</v>
      </c>
      <c r="AE5">
        <v>4687</v>
      </c>
      <c r="AF5" t="s">
        <v>263</v>
      </c>
      <c r="AG5" t="s">
        <v>232</v>
      </c>
      <c r="AH5" t="s">
        <v>207</v>
      </c>
      <c r="AI5">
        <v>464728.68217099999</v>
      </c>
      <c r="AJ5">
        <v>599500</v>
      </c>
      <c r="AK5">
        <v>29</v>
      </c>
      <c r="AL5">
        <v>10000</v>
      </c>
      <c r="AM5">
        <v>0</v>
      </c>
      <c r="AN5">
        <v>0</v>
      </c>
      <c r="AO5">
        <v>0</v>
      </c>
      <c r="AP5">
        <v>0</v>
      </c>
      <c r="AQ5">
        <v>25000</v>
      </c>
      <c r="AR5">
        <v>0</v>
      </c>
      <c r="AS5">
        <v>0</v>
      </c>
      <c r="AT5">
        <v>0</v>
      </c>
      <c r="AU5">
        <v>0</v>
      </c>
      <c r="AV5">
        <v>16165</v>
      </c>
      <c r="AW5">
        <v>0</v>
      </c>
      <c r="AX5">
        <v>0</v>
      </c>
      <c r="AY5">
        <v>51165</v>
      </c>
      <c r="AZ5">
        <v>548335</v>
      </c>
      <c r="BA5">
        <v>30000</v>
      </c>
      <c r="BB5">
        <v>0</v>
      </c>
      <c r="BC5">
        <v>0</v>
      </c>
      <c r="BD5">
        <v>56531</v>
      </c>
      <c r="BE5" t="s">
        <v>234</v>
      </c>
      <c r="BF5">
        <v>9346</v>
      </c>
      <c r="BG5">
        <v>2903</v>
      </c>
      <c r="BH5" t="s">
        <v>209</v>
      </c>
      <c r="BI5">
        <v>21500</v>
      </c>
      <c r="BJ5">
        <v>885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500</v>
      </c>
      <c r="BT5">
        <v>0</v>
      </c>
      <c r="BU5">
        <v>0</v>
      </c>
      <c r="BV5">
        <v>0</v>
      </c>
      <c r="BW5">
        <v>0</v>
      </c>
      <c r="BX5">
        <v>670000</v>
      </c>
      <c r="BY5">
        <v>0</v>
      </c>
      <c r="BZ5">
        <v>51400</v>
      </c>
      <c r="CA5">
        <v>0</v>
      </c>
      <c r="CB5">
        <v>51100</v>
      </c>
      <c r="CC5">
        <v>0</v>
      </c>
      <c r="CD5">
        <v>0</v>
      </c>
      <c r="CE5">
        <v>102500</v>
      </c>
      <c r="CF5">
        <v>0</v>
      </c>
      <c r="CG5">
        <v>0</v>
      </c>
      <c r="CH5">
        <v>557500</v>
      </c>
      <c r="CJ5" t="s">
        <v>210</v>
      </c>
      <c r="CL5" t="s">
        <v>211</v>
      </c>
      <c r="CM5">
        <v>0</v>
      </c>
      <c r="CN5">
        <v>0</v>
      </c>
      <c r="CO5">
        <v>0</v>
      </c>
      <c r="CP5">
        <v>0</v>
      </c>
      <c r="CU5">
        <v>10000</v>
      </c>
      <c r="CV5" t="s">
        <v>237</v>
      </c>
      <c r="CW5" t="s">
        <v>238</v>
      </c>
      <c r="CX5" t="s">
        <v>215</v>
      </c>
      <c r="CY5" t="s">
        <v>216</v>
      </c>
      <c r="CZ5" t="s">
        <v>217</v>
      </c>
      <c r="DB5" t="s">
        <v>264</v>
      </c>
      <c r="DD5" t="s">
        <v>265</v>
      </c>
      <c r="DF5" t="s">
        <v>220</v>
      </c>
      <c r="DG5">
        <v>451001</v>
      </c>
      <c r="DL5">
        <v>0</v>
      </c>
      <c r="DN5">
        <v>0</v>
      </c>
      <c r="DP5" t="s">
        <v>266</v>
      </c>
      <c r="DQ5" t="s">
        <v>267</v>
      </c>
      <c r="DR5" t="s">
        <v>223</v>
      </c>
      <c r="DS5">
        <v>9345.6</v>
      </c>
      <c r="DT5" s="1">
        <v>45456</v>
      </c>
      <c r="DU5" t="s">
        <v>268</v>
      </c>
      <c r="DV5">
        <v>0</v>
      </c>
      <c r="DW5">
        <v>1.5</v>
      </c>
      <c r="DX5">
        <v>8362.5</v>
      </c>
      <c r="DY5">
        <v>1505.25</v>
      </c>
      <c r="DZ5">
        <v>9867.75</v>
      </c>
      <c r="EC5">
        <v>0</v>
      </c>
      <c r="EQ5" t="s">
        <v>269</v>
      </c>
      <c r="ER5" s="1">
        <v>45390</v>
      </c>
      <c r="ES5">
        <v>4000</v>
      </c>
      <c r="ET5">
        <v>429977.29</v>
      </c>
      <c r="EU5">
        <v>5426.4</v>
      </c>
      <c r="EV5">
        <v>250195</v>
      </c>
      <c r="EW5" t="s">
        <v>270</v>
      </c>
      <c r="EX5">
        <v>0</v>
      </c>
      <c r="EY5" t="s">
        <v>226</v>
      </c>
      <c r="EZ5" t="s">
        <v>226</v>
      </c>
      <c r="FA5" t="s">
        <v>226</v>
      </c>
      <c r="FB5" t="s">
        <v>226</v>
      </c>
      <c r="FC5" t="s">
        <v>202</v>
      </c>
      <c r="FD5" t="s">
        <v>202</v>
      </c>
      <c r="FE5" t="s">
        <v>202</v>
      </c>
      <c r="FF5" t="s">
        <v>202</v>
      </c>
      <c r="FG5" t="s">
        <v>202</v>
      </c>
      <c r="FH5" t="s">
        <v>202</v>
      </c>
      <c r="FI5" t="s">
        <v>202</v>
      </c>
      <c r="FJ5" t="s">
        <v>202</v>
      </c>
      <c r="FK5" t="s">
        <v>202</v>
      </c>
      <c r="FL5" t="s">
        <v>202</v>
      </c>
      <c r="FM5" t="s">
        <v>202</v>
      </c>
      <c r="FN5" t="s">
        <v>202</v>
      </c>
      <c r="FO5">
        <v>30000</v>
      </c>
      <c r="FP5">
        <v>0</v>
      </c>
      <c r="FQ5">
        <v>247.01</v>
      </c>
      <c r="FR5">
        <v>4687</v>
      </c>
      <c r="FS5">
        <v>0</v>
      </c>
      <c r="FT5">
        <v>0</v>
      </c>
      <c r="FW5">
        <v>0</v>
      </c>
      <c r="FX5">
        <v>0</v>
      </c>
      <c r="FY5">
        <v>0</v>
      </c>
      <c r="GA5">
        <v>9099</v>
      </c>
    </row>
    <row r="6" spans="1:195" x14ac:dyDescent="0.3">
      <c r="A6">
        <v>11137</v>
      </c>
      <c r="B6">
        <v>5</v>
      </c>
      <c r="C6" t="s">
        <v>195</v>
      </c>
      <c r="D6" t="s">
        <v>195</v>
      </c>
      <c r="E6" t="s">
        <v>271</v>
      </c>
      <c r="F6">
        <v>2457156983</v>
      </c>
      <c r="G6">
        <v>2457156983</v>
      </c>
      <c r="H6" t="s">
        <v>272</v>
      </c>
      <c r="I6" t="s">
        <v>198</v>
      </c>
      <c r="J6" t="s">
        <v>199</v>
      </c>
      <c r="L6" t="s">
        <v>200</v>
      </c>
      <c r="O6">
        <v>8770686740</v>
      </c>
      <c r="P6" t="s">
        <v>273</v>
      </c>
      <c r="Q6" s="1">
        <v>45456</v>
      </c>
      <c r="R6" s="1">
        <v>45456</v>
      </c>
      <c r="S6" s="1">
        <v>45455</v>
      </c>
      <c r="U6" t="s">
        <v>273</v>
      </c>
      <c r="W6" t="s">
        <v>202</v>
      </c>
      <c r="AB6">
        <v>291583</v>
      </c>
      <c r="AD6" t="s">
        <v>274</v>
      </c>
      <c r="AE6">
        <v>4706</v>
      </c>
      <c r="AF6" t="s">
        <v>275</v>
      </c>
      <c r="AG6" t="s">
        <v>232</v>
      </c>
      <c r="AH6" t="s">
        <v>207</v>
      </c>
      <c r="AI6">
        <v>414728.68217099999</v>
      </c>
      <c r="AJ6">
        <v>535000</v>
      </c>
      <c r="AK6">
        <v>29</v>
      </c>
      <c r="AL6">
        <v>18000</v>
      </c>
      <c r="AM6">
        <v>0</v>
      </c>
      <c r="AN6">
        <v>0</v>
      </c>
      <c r="AO6">
        <v>0</v>
      </c>
      <c r="AP6">
        <v>0</v>
      </c>
      <c r="AQ6">
        <v>25302</v>
      </c>
      <c r="AR6">
        <v>0</v>
      </c>
      <c r="AS6">
        <v>0</v>
      </c>
      <c r="AT6">
        <v>0</v>
      </c>
      <c r="AU6">
        <v>0</v>
      </c>
      <c r="AV6">
        <v>10000</v>
      </c>
      <c r="AW6">
        <v>0</v>
      </c>
      <c r="AX6">
        <v>0</v>
      </c>
      <c r="AY6">
        <v>53302</v>
      </c>
      <c r="AZ6">
        <v>481698</v>
      </c>
      <c r="BA6">
        <v>16480</v>
      </c>
      <c r="BB6">
        <v>0</v>
      </c>
      <c r="BC6">
        <v>0</v>
      </c>
      <c r="BD6">
        <v>43675</v>
      </c>
      <c r="BE6" t="s">
        <v>234</v>
      </c>
      <c r="BF6">
        <v>8343</v>
      </c>
      <c r="BG6">
        <v>2680</v>
      </c>
      <c r="BH6" t="s">
        <v>209</v>
      </c>
      <c r="BI6">
        <v>20089</v>
      </c>
      <c r="BJ6">
        <v>885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500</v>
      </c>
      <c r="BT6">
        <v>0</v>
      </c>
      <c r="BU6">
        <v>0</v>
      </c>
      <c r="BV6">
        <v>0</v>
      </c>
      <c r="BW6">
        <v>0</v>
      </c>
      <c r="BX6">
        <v>574350</v>
      </c>
      <c r="BY6">
        <v>0</v>
      </c>
      <c r="BZ6">
        <v>61650</v>
      </c>
      <c r="CA6">
        <v>0</v>
      </c>
      <c r="CB6">
        <v>2100</v>
      </c>
      <c r="CC6">
        <v>2100</v>
      </c>
      <c r="CD6">
        <v>0</v>
      </c>
      <c r="CE6">
        <v>63750</v>
      </c>
      <c r="CF6">
        <v>0</v>
      </c>
      <c r="CG6">
        <v>0</v>
      </c>
      <c r="CH6">
        <v>510600</v>
      </c>
      <c r="CJ6" t="s">
        <v>276</v>
      </c>
      <c r="CL6" t="s">
        <v>211</v>
      </c>
      <c r="CM6">
        <v>0</v>
      </c>
      <c r="CN6">
        <v>0</v>
      </c>
      <c r="CO6">
        <v>0</v>
      </c>
      <c r="CP6">
        <v>0</v>
      </c>
      <c r="CU6">
        <v>0</v>
      </c>
      <c r="CV6" t="s">
        <v>215</v>
      </c>
      <c r="CW6" t="s">
        <v>216</v>
      </c>
      <c r="CX6" t="s">
        <v>215</v>
      </c>
      <c r="CY6" t="s">
        <v>216</v>
      </c>
      <c r="CZ6" t="s">
        <v>217</v>
      </c>
      <c r="DB6" t="s">
        <v>277</v>
      </c>
      <c r="DD6" t="s">
        <v>278</v>
      </c>
      <c r="DF6" t="s">
        <v>220</v>
      </c>
      <c r="DG6">
        <v>451115</v>
      </c>
      <c r="DL6">
        <v>0</v>
      </c>
      <c r="DN6">
        <v>0</v>
      </c>
      <c r="DP6" t="s">
        <v>279</v>
      </c>
      <c r="DQ6">
        <v>1272970</v>
      </c>
      <c r="DR6" t="s">
        <v>223</v>
      </c>
      <c r="DS6">
        <v>8342.6</v>
      </c>
      <c r="DT6" s="1">
        <v>45456</v>
      </c>
      <c r="DU6" t="s">
        <v>280</v>
      </c>
      <c r="DV6">
        <v>0</v>
      </c>
      <c r="DW6">
        <v>1</v>
      </c>
      <c r="DX6">
        <v>5106</v>
      </c>
      <c r="DY6">
        <v>919.08</v>
      </c>
      <c r="DZ6">
        <v>6025.08</v>
      </c>
      <c r="EC6">
        <v>0</v>
      </c>
      <c r="EQ6" t="s">
        <v>281</v>
      </c>
      <c r="ER6" s="1">
        <v>45440</v>
      </c>
      <c r="ES6">
        <v>4500</v>
      </c>
      <c r="ET6">
        <v>378600.94</v>
      </c>
      <c r="EU6">
        <v>10852.7</v>
      </c>
      <c r="EV6">
        <v>251341</v>
      </c>
      <c r="EW6" t="s">
        <v>282</v>
      </c>
      <c r="EX6">
        <v>0</v>
      </c>
      <c r="EY6" t="s">
        <v>226</v>
      </c>
      <c r="EZ6" t="s">
        <v>226</v>
      </c>
      <c r="FA6" t="s">
        <v>226</v>
      </c>
      <c r="FB6" t="s">
        <v>226</v>
      </c>
      <c r="FC6" t="s">
        <v>202</v>
      </c>
      <c r="FD6" t="s">
        <v>202</v>
      </c>
      <c r="FE6" t="s">
        <v>202</v>
      </c>
      <c r="FF6" t="s">
        <v>202</v>
      </c>
      <c r="FG6" t="s">
        <v>202</v>
      </c>
      <c r="FH6" t="s">
        <v>202</v>
      </c>
      <c r="FI6" t="s">
        <v>202</v>
      </c>
      <c r="FJ6" t="s">
        <v>202</v>
      </c>
      <c r="FK6" t="s">
        <v>202</v>
      </c>
      <c r="FL6" t="s">
        <v>202</v>
      </c>
      <c r="FM6" t="s">
        <v>202</v>
      </c>
      <c r="FN6" t="s">
        <v>202</v>
      </c>
      <c r="FO6">
        <v>16481</v>
      </c>
      <c r="FP6">
        <v>-1</v>
      </c>
      <c r="FQ6">
        <v>155.38999999999999</v>
      </c>
      <c r="FR6">
        <v>4706</v>
      </c>
      <c r="FS6">
        <v>0</v>
      </c>
      <c r="FT6">
        <v>0</v>
      </c>
      <c r="FW6">
        <v>0</v>
      </c>
      <c r="FX6">
        <v>0</v>
      </c>
      <c r="FY6">
        <v>0</v>
      </c>
      <c r="GA6">
        <v>-885</v>
      </c>
    </row>
    <row r="7" spans="1:195" x14ac:dyDescent="0.3">
      <c r="A7">
        <v>11172</v>
      </c>
      <c r="B7">
        <v>6</v>
      </c>
      <c r="C7" t="s">
        <v>195</v>
      </c>
      <c r="D7" t="s">
        <v>195</v>
      </c>
      <c r="E7" t="s">
        <v>283</v>
      </c>
      <c r="F7">
        <v>2456810272</v>
      </c>
      <c r="G7">
        <v>2456810272</v>
      </c>
      <c r="H7" t="s">
        <v>284</v>
      </c>
      <c r="I7" t="s">
        <v>198</v>
      </c>
      <c r="J7" t="s">
        <v>199</v>
      </c>
      <c r="L7" t="s">
        <v>285</v>
      </c>
      <c r="O7">
        <v>6264173143</v>
      </c>
      <c r="P7" t="s">
        <v>286</v>
      </c>
      <c r="Q7" s="1">
        <v>45462</v>
      </c>
      <c r="R7" s="1">
        <v>45462</v>
      </c>
      <c r="S7" s="1">
        <v>45461</v>
      </c>
      <c r="U7" t="s">
        <v>286</v>
      </c>
      <c r="W7" t="s">
        <v>202</v>
      </c>
      <c r="AB7">
        <v>813796</v>
      </c>
      <c r="AD7" t="s">
        <v>287</v>
      </c>
      <c r="AE7">
        <v>4738</v>
      </c>
      <c r="AF7" t="s">
        <v>288</v>
      </c>
      <c r="AG7" t="s">
        <v>206</v>
      </c>
      <c r="AH7" t="s">
        <v>250</v>
      </c>
      <c r="AI7">
        <v>743448.26896599995</v>
      </c>
      <c r="AJ7">
        <v>1077999</v>
      </c>
      <c r="AK7">
        <v>45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1077999</v>
      </c>
      <c r="BA7">
        <v>41900</v>
      </c>
      <c r="BB7">
        <v>0</v>
      </c>
      <c r="BC7">
        <v>0</v>
      </c>
      <c r="BD7">
        <v>115988</v>
      </c>
      <c r="BE7" t="s">
        <v>234</v>
      </c>
      <c r="BF7">
        <v>18326</v>
      </c>
      <c r="BG7">
        <v>5217</v>
      </c>
      <c r="BH7" t="s">
        <v>209</v>
      </c>
      <c r="BI7">
        <v>39320</v>
      </c>
      <c r="BJ7">
        <v>885</v>
      </c>
      <c r="BK7">
        <v>0</v>
      </c>
      <c r="BL7">
        <v>0</v>
      </c>
      <c r="BM7">
        <v>0</v>
      </c>
      <c r="BN7">
        <v>10789</v>
      </c>
      <c r="BO7">
        <v>0</v>
      </c>
      <c r="BP7">
        <v>0</v>
      </c>
      <c r="BQ7">
        <v>0</v>
      </c>
      <c r="BR7">
        <v>0</v>
      </c>
      <c r="BS7">
        <v>500</v>
      </c>
      <c r="BT7">
        <v>0</v>
      </c>
      <c r="BU7">
        <v>0</v>
      </c>
      <c r="BV7">
        <v>0</v>
      </c>
      <c r="BW7">
        <v>0</v>
      </c>
      <c r="BX7">
        <v>1310924</v>
      </c>
      <c r="BY7">
        <v>0</v>
      </c>
      <c r="BZ7">
        <v>0</v>
      </c>
      <c r="CA7">
        <v>0</v>
      </c>
      <c r="CB7">
        <v>1310923</v>
      </c>
      <c r="CC7">
        <v>11000</v>
      </c>
      <c r="CD7">
        <v>0</v>
      </c>
      <c r="CE7">
        <v>1310923</v>
      </c>
      <c r="CF7">
        <v>0</v>
      </c>
      <c r="CG7">
        <v>0</v>
      </c>
      <c r="CH7">
        <v>1190000</v>
      </c>
      <c r="CJ7" t="s">
        <v>235</v>
      </c>
      <c r="CL7" t="s">
        <v>236</v>
      </c>
      <c r="CM7">
        <v>0</v>
      </c>
      <c r="CN7">
        <v>0</v>
      </c>
      <c r="CO7">
        <v>0</v>
      </c>
      <c r="CP7">
        <v>0</v>
      </c>
      <c r="CU7">
        <v>-1189999</v>
      </c>
      <c r="CV7">
        <v>894</v>
      </c>
      <c r="CW7" t="s">
        <v>289</v>
      </c>
      <c r="CX7" t="s">
        <v>215</v>
      </c>
      <c r="CY7" t="s">
        <v>216</v>
      </c>
      <c r="CZ7" t="s">
        <v>217</v>
      </c>
      <c r="DB7" t="s">
        <v>290</v>
      </c>
      <c r="DD7" t="s">
        <v>291</v>
      </c>
      <c r="DF7" t="s">
        <v>220</v>
      </c>
      <c r="DG7">
        <v>451111</v>
      </c>
      <c r="DL7">
        <v>0</v>
      </c>
      <c r="DN7">
        <v>0</v>
      </c>
      <c r="DP7" t="s">
        <v>292</v>
      </c>
      <c r="DQ7">
        <v>9522070</v>
      </c>
      <c r="DR7" t="s">
        <v>223</v>
      </c>
      <c r="DS7">
        <v>18325.400000000001</v>
      </c>
      <c r="DT7" s="1">
        <v>45462</v>
      </c>
      <c r="DU7" t="s">
        <v>293</v>
      </c>
      <c r="DV7">
        <v>0</v>
      </c>
      <c r="DW7">
        <v>0.97</v>
      </c>
      <c r="DX7">
        <v>11543</v>
      </c>
      <c r="DY7">
        <v>2077.7399999999998</v>
      </c>
      <c r="DZ7">
        <v>13620.74</v>
      </c>
      <c r="EC7">
        <v>0</v>
      </c>
      <c r="EQ7" t="s">
        <v>294</v>
      </c>
      <c r="ER7" s="1">
        <v>45440</v>
      </c>
      <c r="ES7">
        <v>8500</v>
      </c>
      <c r="ET7">
        <v>697073.03</v>
      </c>
      <c r="EU7">
        <v>0</v>
      </c>
      <c r="EV7">
        <v>246587</v>
      </c>
      <c r="EW7" t="s">
        <v>295</v>
      </c>
      <c r="EX7">
        <v>0</v>
      </c>
      <c r="EY7" t="s">
        <v>226</v>
      </c>
      <c r="EZ7" t="s">
        <v>226</v>
      </c>
      <c r="FA7" t="s">
        <v>226</v>
      </c>
      <c r="FB7" t="s">
        <v>226</v>
      </c>
      <c r="FC7" t="s">
        <v>202</v>
      </c>
      <c r="FD7" t="s">
        <v>202</v>
      </c>
      <c r="FE7" t="s">
        <v>202</v>
      </c>
      <c r="FF7" t="s">
        <v>202</v>
      </c>
      <c r="FG7" t="s">
        <v>202</v>
      </c>
      <c r="FH7" t="s">
        <v>202</v>
      </c>
      <c r="FI7" t="s">
        <v>202</v>
      </c>
      <c r="FJ7" t="s">
        <v>202</v>
      </c>
      <c r="FK7" t="s">
        <v>202</v>
      </c>
      <c r="FL7" t="s">
        <v>202</v>
      </c>
      <c r="FM7" t="s">
        <v>202</v>
      </c>
      <c r="FN7" t="s">
        <v>202</v>
      </c>
      <c r="FO7">
        <v>41904</v>
      </c>
      <c r="FP7">
        <v>-4</v>
      </c>
      <c r="FQ7">
        <v>22.88</v>
      </c>
      <c r="FR7">
        <v>4738</v>
      </c>
      <c r="FS7">
        <v>0</v>
      </c>
      <c r="FT7">
        <v>0</v>
      </c>
      <c r="FW7">
        <v>0</v>
      </c>
      <c r="FX7">
        <v>0</v>
      </c>
      <c r="FY7">
        <v>0</v>
      </c>
      <c r="GA7">
        <v>-885</v>
      </c>
    </row>
    <row r="8" spans="1:195" x14ac:dyDescent="0.3">
      <c r="A8">
        <v>11217</v>
      </c>
      <c r="B8">
        <v>7</v>
      </c>
      <c r="C8" t="s">
        <v>195</v>
      </c>
      <c r="D8" t="s">
        <v>195</v>
      </c>
      <c r="E8" t="s">
        <v>296</v>
      </c>
      <c r="F8">
        <v>2457188186</v>
      </c>
      <c r="G8">
        <v>2457188186</v>
      </c>
      <c r="H8" t="s">
        <v>297</v>
      </c>
      <c r="I8" t="s">
        <v>198</v>
      </c>
      <c r="J8" t="s">
        <v>199</v>
      </c>
      <c r="L8" t="s">
        <v>200</v>
      </c>
      <c r="O8">
        <v>9343198394</v>
      </c>
      <c r="P8" t="s">
        <v>298</v>
      </c>
      <c r="Q8" s="1">
        <v>45457</v>
      </c>
      <c r="R8" s="1">
        <v>45457</v>
      </c>
      <c r="S8" s="1">
        <v>45465</v>
      </c>
      <c r="U8" t="s">
        <v>298</v>
      </c>
      <c r="W8" t="s">
        <v>202</v>
      </c>
      <c r="AB8">
        <v>899983</v>
      </c>
      <c r="AD8" t="s">
        <v>248</v>
      </c>
      <c r="AE8">
        <v>4694</v>
      </c>
      <c r="AF8" t="s">
        <v>249</v>
      </c>
      <c r="AG8" t="s">
        <v>206</v>
      </c>
      <c r="AH8" t="s">
        <v>250</v>
      </c>
      <c r="AI8">
        <v>654257.35658899997</v>
      </c>
      <c r="AJ8">
        <v>843992</v>
      </c>
      <c r="AK8">
        <v>29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5000</v>
      </c>
      <c r="AW8">
        <v>0</v>
      </c>
      <c r="AX8">
        <v>0</v>
      </c>
      <c r="AY8">
        <v>5000</v>
      </c>
      <c r="AZ8">
        <v>838992</v>
      </c>
      <c r="BA8">
        <v>29240</v>
      </c>
      <c r="BB8">
        <v>0</v>
      </c>
      <c r="BC8">
        <v>0</v>
      </c>
      <c r="BD8">
        <v>75190</v>
      </c>
      <c r="BE8" t="s">
        <v>234</v>
      </c>
      <c r="BF8">
        <v>14350</v>
      </c>
      <c r="BG8">
        <v>4095</v>
      </c>
      <c r="BH8" t="s">
        <v>209</v>
      </c>
      <c r="BI8">
        <v>31660</v>
      </c>
      <c r="BJ8">
        <v>885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500</v>
      </c>
      <c r="BT8">
        <v>0</v>
      </c>
      <c r="BU8">
        <v>0</v>
      </c>
      <c r="BV8">
        <v>0</v>
      </c>
      <c r="BW8">
        <v>0</v>
      </c>
      <c r="BX8">
        <v>994912</v>
      </c>
      <c r="BY8">
        <v>0</v>
      </c>
      <c r="BZ8">
        <v>198000</v>
      </c>
      <c r="CA8">
        <v>0</v>
      </c>
      <c r="CB8">
        <v>104100</v>
      </c>
      <c r="CC8">
        <v>2100</v>
      </c>
      <c r="CD8">
        <v>0</v>
      </c>
      <c r="CE8">
        <v>302100</v>
      </c>
      <c r="CF8">
        <v>0</v>
      </c>
      <c r="CG8">
        <v>0</v>
      </c>
      <c r="CH8">
        <v>692533</v>
      </c>
      <c r="CJ8" t="s">
        <v>299</v>
      </c>
      <c r="CL8" t="s">
        <v>211</v>
      </c>
      <c r="CM8">
        <v>0</v>
      </c>
      <c r="CN8">
        <v>0</v>
      </c>
      <c r="CO8">
        <v>0</v>
      </c>
      <c r="CP8">
        <v>0</v>
      </c>
      <c r="CU8">
        <v>279</v>
      </c>
      <c r="CV8" t="s">
        <v>237</v>
      </c>
      <c r="CW8" t="s">
        <v>238</v>
      </c>
      <c r="CX8" t="s">
        <v>215</v>
      </c>
      <c r="CY8" t="s">
        <v>216</v>
      </c>
      <c r="CZ8" t="s">
        <v>217</v>
      </c>
      <c r="DB8" t="s">
        <v>300</v>
      </c>
      <c r="DD8" t="s">
        <v>301</v>
      </c>
      <c r="DF8" t="s">
        <v>220</v>
      </c>
      <c r="DG8">
        <v>451115</v>
      </c>
      <c r="DL8">
        <v>0</v>
      </c>
      <c r="DN8">
        <v>0</v>
      </c>
      <c r="DP8" t="s">
        <v>302</v>
      </c>
      <c r="DQ8">
        <v>7525125</v>
      </c>
      <c r="DR8" t="s">
        <v>223</v>
      </c>
      <c r="DS8">
        <v>14348.8</v>
      </c>
      <c r="DT8" s="1">
        <v>45465</v>
      </c>
      <c r="DU8" t="s">
        <v>303</v>
      </c>
      <c r="DV8">
        <v>0</v>
      </c>
      <c r="DW8">
        <v>1.5</v>
      </c>
      <c r="DX8">
        <v>10388</v>
      </c>
      <c r="DY8">
        <v>1869.84</v>
      </c>
      <c r="DZ8">
        <v>12257.84</v>
      </c>
      <c r="EC8">
        <v>0</v>
      </c>
      <c r="EQ8" t="s">
        <v>304</v>
      </c>
      <c r="ER8" s="1">
        <v>45454</v>
      </c>
      <c r="ES8">
        <v>6000</v>
      </c>
      <c r="ET8">
        <v>616882.35</v>
      </c>
      <c r="EU8">
        <v>0</v>
      </c>
      <c r="EV8">
        <v>250901</v>
      </c>
      <c r="EW8" t="s">
        <v>305</v>
      </c>
      <c r="EX8">
        <v>0</v>
      </c>
      <c r="EY8" t="s">
        <v>226</v>
      </c>
      <c r="EZ8" t="s">
        <v>226</v>
      </c>
      <c r="FA8" t="s">
        <v>226</v>
      </c>
      <c r="FB8" t="s">
        <v>226</v>
      </c>
      <c r="FC8" t="s">
        <v>202</v>
      </c>
      <c r="FD8" t="s">
        <v>202</v>
      </c>
      <c r="FE8" t="s">
        <v>202</v>
      </c>
      <c r="FF8" t="s">
        <v>202</v>
      </c>
      <c r="FG8" t="s">
        <v>202</v>
      </c>
      <c r="FH8" t="s">
        <v>202</v>
      </c>
      <c r="FI8" t="s">
        <v>202</v>
      </c>
      <c r="FJ8" t="s">
        <v>202</v>
      </c>
      <c r="FK8" t="s">
        <v>202</v>
      </c>
      <c r="FL8" t="s">
        <v>202</v>
      </c>
      <c r="FM8" t="s">
        <v>202</v>
      </c>
      <c r="FN8" t="s">
        <v>202</v>
      </c>
      <c r="FO8">
        <v>29240</v>
      </c>
      <c r="FP8">
        <v>0</v>
      </c>
      <c r="FQ8">
        <v>25.42</v>
      </c>
      <c r="FR8">
        <v>4694</v>
      </c>
      <c r="FS8">
        <v>0</v>
      </c>
      <c r="FT8">
        <v>0</v>
      </c>
      <c r="FW8">
        <v>0</v>
      </c>
      <c r="FX8">
        <v>0</v>
      </c>
      <c r="FY8">
        <v>0</v>
      </c>
      <c r="GA8">
        <v>-1648</v>
      </c>
    </row>
    <row r="9" spans="1:195" x14ac:dyDescent="0.3">
      <c r="A9">
        <v>11221</v>
      </c>
      <c r="B9">
        <v>8</v>
      </c>
      <c r="C9" t="s">
        <v>195</v>
      </c>
      <c r="D9" t="s">
        <v>195</v>
      </c>
      <c r="E9" t="s">
        <v>306</v>
      </c>
      <c r="F9">
        <v>2457118302</v>
      </c>
      <c r="G9">
        <v>2457118302</v>
      </c>
      <c r="H9" t="s">
        <v>307</v>
      </c>
      <c r="I9" t="s">
        <v>198</v>
      </c>
      <c r="J9" t="s">
        <v>199</v>
      </c>
      <c r="L9" t="s">
        <v>200</v>
      </c>
      <c r="O9">
        <v>9926670467</v>
      </c>
      <c r="P9" t="s">
        <v>308</v>
      </c>
      <c r="Q9" s="1">
        <v>45458</v>
      </c>
      <c r="R9" s="1">
        <v>45458</v>
      </c>
      <c r="S9" s="1">
        <v>45467</v>
      </c>
      <c r="U9" t="s">
        <v>308</v>
      </c>
      <c r="W9" t="s">
        <v>202</v>
      </c>
      <c r="AB9" t="s">
        <v>309</v>
      </c>
      <c r="AD9" t="s">
        <v>310</v>
      </c>
      <c r="AE9">
        <v>4800</v>
      </c>
      <c r="AF9" t="s">
        <v>311</v>
      </c>
      <c r="AG9" t="s">
        <v>206</v>
      </c>
      <c r="AH9" t="s">
        <v>207</v>
      </c>
      <c r="AI9">
        <v>510077.42635700002</v>
      </c>
      <c r="AJ9">
        <v>658000</v>
      </c>
      <c r="AK9">
        <v>29</v>
      </c>
      <c r="AL9">
        <v>10000</v>
      </c>
      <c r="AM9">
        <v>0</v>
      </c>
      <c r="AN9">
        <v>0</v>
      </c>
      <c r="AO9">
        <v>0</v>
      </c>
      <c r="AP9">
        <v>10000</v>
      </c>
      <c r="AQ9">
        <v>0</v>
      </c>
      <c r="AR9">
        <v>0</v>
      </c>
      <c r="AS9">
        <v>0</v>
      </c>
      <c r="AT9">
        <v>0</v>
      </c>
      <c r="AU9">
        <v>0</v>
      </c>
      <c r="AV9">
        <v>12677</v>
      </c>
      <c r="AW9">
        <v>0</v>
      </c>
      <c r="AX9">
        <v>0</v>
      </c>
      <c r="AY9">
        <v>32677</v>
      </c>
      <c r="AZ9">
        <v>625323</v>
      </c>
      <c r="BA9">
        <v>7400</v>
      </c>
      <c r="BB9">
        <v>0</v>
      </c>
      <c r="BC9">
        <v>0</v>
      </c>
      <c r="BD9">
        <v>61111</v>
      </c>
      <c r="BE9" t="s">
        <v>234</v>
      </c>
      <c r="BF9">
        <v>10255</v>
      </c>
      <c r="BG9">
        <v>3186</v>
      </c>
      <c r="BH9" t="s">
        <v>209</v>
      </c>
      <c r="BI9">
        <v>26641</v>
      </c>
      <c r="BJ9">
        <v>885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500</v>
      </c>
      <c r="BT9">
        <v>0</v>
      </c>
      <c r="BU9">
        <v>0</v>
      </c>
      <c r="BV9">
        <v>0</v>
      </c>
      <c r="BW9">
        <v>0</v>
      </c>
      <c r="BX9">
        <v>735301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611693</v>
      </c>
      <c r="CJ9" t="s">
        <v>210</v>
      </c>
      <c r="CL9" t="s">
        <v>211</v>
      </c>
      <c r="CM9">
        <v>160000</v>
      </c>
      <c r="CN9">
        <v>0</v>
      </c>
      <c r="CO9">
        <v>0</v>
      </c>
      <c r="CP9">
        <v>160000</v>
      </c>
      <c r="CQ9" t="s">
        <v>312</v>
      </c>
      <c r="CT9" t="s">
        <v>313</v>
      </c>
      <c r="CU9">
        <v>-36392</v>
      </c>
      <c r="CV9" t="s">
        <v>213</v>
      </c>
      <c r="CW9" t="s">
        <v>214</v>
      </c>
      <c r="CX9" t="s">
        <v>215</v>
      </c>
      <c r="CY9" t="s">
        <v>216</v>
      </c>
      <c r="CZ9" t="s">
        <v>217</v>
      </c>
      <c r="DB9" t="s">
        <v>314</v>
      </c>
      <c r="DD9" t="s">
        <v>315</v>
      </c>
      <c r="DF9" t="s">
        <v>220</v>
      </c>
      <c r="DG9">
        <v>451331</v>
      </c>
      <c r="DL9">
        <v>0</v>
      </c>
      <c r="DN9">
        <v>0</v>
      </c>
      <c r="DP9" t="s">
        <v>316</v>
      </c>
      <c r="DQ9">
        <v>4272103</v>
      </c>
      <c r="DR9" t="s">
        <v>223</v>
      </c>
      <c r="DS9">
        <v>10254.200000000001</v>
      </c>
      <c r="DT9" s="1">
        <v>45467</v>
      </c>
      <c r="DU9" t="s">
        <v>317</v>
      </c>
      <c r="DV9">
        <v>0</v>
      </c>
      <c r="DW9">
        <v>1.5</v>
      </c>
      <c r="DX9">
        <v>9175.4</v>
      </c>
      <c r="DY9">
        <v>1651.57</v>
      </c>
      <c r="DZ9">
        <v>10826.97</v>
      </c>
      <c r="EC9">
        <v>0</v>
      </c>
      <c r="EQ9" t="s">
        <v>318</v>
      </c>
      <c r="ER9" s="1">
        <v>45455</v>
      </c>
      <c r="ES9">
        <v>3000</v>
      </c>
      <c r="ET9">
        <v>479175.86</v>
      </c>
      <c r="EU9">
        <v>5426.4</v>
      </c>
      <c r="EV9">
        <v>251718</v>
      </c>
      <c r="EW9" t="s">
        <v>319</v>
      </c>
      <c r="EX9">
        <v>0</v>
      </c>
      <c r="EY9" t="s">
        <v>226</v>
      </c>
      <c r="EZ9" t="s">
        <v>226</v>
      </c>
      <c r="FA9" t="s">
        <v>226</v>
      </c>
      <c r="FB9" t="s">
        <v>226</v>
      </c>
      <c r="FC9" t="s">
        <v>202</v>
      </c>
      <c r="FD9" t="s">
        <v>202</v>
      </c>
      <c r="FE9" t="s">
        <v>202</v>
      </c>
      <c r="FF9" t="s">
        <v>202</v>
      </c>
      <c r="FG9" t="s">
        <v>202</v>
      </c>
      <c r="FH9" t="s">
        <v>202</v>
      </c>
      <c r="FI9" t="s">
        <v>202</v>
      </c>
      <c r="FJ9" t="s">
        <v>202</v>
      </c>
      <c r="FK9" t="s">
        <v>202</v>
      </c>
      <c r="FL9" t="s">
        <v>202</v>
      </c>
      <c r="FM9" t="s">
        <v>202</v>
      </c>
      <c r="FN9" t="s">
        <v>202</v>
      </c>
      <c r="FO9">
        <v>7402</v>
      </c>
      <c r="FP9">
        <v>-2</v>
      </c>
      <c r="FQ9">
        <v>29.23</v>
      </c>
      <c r="FR9">
        <v>4800</v>
      </c>
      <c r="FS9">
        <v>0</v>
      </c>
      <c r="FT9">
        <v>0</v>
      </c>
      <c r="FW9">
        <v>0</v>
      </c>
      <c r="FX9">
        <v>0</v>
      </c>
      <c r="FY9">
        <v>0</v>
      </c>
      <c r="GA9">
        <v>-38769</v>
      </c>
    </row>
    <row r="10" spans="1:195" x14ac:dyDescent="0.3">
      <c r="A10">
        <v>11242</v>
      </c>
      <c r="B10">
        <v>9</v>
      </c>
      <c r="C10" t="s">
        <v>195</v>
      </c>
      <c r="D10" t="s">
        <v>195</v>
      </c>
      <c r="E10" t="s">
        <v>320</v>
      </c>
      <c r="F10">
        <v>2457386414</v>
      </c>
      <c r="G10">
        <v>2457386414</v>
      </c>
      <c r="H10" t="s">
        <v>321</v>
      </c>
      <c r="I10" t="s">
        <v>198</v>
      </c>
      <c r="J10" t="s">
        <v>199</v>
      </c>
      <c r="L10" t="s">
        <v>200</v>
      </c>
      <c r="O10">
        <v>9669373504</v>
      </c>
      <c r="P10" t="s">
        <v>322</v>
      </c>
      <c r="Q10" s="1">
        <v>45468</v>
      </c>
      <c r="R10" s="1">
        <v>45468</v>
      </c>
      <c r="S10" s="1">
        <v>45468</v>
      </c>
      <c r="U10" t="s">
        <v>322</v>
      </c>
      <c r="W10" t="s">
        <v>202</v>
      </c>
      <c r="AB10">
        <v>422300</v>
      </c>
      <c r="AD10" t="s">
        <v>323</v>
      </c>
      <c r="AE10">
        <v>4824</v>
      </c>
      <c r="AF10" t="s">
        <v>324</v>
      </c>
      <c r="AG10" t="s">
        <v>232</v>
      </c>
      <c r="AH10" t="s">
        <v>250</v>
      </c>
      <c r="AI10">
        <v>668620.66896599997</v>
      </c>
      <c r="AJ10">
        <v>969500</v>
      </c>
      <c r="AK10">
        <v>45</v>
      </c>
      <c r="AL10">
        <v>10000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17009</v>
      </c>
      <c r="AW10">
        <v>0</v>
      </c>
      <c r="AX10">
        <v>0</v>
      </c>
      <c r="AY10">
        <v>27009</v>
      </c>
      <c r="AZ10">
        <v>942491</v>
      </c>
      <c r="BA10">
        <v>26000</v>
      </c>
      <c r="BB10">
        <v>0</v>
      </c>
      <c r="BC10">
        <v>0</v>
      </c>
      <c r="BD10">
        <v>85331</v>
      </c>
      <c r="BE10" t="s">
        <v>234</v>
      </c>
      <c r="BF10">
        <v>16485</v>
      </c>
      <c r="BG10">
        <v>4697</v>
      </c>
      <c r="BH10" t="s">
        <v>209</v>
      </c>
      <c r="BI10">
        <v>32612</v>
      </c>
      <c r="BJ10">
        <v>885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500</v>
      </c>
      <c r="BT10">
        <v>0</v>
      </c>
      <c r="BU10">
        <v>0</v>
      </c>
      <c r="BV10">
        <v>0</v>
      </c>
      <c r="BW10">
        <v>0</v>
      </c>
      <c r="BX10">
        <v>1109001</v>
      </c>
      <c r="BY10">
        <v>0</v>
      </c>
      <c r="BZ10">
        <v>162330</v>
      </c>
      <c r="CA10">
        <v>0</v>
      </c>
      <c r="CB10">
        <v>70000</v>
      </c>
      <c r="CC10">
        <v>0</v>
      </c>
      <c r="CD10">
        <v>0</v>
      </c>
      <c r="CE10">
        <v>232330</v>
      </c>
      <c r="CF10">
        <v>0</v>
      </c>
      <c r="CG10">
        <v>0</v>
      </c>
      <c r="CH10">
        <v>876670</v>
      </c>
      <c r="CJ10" t="s">
        <v>299</v>
      </c>
      <c r="CL10" t="s">
        <v>211</v>
      </c>
      <c r="CM10">
        <v>0</v>
      </c>
      <c r="CN10">
        <v>0</v>
      </c>
      <c r="CO10">
        <v>0</v>
      </c>
      <c r="CP10">
        <v>0</v>
      </c>
      <c r="CU10">
        <v>1</v>
      </c>
      <c r="CV10" t="s">
        <v>237</v>
      </c>
      <c r="CW10" t="s">
        <v>238</v>
      </c>
      <c r="CX10" t="s">
        <v>215</v>
      </c>
      <c r="CY10" t="s">
        <v>216</v>
      </c>
      <c r="CZ10" t="s">
        <v>217</v>
      </c>
      <c r="DB10" t="s">
        <v>325</v>
      </c>
      <c r="DD10" t="s">
        <v>326</v>
      </c>
      <c r="DF10" t="s">
        <v>220</v>
      </c>
      <c r="DG10">
        <v>451115</v>
      </c>
      <c r="DL10">
        <v>0</v>
      </c>
      <c r="DN10">
        <v>0</v>
      </c>
      <c r="DP10" t="s">
        <v>327</v>
      </c>
      <c r="DQ10">
        <v>7440448</v>
      </c>
      <c r="DR10" t="s">
        <v>223</v>
      </c>
      <c r="DS10">
        <v>16484.599999999999</v>
      </c>
      <c r="DT10" s="1">
        <v>45469</v>
      </c>
      <c r="DU10" t="s">
        <v>328</v>
      </c>
      <c r="DV10">
        <v>0</v>
      </c>
      <c r="DW10">
        <v>1.5</v>
      </c>
      <c r="DX10">
        <v>13150.05</v>
      </c>
      <c r="DY10">
        <v>2367.0100000000002</v>
      </c>
      <c r="DZ10">
        <v>15517.06</v>
      </c>
      <c r="EC10">
        <v>0</v>
      </c>
      <c r="EQ10" t="s">
        <v>329</v>
      </c>
      <c r="ER10" s="1">
        <v>45436</v>
      </c>
      <c r="ES10">
        <v>6000</v>
      </c>
      <c r="ET10">
        <v>623495.66</v>
      </c>
      <c r="EU10">
        <v>0</v>
      </c>
      <c r="EV10">
        <v>253488</v>
      </c>
      <c r="EW10" t="s">
        <v>330</v>
      </c>
      <c r="EX10">
        <v>0</v>
      </c>
      <c r="EY10" t="s">
        <v>226</v>
      </c>
      <c r="EZ10" t="s">
        <v>226</v>
      </c>
      <c r="FA10" t="s">
        <v>226</v>
      </c>
      <c r="FB10" t="s">
        <v>226</v>
      </c>
      <c r="FC10" t="s">
        <v>202</v>
      </c>
      <c r="FD10" t="s">
        <v>202</v>
      </c>
      <c r="FE10" t="s">
        <v>202</v>
      </c>
      <c r="FF10" t="s">
        <v>202</v>
      </c>
      <c r="FG10" t="s">
        <v>202</v>
      </c>
      <c r="FH10" t="s">
        <v>202</v>
      </c>
      <c r="FI10" t="s">
        <v>202</v>
      </c>
      <c r="FJ10" t="s">
        <v>202</v>
      </c>
      <c r="FK10" t="s">
        <v>202</v>
      </c>
      <c r="FL10" t="s">
        <v>202</v>
      </c>
      <c r="FM10" t="s">
        <v>202</v>
      </c>
      <c r="FN10" t="s">
        <v>202</v>
      </c>
      <c r="FO10">
        <v>26007</v>
      </c>
      <c r="FP10">
        <v>-7</v>
      </c>
      <c r="FQ10">
        <v>1423.83</v>
      </c>
      <c r="FR10">
        <v>4824</v>
      </c>
      <c r="FS10">
        <v>0</v>
      </c>
      <c r="FT10">
        <v>0</v>
      </c>
      <c r="FW10">
        <v>0</v>
      </c>
      <c r="FX10">
        <v>0</v>
      </c>
      <c r="FY10">
        <v>0</v>
      </c>
      <c r="GA10">
        <v>-885</v>
      </c>
    </row>
    <row r="11" spans="1:195" x14ac:dyDescent="0.3">
      <c r="A11">
        <v>11243</v>
      </c>
      <c r="B11">
        <v>10</v>
      </c>
      <c r="C11" t="s">
        <v>195</v>
      </c>
      <c r="D11" t="s">
        <v>195</v>
      </c>
      <c r="E11" t="s">
        <v>331</v>
      </c>
      <c r="F11">
        <v>2456992125</v>
      </c>
      <c r="G11">
        <v>2456992125</v>
      </c>
      <c r="H11" t="s">
        <v>332</v>
      </c>
      <c r="I11" t="s">
        <v>198</v>
      </c>
      <c r="J11" t="s">
        <v>199</v>
      </c>
      <c r="L11" t="s">
        <v>333</v>
      </c>
      <c r="O11">
        <v>7240952488</v>
      </c>
      <c r="P11" t="s">
        <v>334</v>
      </c>
      <c r="Q11" s="1">
        <v>45457</v>
      </c>
      <c r="R11" s="1">
        <v>45457</v>
      </c>
      <c r="S11" s="1">
        <v>45469</v>
      </c>
      <c r="U11" t="s">
        <v>334</v>
      </c>
      <c r="W11" t="s">
        <v>202</v>
      </c>
      <c r="AB11">
        <v>899705</v>
      </c>
      <c r="AD11" t="s">
        <v>248</v>
      </c>
      <c r="AE11">
        <v>4694</v>
      </c>
      <c r="AF11" t="s">
        <v>249</v>
      </c>
      <c r="AG11" t="s">
        <v>206</v>
      </c>
      <c r="AH11" t="s">
        <v>233</v>
      </c>
      <c r="AI11">
        <v>654257.35658899997</v>
      </c>
      <c r="AJ11">
        <v>843992</v>
      </c>
      <c r="AK11">
        <v>29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5500</v>
      </c>
      <c r="AW11">
        <v>0</v>
      </c>
      <c r="AX11">
        <v>0</v>
      </c>
      <c r="AY11">
        <v>5500</v>
      </c>
      <c r="AZ11">
        <v>838492</v>
      </c>
      <c r="BA11">
        <v>29240</v>
      </c>
      <c r="BB11">
        <v>0</v>
      </c>
      <c r="BC11">
        <v>0</v>
      </c>
      <c r="BD11">
        <v>75190</v>
      </c>
      <c r="BE11" t="s">
        <v>234</v>
      </c>
      <c r="BF11">
        <v>14349</v>
      </c>
      <c r="BG11">
        <v>4095</v>
      </c>
      <c r="BH11" t="s">
        <v>209</v>
      </c>
      <c r="BI11">
        <v>31160</v>
      </c>
      <c r="BJ11">
        <v>885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500</v>
      </c>
      <c r="BT11">
        <v>0</v>
      </c>
      <c r="BU11">
        <v>0</v>
      </c>
      <c r="BV11">
        <v>0</v>
      </c>
      <c r="BW11">
        <v>0</v>
      </c>
      <c r="BX11">
        <v>993911</v>
      </c>
      <c r="BY11">
        <v>0</v>
      </c>
      <c r="BZ11">
        <v>199010</v>
      </c>
      <c r="CA11">
        <v>0</v>
      </c>
      <c r="CB11">
        <v>209930</v>
      </c>
      <c r="CC11">
        <v>2100</v>
      </c>
      <c r="CD11">
        <v>0</v>
      </c>
      <c r="CE11">
        <v>408940</v>
      </c>
      <c r="CF11">
        <v>0</v>
      </c>
      <c r="CG11">
        <v>0</v>
      </c>
      <c r="CH11">
        <v>585981</v>
      </c>
      <c r="CJ11" t="s">
        <v>299</v>
      </c>
      <c r="CL11" t="s">
        <v>211</v>
      </c>
      <c r="CM11">
        <v>0</v>
      </c>
      <c r="CN11">
        <v>0</v>
      </c>
      <c r="CO11">
        <v>0</v>
      </c>
      <c r="CP11">
        <v>0</v>
      </c>
      <c r="CU11">
        <v>-1010</v>
      </c>
      <c r="CV11" t="s">
        <v>237</v>
      </c>
      <c r="CW11" t="s">
        <v>238</v>
      </c>
      <c r="CX11" t="s">
        <v>215</v>
      </c>
      <c r="CY11" t="s">
        <v>216</v>
      </c>
      <c r="CZ11" t="s">
        <v>217</v>
      </c>
      <c r="DB11" t="s">
        <v>335</v>
      </c>
      <c r="DD11" t="s">
        <v>336</v>
      </c>
      <c r="DF11" t="s">
        <v>220</v>
      </c>
      <c r="DG11">
        <v>450001</v>
      </c>
      <c r="DL11">
        <v>0</v>
      </c>
      <c r="DN11">
        <v>0</v>
      </c>
      <c r="DP11" t="s">
        <v>337</v>
      </c>
      <c r="DQ11">
        <v>7522772</v>
      </c>
      <c r="DR11" t="s">
        <v>223</v>
      </c>
      <c r="DS11">
        <v>14348.8</v>
      </c>
      <c r="DT11" s="1">
        <v>45470</v>
      </c>
      <c r="DU11" t="s">
        <v>338</v>
      </c>
      <c r="DV11">
        <v>0</v>
      </c>
      <c r="DW11">
        <v>1.5</v>
      </c>
      <c r="DX11">
        <v>8789.7199999999993</v>
      </c>
      <c r="DY11">
        <v>1582.15</v>
      </c>
      <c r="DZ11">
        <v>10371.870000000001</v>
      </c>
      <c r="EC11">
        <v>0</v>
      </c>
      <c r="EQ11" t="s">
        <v>339</v>
      </c>
      <c r="ER11" s="1">
        <v>45454</v>
      </c>
      <c r="ES11">
        <v>6000</v>
      </c>
      <c r="ET11">
        <v>616882.35</v>
      </c>
      <c r="EU11">
        <v>0</v>
      </c>
      <c r="EV11">
        <v>248861</v>
      </c>
      <c r="EW11" t="s">
        <v>340</v>
      </c>
      <c r="EX11">
        <v>0</v>
      </c>
      <c r="EY11" t="s">
        <v>226</v>
      </c>
      <c r="EZ11" t="s">
        <v>226</v>
      </c>
      <c r="FA11" t="s">
        <v>226</v>
      </c>
      <c r="FB11" t="s">
        <v>226</v>
      </c>
      <c r="FC11" t="s">
        <v>202</v>
      </c>
      <c r="FD11" t="s">
        <v>202</v>
      </c>
      <c r="FE11" t="s">
        <v>202</v>
      </c>
      <c r="FF11" t="s">
        <v>202</v>
      </c>
      <c r="FG11" t="s">
        <v>202</v>
      </c>
      <c r="FH11" t="s">
        <v>202</v>
      </c>
      <c r="FI11" t="s">
        <v>202</v>
      </c>
      <c r="FJ11" t="s">
        <v>202</v>
      </c>
      <c r="FK11" t="s">
        <v>202</v>
      </c>
      <c r="FL11" t="s">
        <v>202</v>
      </c>
      <c r="FM11" t="s">
        <v>202</v>
      </c>
      <c r="FN11" t="s">
        <v>202</v>
      </c>
      <c r="FO11">
        <v>7855</v>
      </c>
      <c r="FP11">
        <v>21385</v>
      </c>
      <c r="FQ11">
        <v>0</v>
      </c>
      <c r="FR11">
        <v>4694</v>
      </c>
      <c r="FS11">
        <v>0</v>
      </c>
      <c r="FT11">
        <v>0</v>
      </c>
      <c r="FW11">
        <v>0</v>
      </c>
      <c r="FX11">
        <v>0</v>
      </c>
      <c r="FY11">
        <v>0</v>
      </c>
      <c r="GA11">
        <v>-885</v>
      </c>
    </row>
    <row r="12" spans="1:195" x14ac:dyDescent="0.3">
      <c r="A12">
        <v>11245</v>
      </c>
      <c r="B12">
        <v>11</v>
      </c>
      <c r="C12" t="s">
        <v>195</v>
      </c>
      <c r="D12" t="s">
        <v>195</v>
      </c>
      <c r="E12" t="s">
        <v>341</v>
      </c>
      <c r="F12">
        <v>2457283309</v>
      </c>
      <c r="G12">
        <v>2457283309</v>
      </c>
      <c r="H12" t="s">
        <v>342</v>
      </c>
      <c r="I12" t="s">
        <v>198</v>
      </c>
      <c r="J12" t="s">
        <v>199</v>
      </c>
      <c r="L12" t="s">
        <v>200</v>
      </c>
      <c r="O12">
        <v>9824033849</v>
      </c>
      <c r="P12" t="s">
        <v>343</v>
      </c>
      <c r="Q12" s="1">
        <v>45469</v>
      </c>
      <c r="R12" s="1">
        <v>45469</v>
      </c>
      <c r="S12" s="1">
        <v>45469</v>
      </c>
      <c r="U12" t="s">
        <v>343</v>
      </c>
      <c r="W12" t="s">
        <v>202</v>
      </c>
      <c r="AB12" t="s">
        <v>344</v>
      </c>
      <c r="AD12" t="s">
        <v>204</v>
      </c>
      <c r="AE12">
        <v>4687</v>
      </c>
      <c r="AF12" t="s">
        <v>263</v>
      </c>
      <c r="AG12" t="s">
        <v>232</v>
      </c>
      <c r="AH12" t="s">
        <v>207</v>
      </c>
      <c r="AI12">
        <v>464728.68217099999</v>
      </c>
      <c r="AJ12">
        <v>599500</v>
      </c>
      <c r="AK12">
        <v>29</v>
      </c>
      <c r="AL12">
        <v>10000</v>
      </c>
      <c r="AM12">
        <v>0</v>
      </c>
      <c r="AN12">
        <v>0</v>
      </c>
      <c r="AO12">
        <v>0</v>
      </c>
      <c r="AP12">
        <v>0</v>
      </c>
      <c r="AQ12">
        <v>25000</v>
      </c>
      <c r="AR12">
        <v>0</v>
      </c>
      <c r="AS12">
        <v>0</v>
      </c>
      <c r="AT12">
        <v>0</v>
      </c>
      <c r="AU12">
        <v>0</v>
      </c>
      <c r="AV12">
        <v>17165</v>
      </c>
      <c r="AW12">
        <v>0</v>
      </c>
      <c r="AX12">
        <v>0</v>
      </c>
      <c r="AY12">
        <v>52165</v>
      </c>
      <c r="AZ12">
        <v>547335</v>
      </c>
      <c r="BA12">
        <v>51000</v>
      </c>
      <c r="BB12">
        <v>0</v>
      </c>
      <c r="BC12">
        <v>0</v>
      </c>
      <c r="BD12">
        <v>56531</v>
      </c>
      <c r="BE12" t="s">
        <v>234</v>
      </c>
      <c r="BF12">
        <v>9346</v>
      </c>
      <c r="BG12">
        <v>2903</v>
      </c>
      <c r="BH12" t="s">
        <v>209</v>
      </c>
      <c r="BI12">
        <v>21500</v>
      </c>
      <c r="BJ12">
        <v>885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500</v>
      </c>
      <c r="BT12">
        <v>0</v>
      </c>
      <c r="BU12">
        <v>0</v>
      </c>
      <c r="BV12">
        <v>0</v>
      </c>
      <c r="BW12">
        <v>0</v>
      </c>
      <c r="BX12">
        <v>690000</v>
      </c>
      <c r="BY12">
        <v>0</v>
      </c>
      <c r="BZ12">
        <v>191100</v>
      </c>
      <c r="CA12">
        <v>0</v>
      </c>
      <c r="CB12">
        <v>498900</v>
      </c>
      <c r="CC12">
        <v>0</v>
      </c>
      <c r="CD12">
        <v>0</v>
      </c>
      <c r="CE12">
        <v>690000</v>
      </c>
      <c r="CF12">
        <v>0</v>
      </c>
      <c r="CG12">
        <v>0</v>
      </c>
      <c r="CH12">
        <v>0</v>
      </c>
      <c r="CJ12" t="s">
        <v>77</v>
      </c>
      <c r="CL12" t="s">
        <v>77</v>
      </c>
      <c r="CM12">
        <v>0</v>
      </c>
      <c r="CN12">
        <v>0</v>
      </c>
      <c r="CO12">
        <v>0</v>
      </c>
      <c r="CP12">
        <v>0</v>
      </c>
      <c r="CU12">
        <v>0</v>
      </c>
      <c r="CV12" t="s">
        <v>237</v>
      </c>
      <c r="CW12" t="s">
        <v>238</v>
      </c>
      <c r="CX12" t="s">
        <v>215</v>
      </c>
      <c r="CY12" t="s">
        <v>216</v>
      </c>
      <c r="CZ12" t="s">
        <v>217</v>
      </c>
      <c r="DB12" t="s">
        <v>345</v>
      </c>
      <c r="DD12" t="s">
        <v>346</v>
      </c>
      <c r="DF12" t="s">
        <v>220</v>
      </c>
      <c r="DG12">
        <v>451115</v>
      </c>
      <c r="DL12">
        <v>0</v>
      </c>
      <c r="DN12">
        <v>0</v>
      </c>
      <c r="DP12" t="s">
        <v>347</v>
      </c>
      <c r="DQ12" t="s">
        <v>348</v>
      </c>
      <c r="DR12" t="s">
        <v>223</v>
      </c>
      <c r="DS12">
        <v>9345.6</v>
      </c>
      <c r="DT12" s="1">
        <v>45470</v>
      </c>
      <c r="DU12" t="s">
        <v>349</v>
      </c>
      <c r="DV12">
        <v>0</v>
      </c>
      <c r="EQ12" t="s">
        <v>350</v>
      </c>
      <c r="ER12" s="1">
        <v>45397</v>
      </c>
      <c r="ES12">
        <v>4000</v>
      </c>
      <c r="ET12">
        <v>429977.29</v>
      </c>
      <c r="EU12">
        <v>0</v>
      </c>
      <c r="EV12">
        <v>252015</v>
      </c>
      <c r="EW12" t="s">
        <v>351</v>
      </c>
      <c r="EX12">
        <v>0</v>
      </c>
      <c r="EY12" t="s">
        <v>226</v>
      </c>
      <c r="EZ12" t="s">
        <v>226</v>
      </c>
      <c r="FA12" t="s">
        <v>226</v>
      </c>
      <c r="FB12" t="s">
        <v>226</v>
      </c>
      <c r="FC12" t="s">
        <v>202</v>
      </c>
      <c r="FD12" t="s">
        <v>202</v>
      </c>
      <c r="FE12" t="s">
        <v>202</v>
      </c>
      <c r="FF12" t="s">
        <v>202</v>
      </c>
      <c r="FG12" t="s">
        <v>202</v>
      </c>
      <c r="FH12" t="s">
        <v>202</v>
      </c>
      <c r="FI12" t="s">
        <v>202</v>
      </c>
      <c r="FJ12" t="s">
        <v>202</v>
      </c>
      <c r="FK12" t="s">
        <v>202</v>
      </c>
      <c r="FL12" t="s">
        <v>202</v>
      </c>
      <c r="FM12" t="s">
        <v>202</v>
      </c>
      <c r="FN12" t="s">
        <v>202</v>
      </c>
      <c r="FO12">
        <v>51003</v>
      </c>
      <c r="FP12">
        <v>-3</v>
      </c>
      <c r="FQ12">
        <v>1857.08</v>
      </c>
      <c r="FR12">
        <v>4687</v>
      </c>
      <c r="FS12">
        <v>0</v>
      </c>
      <c r="FT12">
        <v>0</v>
      </c>
      <c r="FW12">
        <v>0</v>
      </c>
      <c r="FX12">
        <v>0</v>
      </c>
      <c r="FY12">
        <v>0</v>
      </c>
      <c r="GA12">
        <v>-885</v>
      </c>
    </row>
    <row r="13" spans="1:195" x14ac:dyDescent="0.3">
      <c r="A13">
        <v>11250</v>
      </c>
      <c r="B13">
        <v>12</v>
      </c>
      <c r="C13" t="s">
        <v>195</v>
      </c>
      <c r="D13" t="s">
        <v>195</v>
      </c>
      <c r="E13" t="s">
        <v>352</v>
      </c>
      <c r="F13">
        <v>2457436577</v>
      </c>
      <c r="G13">
        <v>2457436577</v>
      </c>
      <c r="H13" t="s">
        <v>332</v>
      </c>
      <c r="I13" t="s">
        <v>198</v>
      </c>
      <c r="J13" t="s">
        <v>199</v>
      </c>
      <c r="L13" t="s">
        <v>200</v>
      </c>
      <c r="O13">
        <v>9630170472</v>
      </c>
      <c r="P13" t="s">
        <v>353</v>
      </c>
      <c r="Q13" s="1">
        <v>45470</v>
      </c>
      <c r="R13" s="1">
        <v>45470</v>
      </c>
      <c r="S13" s="1">
        <v>45469</v>
      </c>
      <c r="U13" t="s">
        <v>353</v>
      </c>
      <c r="W13" t="s">
        <v>202</v>
      </c>
      <c r="AB13" t="s">
        <v>354</v>
      </c>
      <c r="AD13" t="s">
        <v>310</v>
      </c>
      <c r="AE13">
        <v>4763</v>
      </c>
      <c r="AF13" t="s">
        <v>355</v>
      </c>
      <c r="AG13" t="s">
        <v>232</v>
      </c>
      <c r="AH13" t="s">
        <v>356</v>
      </c>
      <c r="AI13">
        <v>434883.62790700002</v>
      </c>
      <c r="AJ13">
        <v>561000</v>
      </c>
      <c r="AK13">
        <v>29</v>
      </c>
      <c r="AL13">
        <v>10000</v>
      </c>
      <c r="AM13">
        <v>0</v>
      </c>
      <c r="AN13">
        <v>0</v>
      </c>
      <c r="AO13">
        <v>2100</v>
      </c>
      <c r="AP13">
        <v>0</v>
      </c>
      <c r="AQ13">
        <v>15000</v>
      </c>
      <c r="AR13">
        <v>0</v>
      </c>
      <c r="AS13">
        <v>0</v>
      </c>
      <c r="AT13">
        <v>0</v>
      </c>
      <c r="AU13">
        <v>0</v>
      </c>
      <c r="AV13">
        <v>18854</v>
      </c>
      <c r="AW13">
        <v>0</v>
      </c>
      <c r="AX13">
        <v>0</v>
      </c>
      <c r="AY13">
        <v>45954</v>
      </c>
      <c r="AZ13">
        <v>515046</v>
      </c>
      <c r="BA13">
        <v>30000</v>
      </c>
      <c r="BB13">
        <v>0</v>
      </c>
      <c r="BC13">
        <v>0</v>
      </c>
      <c r="BD13">
        <v>53351</v>
      </c>
      <c r="BE13" t="s">
        <v>234</v>
      </c>
      <c r="BF13">
        <v>8744</v>
      </c>
      <c r="BG13">
        <v>2726</v>
      </c>
      <c r="BH13" t="s">
        <v>209</v>
      </c>
      <c r="BI13">
        <v>25748</v>
      </c>
      <c r="BJ13">
        <v>885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500</v>
      </c>
      <c r="BT13">
        <v>0</v>
      </c>
      <c r="BU13">
        <v>0</v>
      </c>
      <c r="BV13">
        <v>0</v>
      </c>
      <c r="BW13">
        <v>0</v>
      </c>
      <c r="BX13">
        <v>637000</v>
      </c>
      <c r="BY13">
        <v>0</v>
      </c>
      <c r="BZ13">
        <v>0</v>
      </c>
      <c r="CA13">
        <v>0</v>
      </c>
      <c r="CB13">
        <v>100000</v>
      </c>
      <c r="CC13">
        <v>100000</v>
      </c>
      <c r="CD13">
        <v>0</v>
      </c>
      <c r="CE13">
        <v>100000</v>
      </c>
      <c r="CF13">
        <v>0</v>
      </c>
      <c r="CG13">
        <v>0</v>
      </c>
      <c r="CH13">
        <v>530000</v>
      </c>
      <c r="CJ13" t="s">
        <v>210</v>
      </c>
      <c r="CL13" t="s">
        <v>211</v>
      </c>
      <c r="CM13">
        <v>0</v>
      </c>
      <c r="CN13">
        <v>0</v>
      </c>
      <c r="CO13">
        <v>0</v>
      </c>
      <c r="CP13">
        <v>0</v>
      </c>
      <c r="CU13">
        <v>7000</v>
      </c>
      <c r="CV13">
        <v>894</v>
      </c>
      <c r="CW13" t="s">
        <v>289</v>
      </c>
      <c r="CX13" t="s">
        <v>215</v>
      </c>
      <c r="CY13" t="s">
        <v>216</v>
      </c>
      <c r="CZ13" t="s">
        <v>217</v>
      </c>
      <c r="DB13" t="s">
        <v>357</v>
      </c>
      <c r="DD13" t="s">
        <v>358</v>
      </c>
      <c r="DF13" t="s">
        <v>220</v>
      </c>
      <c r="DG13">
        <v>451115</v>
      </c>
      <c r="DL13">
        <v>0</v>
      </c>
      <c r="DN13">
        <v>0</v>
      </c>
      <c r="DP13" t="s">
        <v>359</v>
      </c>
      <c r="DQ13">
        <v>4271033</v>
      </c>
      <c r="DR13" t="s">
        <v>223</v>
      </c>
      <c r="DS13">
        <v>8743.7999999999993</v>
      </c>
      <c r="DT13" s="1">
        <v>45470</v>
      </c>
      <c r="DU13" t="s">
        <v>360</v>
      </c>
      <c r="DV13">
        <v>0</v>
      </c>
      <c r="DW13">
        <v>1.5</v>
      </c>
      <c r="DX13">
        <v>7950</v>
      </c>
      <c r="DY13">
        <v>1431</v>
      </c>
      <c r="DZ13">
        <v>9381</v>
      </c>
      <c r="EC13">
        <v>0</v>
      </c>
      <c r="EQ13" t="s">
        <v>361</v>
      </c>
      <c r="ER13" s="1">
        <v>45458</v>
      </c>
      <c r="ES13">
        <v>3000</v>
      </c>
      <c r="ET13">
        <v>404981.86</v>
      </c>
      <c r="EU13">
        <v>5426.4</v>
      </c>
      <c r="EV13">
        <v>253714</v>
      </c>
      <c r="EW13" t="s">
        <v>362</v>
      </c>
      <c r="EX13">
        <v>0</v>
      </c>
      <c r="EY13" t="s">
        <v>226</v>
      </c>
      <c r="EZ13" t="s">
        <v>226</v>
      </c>
      <c r="FA13" t="s">
        <v>226</v>
      </c>
      <c r="FB13" t="s">
        <v>226</v>
      </c>
      <c r="FC13" t="s">
        <v>202</v>
      </c>
      <c r="FD13" t="s">
        <v>202</v>
      </c>
      <c r="FE13" t="s">
        <v>202</v>
      </c>
      <c r="FF13" t="s">
        <v>202</v>
      </c>
      <c r="FG13" t="s">
        <v>202</v>
      </c>
      <c r="FH13" t="s">
        <v>202</v>
      </c>
      <c r="FI13" t="s">
        <v>202</v>
      </c>
      <c r="FJ13" t="s">
        <v>202</v>
      </c>
      <c r="FK13" t="s">
        <v>202</v>
      </c>
      <c r="FL13" t="s">
        <v>202</v>
      </c>
      <c r="FM13" t="s">
        <v>202</v>
      </c>
      <c r="FN13" t="s">
        <v>202</v>
      </c>
      <c r="FO13">
        <v>30003</v>
      </c>
      <c r="FP13">
        <v>-3</v>
      </c>
      <c r="FQ13">
        <v>219.07</v>
      </c>
      <c r="FR13">
        <v>4763</v>
      </c>
      <c r="FS13">
        <v>0</v>
      </c>
      <c r="FT13">
        <v>0</v>
      </c>
      <c r="FW13">
        <v>0</v>
      </c>
      <c r="FX13">
        <v>0</v>
      </c>
      <c r="FY13">
        <v>0</v>
      </c>
      <c r="GA13">
        <v>536118</v>
      </c>
    </row>
    <row r="14" spans="1:195" x14ac:dyDescent="0.3">
      <c r="A14">
        <v>11285</v>
      </c>
      <c r="B14">
        <v>13</v>
      </c>
      <c r="C14" t="s">
        <v>195</v>
      </c>
      <c r="D14" t="s">
        <v>195</v>
      </c>
      <c r="E14" t="s">
        <v>363</v>
      </c>
      <c r="F14">
        <v>2457438826</v>
      </c>
      <c r="G14">
        <v>2457438826</v>
      </c>
      <c r="H14" t="s">
        <v>364</v>
      </c>
      <c r="I14" t="s">
        <v>198</v>
      </c>
      <c r="J14" t="s">
        <v>199</v>
      </c>
      <c r="L14" t="s">
        <v>260</v>
      </c>
      <c r="O14">
        <v>9009652642</v>
      </c>
      <c r="P14" t="s">
        <v>365</v>
      </c>
      <c r="Q14" s="1">
        <v>45472</v>
      </c>
      <c r="R14" s="1">
        <v>45472</v>
      </c>
      <c r="S14" s="1">
        <v>45472</v>
      </c>
      <c r="U14" t="s">
        <v>365</v>
      </c>
      <c r="W14" t="s">
        <v>202</v>
      </c>
      <c r="AB14" t="s">
        <v>366</v>
      </c>
      <c r="AD14" t="s">
        <v>310</v>
      </c>
      <c r="AE14">
        <v>4765</v>
      </c>
      <c r="AF14" t="s">
        <v>367</v>
      </c>
      <c r="AG14" t="s">
        <v>232</v>
      </c>
      <c r="AH14" t="s">
        <v>207</v>
      </c>
      <c r="AI14">
        <v>440309.992248</v>
      </c>
      <c r="AJ14">
        <v>568000</v>
      </c>
      <c r="AK14">
        <v>29</v>
      </c>
      <c r="AL14">
        <v>10000</v>
      </c>
      <c r="AM14">
        <v>0</v>
      </c>
      <c r="AN14">
        <v>0</v>
      </c>
      <c r="AO14">
        <v>2100</v>
      </c>
      <c r="AP14">
        <v>0</v>
      </c>
      <c r="AQ14">
        <v>15000</v>
      </c>
      <c r="AR14">
        <v>0</v>
      </c>
      <c r="AS14">
        <v>0</v>
      </c>
      <c r="AT14">
        <v>0</v>
      </c>
      <c r="AU14">
        <v>0</v>
      </c>
      <c r="AV14">
        <v>15000</v>
      </c>
      <c r="AW14">
        <v>0</v>
      </c>
      <c r="AX14">
        <v>0</v>
      </c>
      <c r="AY14">
        <v>42100</v>
      </c>
      <c r="AZ14">
        <v>525900</v>
      </c>
      <c r="BA14">
        <v>30000</v>
      </c>
      <c r="BB14">
        <v>0</v>
      </c>
      <c r="BC14">
        <v>0</v>
      </c>
      <c r="BD14">
        <v>53911</v>
      </c>
      <c r="BE14" t="s">
        <v>234</v>
      </c>
      <c r="BF14">
        <v>8850</v>
      </c>
      <c r="BG14">
        <v>2750</v>
      </c>
      <c r="BH14" t="s">
        <v>209</v>
      </c>
      <c r="BI14">
        <v>26064</v>
      </c>
      <c r="BJ14">
        <v>885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500</v>
      </c>
      <c r="BT14">
        <v>0</v>
      </c>
      <c r="BU14">
        <v>0</v>
      </c>
      <c r="BV14">
        <v>0</v>
      </c>
      <c r="BW14">
        <v>0</v>
      </c>
      <c r="BX14">
        <v>648860</v>
      </c>
      <c r="BY14">
        <v>0</v>
      </c>
      <c r="BZ14">
        <v>88015</v>
      </c>
      <c r="CA14">
        <v>0</v>
      </c>
      <c r="CB14">
        <v>0</v>
      </c>
      <c r="CC14">
        <v>0</v>
      </c>
      <c r="CD14">
        <v>0</v>
      </c>
      <c r="CE14">
        <v>88015</v>
      </c>
      <c r="CF14">
        <v>0</v>
      </c>
      <c r="CG14">
        <v>0</v>
      </c>
      <c r="CH14">
        <v>562835</v>
      </c>
      <c r="CJ14" t="s">
        <v>210</v>
      </c>
      <c r="CL14" t="s">
        <v>211</v>
      </c>
      <c r="CM14">
        <v>0</v>
      </c>
      <c r="CN14">
        <v>0</v>
      </c>
      <c r="CO14">
        <v>0</v>
      </c>
      <c r="CP14">
        <v>0</v>
      </c>
      <c r="CU14">
        <v>-1990</v>
      </c>
      <c r="CV14">
        <v>894</v>
      </c>
      <c r="CW14" t="s">
        <v>289</v>
      </c>
      <c r="CX14" t="s">
        <v>215</v>
      </c>
      <c r="CY14" t="s">
        <v>216</v>
      </c>
      <c r="CZ14" t="s">
        <v>217</v>
      </c>
      <c r="DB14" t="s">
        <v>368</v>
      </c>
      <c r="DD14" t="s">
        <v>369</v>
      </c>
      <c r="DF14" t="s">
        <v>220</v>
      </c>
      <c r="DG14">
        <v>451220</v>
      </c>
      <c r="DL14">
        <v>0</v>
      </c>
      <c r="DN14">
        <v>0</v>
      </c>
      <c r="DP14" t="s">
        <v>370</v>
      </c>
      <c r="DQ14">
        <v>4254199</v>
      </c>
      <c r="DR14" t="s">
        <v>223</v>
      </c>
      <c r="DS14">
        <v>8850</v>
      </c>
      <c r="DT14" s="1">
        <v>45472</v>
      </c>
      <c r="DU14" t="s">
        <v>371</v>
      </c>
      <c r="DV14">
        <v>0</v>
      </c>
      <c r="DW14">
        <v>1.5</v>
      </c>
      <c r="DX14">
        <v>8442.5300000000007</v>
      </c>
      <c r="DY14">
        <v>1519.66</v>
      </c>
      <c r="DZ14">
        <v>9962.19</v>
      </c>
      <c r="EC14">
        <v>0</v>
      </c>
      <c r="EQ14" t="s">
        <v>372</v>
      </c>
      <c r="ER14" s="1">
        <v>45425</v>
      </c>
      <c r="ES14">
        <v>3000</v>
      </c>
      <c r="ET14">
        <v>410408.86</v>
      </c>
      <c r="EU14">
        <v>5426.4</v>
      </c>
      <c r="EV14">
        <v>254539</v>
      </c>
      <c r="EW14" t="s">
        <v>373</v>
      </c>
      <c r="EX14">
        <v>0</v>
      </c>
      <c r="EY14" t="s">
        <v>226</v>
      </c>
      <c r="EZ14" t="s">
        <v>226</v>
      </c>
      <c r="FA14" t="s">
        <v>226</v>
      </c>
      <c r="FB14" t="s">
        <v>226</v>
      </c>
      <c r="FC14" t="s">
        <v>202</v>
      </c>
      <c r="FD14" t="s">
        <v>202</v>
      </c>
      <c r="FE14" t="s">
        <v>202</v>
      </c>
      <c r="FF14" t="s">
        <v>202</v>
      </c>
      <c r="FG14" t="s">
        <v>202</v>
      </c>
      <c r="FH14" t="s">
        <v>202</v>
      </c>
      <c r="FI14" t="s">
        <v>202</v>
      </c>
      <c r="FJ14" t="s">
        <v>202</v>
      </c>
      <c r="FK14" t="s">
        <v>202</v>
      </c>
      <c r="FL14" t="s">
        <v>202</v>
      </c>
      <c r="FM14" t="s">
        <v>202</v>
      </c>
      <c r="FN14" t="s">
        <v>202</v>
      </c>
      <c r="FO14">
        <v>31360</v>
      </c>
      <c r="FP14">
        <v>-1360</v>
      </c>
      <c r="FQ14">
        <v>867.78</v>
      </c>
      <c r="FR14">
        <v>4765</v>
      </c>
      <c r="FS14">
        <v>0</v>
      </c>
      <c r="FT14">
        <v>0</v>
      </c>
      <c r="FW14">
        <v>0</v>
      </c>
      <c r="FX14">
        <v>0</v>
      </c>
      <c r="FY14">
        <v>0</v>
      </c>
      <c r="GA14">
        <v>561320</v>
      </c>
    </row>
    <row r="15" spans="1:195" x14ac:dyDescent="0.3">
      <c r="A15">
        <v>11072</v>
      </c>
      <c r="B15">
        <v>14</v>
      </c>
      <c r="C15" t="s">
        <v>374</v>
      </c>
      <c r="D15" t="s">
        <v>374</v>
      </c>
      <c r="E15" t="s">
        <v>375</v>
      </c>
      <c r="F15">
        <v>2457108222</v>
      </c>
      <c r="G15">
        <v>2457108222</v>
      </c>
      <c r="H15" t="s">
        <v>376</v>
      </c>
      <c r="I15" t="s">
        <v>198</v>
      </c>
      <c r="J15" t="s">
        <v>199</v>
      </c>
      <c r="L15" t="s">
        <v>377</v>
      </c>
      <c r="O15">
        <v>7771926588</v>
      </c>
      <c r="P15" t="s">
        <v>378</v>
      </c>
      <c r="Q15" s="1">
        <v>45447</v>
      </c>
      <c r="R15" s="1">
        <v>45447</v>
      </c>
      <c r="S15" s="1">
        <v>45446</v>
      </c>
      <c r="U15" t="s">
        <v>378</v>
      </c>
      <c r="W15" t="s">
        <v>202</v>
      </c>
      <c r="AB15" t="s">
        <v>379</v>
      </c>
      <c r="AD15" t="s">
        <v>310</v>
      </c>
      <c r="AE15">
        <v>4765</v>
      </c>
      <c r="AF15" t="s">
        <v>367</v>
      </c>
      <c r="AG15" t="s">
        <v>232</v>
      </c>
      <c r="AH15" t="s">
        <v>207</v>
      </c>
      <c r="AI15">
        <v>440309.992248</v>
      </c>
      <c r="AJ15">
        <v>568000</v>
      </c>
      <c r="AK15">
        <v>29</v>
      </c>
      <c r="AL15">
        <v>10000</v>
      </c>
      <c r="AM15">
        <v>0</v>
      </c>
      <c r="AN15">
        <v>0</v>
      </c>
      <c r="AO15">
        <v>0</v>
      </c>
      <c r="AP15">
        <v>0</v>
      </c>
      <c r="AQ15">
        <v>15000</v>
      </c>
      <c r="AR15">
        <v>0</v>
      </c>
      <c r="AS15">
        <v>0</v>
      </c>
      <c r="AT15">
        <v>0</v>
      </c>
      <c r="AU15">
        <v>0</v>
      </c>
      <c r="AV15">
        <v>12146</v>
      </c>
      <c r="AW15">
        <v>0</v>
      </c>
      <c r="AX15">
        <v>0</v>
      </c>
      <c r="AY15">
        <v>37146</v>
      </c>
      <c r="AZ15">
        <v>530854</v>
      </c>
      <c r="BA15">
        <v>8000</v>
      </c>
      <c r="BB15">
        <v>0</v>
      </c>
      <c r="BC15">
        <v>0</v>
      </c>
      <c r="BD15">
        <v>53911</v>
      </c>
      <c r="BE15" t="s">
        <v>234</v>
      </c>
      <c r="BF15">
        <v>8850</v>
      </c>
      <c r="BG15">
        <v>0</v>
      </c>
      <c r="BH15" t="s">
        <v>209</v>
      </c>
      <c r="BI15">
        <v>25500</v>
      </c>
      <c r="BJ15">
        <v>885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628000</v>
      </c>
      <c r="BY15">
        <v>0</v>
      </c>
      <c r="BZ15">
        <v>138832</v>
      </c>
      <c r="CA15">
        <v>0</v>
      </c>
      <c r="CB15">
        <v>0</v>
      </c>
      <c r="CC15">
        <v>0</v>
      </c>
      <c r="CD15">
        <v>0</v>
      </c>
      <c r="CE15">
        <v>138832</v>
      </c>
      <c r="CF15">
        <v>0</v>
      </c>
      <c r="CG15">
        <v>0</v>
      </c>
      <c r="CH15">
        <v>489168</v>
      </c>
      <c r="CJ15" t="s">
        <v>380</v>
      </c>
      <c r="CL15" t="s">
        <v>211</v>
      </c>
      <c r="CM15">
        <v>0</v>
      </c>
      <c r="CN15">
        <v>0</v>
      </c>
      <c r="CO15">
        <v>0</v>
      </c>
      <c r="CP15">
        <v>0</v>
      </c>
      <c r="CU15">
        <v>0</v>
      </c>
      <c r="CV15" t="s">
        <v>381</v>
      </c>
      <c r="CW15" t="s">
        <v>382</v>
      </c>
      <c r="CX15" t="s">
        <v>383</v>
      </c>
      <c r="CY15" t="s">
        <v>384</v>
      </c>
      <c r="CZ15" t="s">
        <v>217</v>
      </c>
      <c r="DB15" t="s">
        <v>385</v>
      </c>
      <c r="DD15" t="s">
        <v>386</v>
      </c>
      <c r="DF15" t="s">
        <v>220</v>
      </c>
      <c r="DG15">
        <v>454001</v>
      </c>
      <c r="DL15">
        <v>0</v>
      </c>
      <c r="DN15">
        <v>0</v>
      </c>
      <c r="DP15" t="s">
        <v>387</v>
      </c>
      <c r="DQ15">
        <v>4257441</v>
      </c>
      <c r="DR15" t="s">
        <v>223</v>
      </c>
      <c r="DS15">
        <v>8850</v>
      </c>
      <c r="DT15" s="1">
        <v>45447</v>
      </c>
      <c r="DU15" t="s">
        <v>388</v>
      </c>
      <c r="DV15">
        <v>0</v>
      </c>
      <c r="DW15">
        <v>1.5</v>
      </c>
      <c r="DX15">
        <v>7337.52</v>
      </c>
      <c r="DY15">
        <v>1320.75</v>
      </c>
      <c r="DZ15">
        <v>8658.27</v>
      </c>
      <c r="EC15">
        <v>0</v>
      </c>
      <c r="EQ15" t="s">
        <v>389</v>
      </c>
      <c r="ER15" s="1">
        <v>45427</v>
      </c>
      <c r="ES15">
        <v>3000</v>
      </c>
      <c r="ET15">
        <v>410408.86</v>
      </c>
      <c r="EU15">
        <v>5426.4</v>
      </c>
      <c r="EV15">
        <v>250095</v>
      </c>
      <c r="EW15" t="s">
        <v>390</v>
      </c>
      <c r="EX15">
        <v>0</v>
      </c>
      <c r="EY15" t="s">
        <v>226</v>
      </c>
      <c r="EZ15" t="s">
        <v>226</v>
      </c>
      <c r="FA15" t="s">
        <v>226</v>
      </c>
      <c r="FB15" t="s">
        <v>202</v>
      </c>
      <c r="FC15" t="s">
        <v>202</v>
      </c>
      <c r="FD15" t="s">
        <v>202</v>
      </c>
      <c r="FE15" t="s">
        <v>202</v>
      </c>
      <c r="FF15" t="s">
        <v>202</v>
      </c>
      <c r="FG15" t="s">
        <v>202</v>
      </c>
      <c r="FH15" t="s">
        <v>202</v>
      </c>
      <c r="FI15" t="s">
        <v>202</v>
      </c>
      <c r="FJ15" t="s">
        <v>202</v>
      </c>
      <c r="FK15" t="s">
        <v>202</v>
      </c>
      <c r="FL15" t="s">
        <v>202</v>
      </c>
      <c r="FM15" t="s">
        <v>202</v>
      </c>
      <c r="FN15" t="s">
        <v>202</v>
      </c>
      <c r="FO15">
        <v>8000</v>
      </c>
      <c r="FP15">
        <v>0</v>
      </c>
      <c r="FQ15">
        <v>140.38999999999999</v>
      </c>
      <c r="FR15">
        <v>4765</v>
      </c>
      <c r="FS15">
        <v>0</v>
      </c>
      <c r="FT15">
        <v>0</v>
      </c>
      <c r="FW15">
        <v>0</v>
      </c>
      <c r="FX15">
        <v>0</v>
      </c>
      <c r="FY15">
        <v>0</v>
      </c>
      <c r="GA15">
        <v>-885</v>
      </c>
    </row>
    <row r="16" spans="1:195" x14ac:dyDescent="0.3">
      <c r="A16">
        <v>11074</v>
      </c>
      <c r="B16">
        <v>15</v>
      </c>
      <c r="C16" t="s">
        <v>374</v>
      </c>
      <c r="D16" t="s">
        <v>374</v>
      </c>
      <c r="E16" t="s">
        <v>391</v>
      </c>
      <c r="F16">
        <v>2457120313</v>
      </c>
      <c r="G16">
        <v>2457120313</v>
      </c>
      <c r="H16" t="s">
        <v>392</v>
      </c>
      <c r="I16" t="s">
        <v>198</v>
      </c>
      <c r="J16" t="s">
        <v>199</v>
      </c>
      <c r="L16" t="s">
        <v>393</v>
      </c>
      <c r="O16">
        <v>9977769573</v>
      </c>
      <c r="P16" t="s">
        <v>394</v>
      </c>
      <c r="Q16" s="1">
        <v>45448</v>
      </c>
      <c r="R16" s="1">
        <v>45448</v>
      </c>
      <c r="S16" s="1">
        <v>45447</v>
      </c>
      <c r="U16" t="s">
        <v>394</v>
      </c>
      <c r="W16" t="s">
        <v>202</v>
      </c>
      <c r="AB16" t="s">
        <v>395</v>
      </c>
      <c r="AD16" t="s">
        <v>310</v>
      </c>
      <c r="AE16">
        <v>4763</v>
      </c>
      <c r="AF16" t="s">
        <v>355</v>
      </c>
      <c r="AG16" t="s">
        <v>232</v>
      </c>
      <c r="AH16" t="s">
        <v>207</v>
      </c>
      <c r="AI16">
        <v>434883.62790700002</v>
      </c>
      <c r="AJ16">
        <v>561000</v>
      </c>
      <c r="AK16">
        <v>29</v>
      </c>
      <c r="AL16">
        <v>10000</v>
      </c>
      <c r="AM16">
        <v>0</v>
      </c>
      <c r="AN16">
        <v>0</v>
      </c>
      <c r="AO16">
        <v>2100</v>
      </c>
      <c r="AP16">
        <v>0</v>
      </c>
      <c r="AQ16">
        <v>15000</v>
      </c>
      <c r="AR16">
        <v>0</v>
      </c>
      <c r="AS16">
        <v>0</v>
      </c>
      <c r="AT16">
        <v>0</v>
      </c>
      <c r="AU16">
        <v>0</v>
      </c>
      <c r="AV16">
        <v>13580</v>
      </c>
      <c r="AW16">
        <v>0</v>
      </c>
      <c r="AX16">
        <v>0</v>
      </c>
      <c r="AY16">
        <v>40680</v>
      </c>
      <c r="AZ16">
        <v>520320</v>
      </c>
      <c r="BA16">
        <v>31700</v>
      </c>
      <c r="BB16">
        <v>0</v>
      </c>
      <c r="BC16">
        <v>0</v>
      </c>
      <c r="BD16">
        <v>53351</v>
      </c>
      <c r="BE16" t="s">
        <v>234</v>
      </c>
      <c r="BF16">
        <v>8744</v>
      </c>
      <c r="BG16">
        <v>0</v>
      </c>
      <c r="BH16" t="s">
        <v>209</v>
      </c>
      <c r="BI16">
        <v>25000</v>
      </c>
      <c r="BJ16">
        <v>885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640000</v>
      </c>
      <c r="BY16">
        <v>0</v>
      </c>
      <c r="BZ16">
        <v>150885</v>
      </c>
      <c r="CA16">
        <v>0</v>
      </c>
      <c r="CB16">
        <v>0</v>
      </c>
      <c r="CC16">
        <v>0</v>
      </c>
      <c r="CD16">
        <v>0</v>
      </c>
      <c r="CE16">
        <v>150885</v>
      </c>
      <c r="CF16">
        <v>0</v>
      </c>
      <c r="CG16">
        <v>0</v>
      </c>
      <c r="CH16">
        <v>489115</v>
      </c>
      <c r="CJ16" t="s">
        <v>380</v>
      </c>
      <c r="CL16" t="s">
        <v>211</v>
      </c>
      <c r="CM16">
        <v>0</v>
      </c>
      <c r="CN16">
        <v>0</v>
      </c>
      <c r="CO16">
        <v>0</v>
      </c>
      <c r="CP16">
        <v>0</v>
      </c>
      <c r="CU16">
        <v>0</v>
      </c>
      <c r="CV16" t="s">
        <v>381</v>
      </c>
      <c r="CW16" t="s">
        <v>382</v>
      </c>
      <c r="CX16" t="s">
        <v>383</v>
      </c>
      <c r="CY16" t="s">
        <v>384</v>
      </c>
      <c r="CZ16" t="s">
        <v>217</v>
      </c>
      <c r="DB16" t="s">
        <v>396</v>
      </c>
      <c r="DD16" t="s">
        <v>397</v>
      </c>
      <c r="DF16" t="s">
        <v>220</v>
      </c>
      <c r="DG16">
        <v>451551</v>
      </c>
      <c r="DL16">
        <v>0</v>
      </c>
      <c r="DN16">
        <v>0</v>
      </c>
      <c r="DP16" t="s">
        <v>398</v>
      </c>
      <c r="DQ16">
        <v>4260703</v>
      </c>
      <c r="DR16" t="s">
        <v>223</v>
      </c>
      <c r="DS16">
        <v>8743.7999999999993</v>
      </c>
      <c r="DT16" s="1">
        <v>45448</v>
      </c>
      <c r="DU16" t="s">
        <v>399</v>
      </c>
      <c r="DV16">
        <v>0</v>
      </c>
      <c r="DW16">
        <v>1.5</v>
      </c>
      <c r="DX16">
        <v>7336.73</v>
      </c>
      <c r="DY16">
        <v>1320.61</v>
      </c>
      <c r="DZ16">
        <v>8657.34</v>
      </c>
      <c r="EC16">
        <v>0</v>
      </c>
      <c r="EQ16" t="s">
        <v>400</v>
      </c>
      <c r="ER16" s="1">
        <v>45436</v>
      </c>
      <c r="ES16">
        <v>3000</v>
      </c>
      <c r="ET16">
        <v>404981.86</v>
      </c>
      <c r="EU16">
        <v>5426.4</v>
      </c>
      <c r="EV16">
        <v>250217</v>
      </c>
      <c r="EW16" t="s">
        <v>401</v>
      </c>
      <c r="EX16">
        <v>0</v>
      </c>
      <c r="EY16" t="s">
        <v>226</v>
      </c>
      <c r="EZ16" t="s">
        <v>226</v>
      </c>
      <c r="FA16" t="s">
        <v>226</v>
      </c>
      <c r="FB16" t="s">
        <v>202</v>
      </c>
      <c r="FC16" t="s">
        <v>202</v>
      </c>
      <c r="FD16" t="s">
        <v>202</v>
      </c>
      <c r="FE16" t="s">
        <v>202</v>
      </c>
      <c r="FF16" t="s">
        <v>202</v>
      </c>
      <c r="FG16" t="s">
        <v>202</v>
      </c>
      <c r="FH16" t="s">
        <v>202</v>
      </c>
      <c r="FI16" t="s">
        <v>202</v>
      </c>
      <c r="FJ16" t="s">
        <v>202</v>
      </c>
      <c r="FK16" t="s">
        <v>202</v>
      </c>
      <c r="FL16" t="s">
        <v>202</v>
      </c>
      <c r="FM16" t="s">
        <v>202</v>
      </c>
      <c r="FN16" t="s">
        <v>202</v>
      </c>
      <c r="FO16">
        <v>31675</v>
      </c>
      <c r="FP16">
        <v>25</v>
      </c>
      <c r="FQ16">
        <v>0</v>
      </c>
      <c r="FR16">
        <v>4763</v>
      </c>
      <c r="FS16">
        <v>0</v>
      </c>
      <c r="FT16">
        <v>0</v>
      </c>
      <c r="FW16">
        <v>0</v>
      </c>
      <c r="FX16">
        <v>0</v>
      </c>
      <c r="FY16">
        <v>0</v>
      </c>
      <c r="GA16">
        <v>-885</v>
      </c>
    </row>
    <row r="17" spans="1:183" x14ac:dyDescent="0.3">
      <c r="A17">
        <v>11076</v>
      </c>
      <c r="B17">
        <v>16</v>
      </c>
      <c r="C17" t="s">
        <v>374</v>
      </c>
      <c r="D17" t="s">
        <v>374</v>
      </c>
      <c r="E17" t="s">
        <v>402</v>
      </c>
      <c r="F17">
        <v>2456708127</v>
      </c>
      <c r="G17">
        <v>2456708127</v>
      </c>
      <c r="H17" t="s">
        <v>403</v>
      </c>
      <c r="I17" t="s">
        <v>198</v>
      </c>
      <c r="J17" t="s">
        <v>199</v>
      </c>
      <c r="L17" t="s">
        <v>377</v>
      </c>
      <c r="O17">
        <v>9993662309</v>
      </c>
      <c r="P17" t="s">
        <v>404</v>
      </c>
      <c r="Q17" s="1">
        <v>45448</v>
      </c>
      <c r="R17" s="1">
        <v>45448</v>
      </c>
      <c r="S17" s="1">
        <v>45448</v>
      </c>
      <c r="U17" t="s">
        <v>404</v>
      </c>
      <c r="W17" t="s">
        <v>202</v>
      </c>
      <c r="AB17">
        <v>807129</v>
      </c>
      <c r="AD17" t="s">
        <v>287</v>
      </c>
      <c r="AE17">
        <v>4725</v>
      </c>
      <c r="AF17" t="s">
        <v>405</v>
      </c>
      <c r="AG17" t="s">
        <v>232</v>
      </c>
      <c r="AH17" t="s">
        <v>250</v>
      </c>
      <c r="AI17">
        <v>677931.02069000003</v>
      </c>
      <c r="AJ17">
        <v>983000</v>
      </c>
      <c r="AK17">
        <v>45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983000</v>
      </c>
      <c r="BA17">
        <v>16733</v>
      </c>
      <c r="BB17">
        <v>0</v>
      </c>
      <c r="BC17">
        <v>0</v>
      </c>
      <c r="BD17">
        <v>86811</v>
      </c>
      <c r="BE17" t="s">
        <v>234</v>
      </c>
      <c r="BF17">
        <v>16709</v>
      </c>
      <c r="BG17">
        <v>0</v>
      </c>
      <c r="BH17" t="s">
        <v>209</v>
      </c>
      <c r="BI17">
        <v>33987</v>
      </c>
      <c r="BJ17">
        <v>885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1138125</v>
      </c>
      <c r="BY17">
        <v>0</v>
      </c>
      <c r="BZ17">
        <v>0</v>
      </c>
      <c r="CA17">
        <v>0</v>
      </c>
      <c r="CB17">
        <v>1138124</v>
      </c>
      <c r="CC17">
        <v>11000</v>
      </c>
      <c r="CD17">
        <v>0</v>
      </c>
      <c r="CE17">
        <v>1138124</v>
      </c>
      <c r="CF17">
        <v>0</v>
      </c>
      <c r="CG17">
        <v>0</v>
      </c>
      <c r="CH17">
        <v>1125624</v>
      </c>
      <c r="CI17">
        <v>1125624</v>
      </c>
      <c r="CJ17" t="s">
        <v>406</v>
      </c>
      <c r="CL17" t="s">
        <v>236</v>
      </c>
      <c r="CM17">
        <v>0</v>
      </c>
      <c r="CN17">
        <v>0</v>
      </c>
      <c r="CO17">
        <v>0</v>
      </c>
      <c r="CP17">
        <v>0</v>
      </c>
      <c r="CU17">
        <v>1</v>
      </c>
      <c r="CV17" t="s">
        <v>381</v>
      </c>
      <c r="CW17" t="s">
        <v>382</v>
      </c>
      <c r="CX17" t="s">
        <v>383</v>
      </c>
      <c r="CY17" t="s">
        <v>384</v>
      </c>
      <c r="CZ17" t="s">
        <v>217</v>
      </c>
      <c r="DB17" t="s">
        <v>407</v>
      </c>
      <c r="DD17" t="s">
        <v>408</v>
      </c>
      <c r="DF17" t="s">
        <v>220</v>
      </c>
      <c r="DG17">
        <v>454001</v>
      </c>
      <c r="DL17">
        <v>0</v>
      </c>
      <c r="DN17">
        <v>0</v>
      </c>
      <c r="DP17" t="s">
        <v>409</v>
      </c>
      <c r="DQ17">
        <v>9516793</v>
      </c>
      <c r="DR17" t="s">
        <v>223</v>
      </c>
      <c r="DS17">
        <v>16708.8</v>
      </c>
      <c r="DT17" s="1">
        <v>45448</v>
      </c>
      <c r="DU17" t="s">
        <v>410</v>
      </c>
      <c r="DV17">
        <v>0</v>
      </c>
      <c r="DW17">
        <v>1.27</v>
      </c>
      <c r="DX17">
        <v>14295.42</v>
      </c>
      <c r="DY17">
        <v>2573.1799999999998</v>
      </c>
      <c r="DZ17">
        <v>16868.599999999999</v>
      </c>
      <c r="EC17">
        <v>0</v>
      </c>
      <c r="EQ17" t="s">
        <v>411</v>
      </c>
      <c r="ER17" s="1">
        <v>45442</v>
      </c>
      <c r="ES17">
        <v>8500</v>
      </c>
      <c r="ET17">
        <v>632556.03</v>
      </c>
      <c r="EU17">
        <v>0</v>
      </c>
      <c r="EV17">
        <v>245600</v>
      </c>
      <c r="EW17" t="s">
        <v>412</v>
      </c>
      <c r="EX17">
        <v>0</v>
      </c>
      <c r="EY17" t="s">
        <v>226</v>
      </c>
      <c r="EZ17" t="s">
        <v>226</v>
      </c>
      <c r="FA17" t="s">
        <v>226</v>
      </c>
      <c r="FB17" t="s">
        <v>202</v>
      </c>
      <c r="FC17" t="s">
        <v>202</v>
      </c>
      <c r="FD17" t="s">
        <v>202</v>
      </c>
      <c r="FE17" t="s">
        <v>202</v>
      </c>
      <c r="FF17" t="s">
        <v>202</v>
      </c>
      <c r="FG17" t="s">
        <v>202</v>
      </c>
      <c r="FH17" t="s">
        <v>202</v>
      </c>
      <c r="FI17" t="s">
        <v>202</v>
      </c>
      <c r="FJ17" t="s">
        <v>202</v>
      </c>
      <c r="FK17" t="s">
        <v>202</v>
      </c>
      <c r="FL17" t="s">
        <v>202</v>
      </c>
      <c r="FM17" t="s">
        <v>202</v>
      </c>
      <c r="FN17" t="s">
        <v>202</v>
      </c>
      <c r="FO17">
        <v>16699</v>
      </c>
      <c r="FP17">
        <v>34</v>
      </c>
      <c r="FQ17">
        <v>0</v>
      </c>
      <c r="FR17">
        <v>4725</v>
      </c>
      <c r="FS17">
        <v>0</v>
      </c>
      <c r="FT17">
        <v>0</v>
      </c>
      <c r="FW17">
        <v>0</v>
      </c>
      <c r="FX17">
        <v>0</v>
      </c>
      <c r="FY17">
        <v>0</v>
      </c>
      <c r="GA17">
        <v>-885</v>
      </c>
    </row>
    <row r="18" spans="1:183" x14ac:dyDescent="0.3">
      <c r="A18">
        <v>11081</v>
      </c>
      <c r="B18">
        <v>17</v>
      </c>
      <c r="C18" t="s">
        <v>374</v>
      </c>
      <c r="D18" t="s">
        <v>374</v>
      </c>
      <c r="E18" t="s">
        <v>413</v>
      </c>
      <c r="F18">
        <v>2457079912</v>
      </c>
      <c r="G18">
        <v>2457079912</v>
      </c>
      <c r="H18" t="s">
        <v>414</v>
      </c>
      <c r="I18" t="s">
        <v>198</v>
      </c>
      <c r="J18" t="s">
        <v>199</v>
      </c>
      <c r="L18" t="s">
        <v>393</v>
      </c>
      <c r="O18">
        <v>7746015448</v>
      </c>
      <c r="P18" t="s">
        <v>415</v>
      </c>
      <c r="Q18" s="1">
        <v>45443</v>
      </c>
      <c r="R18" s="1">
        <v>45443</v>
      </c>
      <c r="S18" s="1">
        <v>45449</v>
      </c>
      <c r="U18" t="s">
        <v>415</v>
      </c>
      <c r="W18" t="s">
        <v>202</v>
      </c>
      <c r="AB18">
        <v>398979</v>
      </c>
      <c r="AD18" t="s">
        <v>323</v>
      </c>
      <c r="AE18">
        <v>4786</v>
      </c>
      <c r="AF18" t="s">
        <v>416</v>
      </c>
      <c r="AG18" t="s">
        <v>232</v>
      </c>
      <c r="AH18" t="s">
        <v>250</v>
      </c>
      <c r="AI18">
        <v>768621</v>
      </c>
      <c r="AJ18">
        <v>1114500</v>
      </c>
      <c r="AK18">
        <v>45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10000</v>
      </c>
      <c r="AR18">
        <v>0</v>
      </c>
      <c r="AS18">
        <v>0</v>
      </c>
      <c r="AT18">
        <v>0</v>
      </c>
      <c r="AU18">
        <v>0</v>
      </c>
      <c r="AV18">
        <v>10146</v>
      </c>
      <c r="AW18">
        <v>0</v>
      </c>
      <c r="AX18">
        <v>0</v>
      </c>
      <c r="AY18">
        <v>20146</v>
      </c>
      <c r="AZ18">
        <v>1094354</v>
      </c>
      <c r="BA18">
        <v>65000</v>
      </c>
      <c r="BB18">
        <v>0</v>
      </c>
      <c r="BC18">
        <v>0</v>
      </c>
      <c r="BD18">
        <v>119239</v>
      </c>
      <c r="BE18" t="s">
        <v>234</v>
      </c>
      <c r="BF18">
        <v>19211</v>
      </c>
      <c r="BG18">
        <v>5476</v>
      </c>
      <c r="BH18" t="s">
        <v>209</v>
      </c>
      <c r="BI18">
        <v>34782</v>
      </c>
      <c r="BJ18">
        <v>885</v>
      </c>
      <c r="BK18">
        <v>0</v>
      </c>
      <c r="BL18">
        <v>0</v>
      </c>
      <c r="BM18">
        <v>0</v>
      </c>
      <c r="BN18">
        <v>11054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1350001</v>
      </c>
      <c r="BY18">
        <v>0</v>
      </c>
      <c r="BZ18">
        <v>0</v>
      </c>
      <c r="CA18">
        <v>0</v>
      </c>
      <c r="CB18">
        <v>1350000</v>
      </c>
      <c r="CC18">
        <v>0</v>
      </c>
      <c r="CD18">
        <v>0</v>
      </c>
      <c r="CE18">
        <v>1350000</v>
      </c>
      <c r="CF18">
        <v>0</v>
      </c>
      <c r="CG18">
        <v>0</v>
      </c>
      <c r="CH18">
        <v>0</v>
      </c>
      <c r="CJ18" t="s">
        <v>251</v>
      </c>
      <c r="CL18" t="s">
        <v>236</v>
      </c>
      <c r="CM18">
        <v>0</v>
      </c>
      <c r="CN18">
        <v>0</v>
      </c>
      <c r="CO18">
        <v>0</v>
      </c>
      <c r="CP18">
        <v>0</v>
      </c>
      <c r="CU18">
        <v>1</v>
      </c>
      <c r="CV18" t="s">
        <v>417</v>
      </c>
      <c r="CW18" t="s">
        <v>418</v>
      </c>
      <c r="CX18" t="s">
        <v>383</v>
      </c>
      <c r="CY18" t="s">
        <v>384</v>
      </c>
      <c r="CZ18" t="s">
        <v>217</v>
      </c>
      <c r="DB18" t="s">
        <v>419</v>
      </c>
      <c r="DD18" t="s">
        <v>420</v>
      </c>
      <c r="DF18" t="s">
        <v>220</v>
      </c>
      <c r="DG18">
        <v>451551</v>
      </c>
      <c r="DL18">
        <v>0</v>
      </c>
      <c r="DN18">
        <v>0</v>
      </c>
      <c r="DP18" t="s">
        <v>421</v>
      </c>
      <c r="DQ18">
        <v>7406754</v>
      </c>
      <c r="DR18" t="s">
        <v>223</v>
      </c>
      <c r="DS18">
        <v>19210.400000000001</v>
      </c>
      <c r="DT18" s="1">
        <v>45449</v>
      </c>
      <c r="DU18" t="s">
        <v>422</v>
      </c>
      <c r="DV18">
        <v>0</v>
      </c>
      <c r="DW18">
        <v>1.27</v>
      </c>
      <c r="DX18">
        <v>8890</v>
      </c>
      <c r="DY18">
        <v>1600.2</v>
      </c>
      <c r="DZ18">
        <v>10490.2</v>
      </c>
      <c r="EC18">
        <v>0</v>
      </c>
      <c r="EQ18" t="s">
        <v>423</v>
      </c>
      <c r="ER18" s="1">
        <v>45386</v>
      </c>
      <c r="ES18">
        <v>6000</v>
      </c>
      <c r="ET18">
        <v>721496</v>
      </c>
      <c r="EU18">
        <v>0</v>
      </c>
      <c r="EV18">
        <v>249761</v>
      </c>
      <c r="EW18" t="s">
        <v>424</v>
      </c>
      <c r="EX18">
        <v>0</v>
      </c>
      <c r="EY18" t="s">
        <v>226</v>
      </c>
      <c r="EZ18" t="s">
        <v>226</v>
      </c>
      <c r="FA18" t="s">
        <v>226</v>
      </c>
      <c r="FB18" t="s">
        <v>202</v>
      </c>
      <c r="FC18" t="s">
        <v>202</v>
      </c>
      <c r="FD18" t="s">
        <v>202</v>
      </c>
      <c r="FE18" t="s">
        <v>202</v>
      </c>
      <c r="FF18" t="s">
        <v>202</v>
      </c>
      <c r="FG18" t="s">
        <v>202</v>
      </c>
      <c r="FH18" t="s">
        <v>202</v>
      </c>
      <c r="FI18" t="s">
        <v>202</v>
      </c>
      <c r="FJ18" t="s">
        <v>202</v>
      </c>
      <c r="FK18" t="s">
        <v>202</v>
      </c>
      <c r="FL18" t="s">
        <v>202</v>
      </c>
      <c r="FM18" t="s">
        <v>202</v>
      </c>
      <c r="FN18" t="s">
        <v>202</v>
      </c>
      <c r="FO18">
        <v>63878</v>
      </c>
      <c r="FP18">
        <v>1122</v>
      </c>
      <c r="FQ18">
        <v>0</v>
      </c>
      <c r="FR18">
        <v>4786</v>
      </c>
      <c r="FS18">
        <v>0</v>
      </c>
      <c r="FT18">
        <v>0</v>
      </c>
      <c r="FW18">
        <v>0</v>
      </c>
      <c r="FX18">
        <v>0</v>
      </c>
      <c r="FY18">
        <v>0</v>
      </c>
      <c r="GA18">
        <v>-2007</v>
      </c>
    </row>
    <row r="19" spans="1:183" x14ac:dyDescent="0.3">
      <c r="A19">
        <v>11083</v>
      </c>
      <c r="B19">
        <v>18</v>
      </c>
      <c r="C19" t="s">
        <v>374</v>
      </c>
      <c r="D19" t="s">
        <v>374</v>
      </c>
      <c r="E19" t="s">
        <v>425</v>
      </c>
      <c r="F19">
        <v>2457101080</v>
      </c>
      <c r="G19">
        <v>2457101080</v>
      </c>
      <c r="H19" t="s">
        <v>426</v>
      </c>
      <c r="I19" t="s">
        <v>198</v>
      </c>
      <c r="J19" t="s">
        <v>199</v>
      </c>
      <c r="L19" t="s">
        <v>393</v>
      </c>
      <c r="O19">
        <v>7898571166</v>
      </c>
      <c r="P19" t="s">
        <v>427</v>
      </c>
      <c r="Q19" s="1">
        <v>45450</v>
      </c>
      <c r="R19" s="1">
        <v>45450</v>
      </c>
      <c r="S19" s="1">
        <v>45450</v>
      </c>
      <c r="U19" t="s">
        <v>427</v>
      </c>
      <c r="W19" t="s">
        <v>202</v>
      </c>
      <c r="AB19" t="s">
        <v>428</v>
      </c>
      <c r="AD19" t="s">
        <v>310</v>
      </c>
      <c r="AE19">
        <v>4765</v>
      </c>
      <c r="AF19" t="s">
        <v>367</v>
      </c>
      <c r="AG19" t="s">
        <v>232</v>
      </c>
      <c r="AH19" t="s">
        <v>207</v>
      </c>
      <c r="AI19">
        <v>440309.992248</v>
      </c>
      <c r="AJ19">
        <v>568000</v>
      </c>
      <c r="AK19">
        <v>29</v>
      </c>
      <c r="AL19">
        <v>10000</v>
      </c>
      <c r="AM19">
        <v>0</v>
      </c>
      <c r="AN19">
        <v>0</v>
      </c>
      <c r="AO19">
        <v>0</v>
      </c>
      <c r="AP19">
        <v>0</v>
      </c>
      <c r="AQ19">
        <v>15000</v>
      </c>
      <c r="AR19">
        <v>0</v>
      </c>
      <c r="AS19">
        <v>0</v>
      </c>
      <c r="AT19">
        <v>0</v>
      </c>
      <c r="AU19">
        <v>0</v>
      </c>
      <c r="AV19">
        <v>20646</v>
      </c>
      <c r="AW19">
        <v>0</v>
      </c>
      <c r="AX19">
        <v>0</v>
      </c>
      <c r="AY19">
        <v>45646</v>
      </c>
      <c r="AZ19">
        <v>522354</v>
      </c>
      <c r="BA19">
        <v>28000</v>
      </c>
      <c r="BB19">
        <v>0</v>
      </c>
      <c r="BC19">
        <v>0</v>
      </c>
      <c r="BD19">
        <v>53911</v>
      </c>
      <c r="BE19" t="s">
        <v>234</v>
      </c>
      <c r="BF19">
        <v>8850</v>
      </c>
      <c r="BG19">
        <v>0</v>
      </c>
      <c r="BH19" t="s">
        <v>209</v>
      </c>
      <c r="BI19">
        <v>26000</v>
      </c>
      <c r="BJ19">
        <v>885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640000</v>
      </c>
      <c r="BY19">
        <v>0</v>
      </c>
      <c r="BZ19">
        <v>50000</v>
      </c>
      <c r="CA19">
        <v>0</v>
      </c>
      <c r="CB19">
        <v>26000</v>
      </c>
      <c r="CC19">
        <v>21000</v>
      </c>
      <c r="CD19">
        <v>0</v>
      </c>
      <c r="CE19">
        <v>76000</v>
      </c>
      <c r="CF19">
        <v>0</v>
      </c>
      <c r="CG19">
        <v>0</v>
      </c>
      <c r="CH19">
        <v>564000</v>
      </c>
      <c r="CJ19" t="s">
        <v>210</v>
      </c>
      <c r="CL19" t="s">
        <v>211</v>
      </c>
      <c r="CM19">
        <v>0</v>
      </c>
      <c r="CN19">
        <v>0</v>
      </c>
      <c r="CO19">
        <v>0</v>
      </c>
      <c r="CP19">
        <v>0</v>
      </c>
      <c r="CU19">
        <v>0</v>
      </c>
      <c r="CV19" t="s">
        <v>417</v>
      </c>
      <c r="CW19" t="s">
        <v>418</v>
      </c>
      <c r="CX19" t="s">
        <v>383</v>
      </c>
      <c r="CY19" t="s">
        <v>384</v>
      </c>
      <c r="CZ19" t="s">
        <v>217</v>
      </c>
      <c r="DB19" t="s">
        <v>429</v>
      </c>
      <c r="DD19" t="s">
        <v>430</v>
      </c>
      <c r="DF19" t="s">
        <v>220</v>
      </c>
      <c r="DG19">
        <v>451551</v>
      </c>
      <c r="DL19">
        <v>0</v>
      </c>
      <c r="DN19">
        <v>0</v>
      </c>
      <c r="DP19" t="s">
        <v>431</v>
      </c>
      <c r="DQ19">
        <v>4259621</v>
      </c>
      <c r="DR19" t="s">
        <v>223</v>
      </c>
      <c r="DS19">
        <v>8850</v>
      </c>
      <c r="DT19" s="1">
        <v>45451</v>
      </c>
      <c r="DU19" t="s">
        <v>432</v>
      </c>
      <c r="DV19">
        <v>0</v>
      </c>
      <c r="DW19">
        <v>1.5</v>
      </c>
      <c r="DX19">
        <v>8460</v>
      </c>
      <c r="DY19">
        <v>1522.8</v>
      </c>
      <c r="DZ19">
        <v>9982.7999999999993</v>
      </c>
      <c r="EC19">
        <v>0</v>
      </c>
      <c r="EQ19" t="s">
        <v>433</v>
      </c>
      <c r="ER19" s="1">
        <v>45434</v>
      </c>
      <c r="ES19">
        <v>3000</v>
      </c>
      <c r="ET19">
        <v>410408.86</v>
      </c>
      <c r="EU19">
        <v>5426.4</v>
      </c>
      <c r="EV19">
        <v>250268</v>
      </c>
      <c r="EW19" t="s">
        <v>434</v>
      </c>
      <c r="EX19">
        <v>0</v>
      </c>
      <c r="EY19" t="s">
        <v>226</v>
      </c>
      <c r="EZ19" t="s">
        <v>226</v>
      </c>
      <c r="FA19" t="s">
        <v>226</v>
      </c>
      <c r="FB19" t="s">
        <v>202</v>
      </c>
      <c r="FC19" t="s">
        <v>202</v>
      </c>
      <c r="FD19" t="s">
        <v>202</v>
      </c>
      <c r="FE19" t="s">
        <v>202</v>
      </c>
      <c r="FF19" t="s">
        <v>202</v>
      </c>
      <c r="FG19" t="s">
        <v>202</v>
      </c>
      <c r="FH19" t="s">
        <v>202</v>
      </c>
      <c r="FI19" t="s">
        <v>202</v>
      </c>
      <c r="FJ19" t="s">
        <v>202</v>
      </c>
      <c r="FK19" t="s">
        <v>202</v>
      </c>
      <c r="FL19" t="s">
        <v>202</v>
      </c>
      <c r="FM19" t="s">
        <v>202</v>
      </c>
      <c r="FN19" t="s">
        <v>202</v>
      </c>
      <c r="FO19">
        <v>27973</v>
      </c>
      <c r="FP19">
        <v>27</v>
      </c>
      <c r="FQ19">
        <v>100</v>
      </c>
      <c r="FR19">
        <v>4765</v>
      </c>
      <c r="FS19">
        <v>0</v>
      </c>
      <c r="FT19">
        <v>0</v>
      </c>
      <c r="FW19">
        <v>0</v>
      </c>
      <c r="FX19">
        <v>0</v>
      </c>
      <c r="FY19">
        <v>0</v>
      </c>
      <c r="GA19">
        <v>-885</v>
      </c>
    </row>
    <row r="20" spans="1:183" x14ac:dyDescent="0.3">
      <c r="A20">
        <v>11085</v>
      </c>
      <c r="B20">
        <v>19</v>
      </c>
      <c r="C20" t="s">
        <v>374</v>
      </c>
      <c r="D20" t="s">
        <v>374</v>
      </c>
      <c r="E20" t="s">
        <v>435</v>
      </c>
      <c r="F20">
        <v>2457153999</v>
      </c>
      <c r="G20">
        <v>2457153999</v>
      </c>
      <c r="H20" t="s">
        <v>436</v>
      </c>
      <c r="I20" t="s">
        <v>198</v>
      </c>
      <c r="J20" t="s">
        <v>199</v>
      </c>
      <c r="L20" t="s">
        <v>437</v>
      </c>
      <c r="O20">
        <v>9754154068</v>
      </c>
      <c r="P20" t="s">
        <v>438</v>
      </c>
      <c r="Q20" s="1">
        <v>45450</v>
      </c>
      <c r="R20" s="1">
        <v>45450</v>
      </c>
      <c r="S20" s="1">
        <v>45450</v>
      </c>
      <c r="U20" t="s">
        <v>438</v>
      </c>
      <c r="W20" t="s">
        <v>202</v>
      </c>
      <c r="AB20" t="s">
        <v>439</v>
      </c>
      <c r="AD20" t="s">
        <v>204</v>
      </c>
      <c r="AE20">
        <v>4687</v>
      </c>
      <c r="AF20" t="s">
        <v>263</v>
      </c>
      <c r="AG20" t="s">
        <v>232</v>
      </c>
      <c r="AH20" t="s">
        <v>207</v>
      </c>
      <c r="AI20">
        <v>464728.68217099999</v>
      </c>
      <c r="AJ20">
        <v>599500</v>
      </c>
      <c r="AK20">
        <v>29</v>
      </c>
      <c r="AL20">
        <v>10000</v>
      </c>
      <c r="AM20">
        <v>0</v>
      </c>
      <c r="AN20">
        <v>0</v>
      </c>
      <c r="AO20">
        <v>0</v>
      </c>
      <c r="AP20">
        <v>0</v>
      </c>
      <c r="AQ20">
        <v>25000</v>
      </c>
      <c r="AR20">
        <v>0</v>
      </c>
      <c r="AS20">
        <v>0</v>
      </c>
      <c r="AT20">
        <v>0</v>
      </c>
      <c r="AU20">
        <v>0</v>
      </c>
      <c r="AV20">
        <v>21532</v>
      </c>
      <c r="AW20">
        <v>0</v>
      </c>
      <c r="AX20">
        <v>0</v>
      </c>
      <c r="AY20">
        <v>56532</v>
      </c>
      <c r="AZ20">
        <v>542968</v>
      </c>
      <c r="BA20">
        <v>31450</v>
      </c>
      <c r="BB20">
        <v>0</v>
      </c>
      <c r="BC20">
        <v>0</v>
      </c>
      <c r="BD20">
        <v>56351</v>
      </c>
      <c r="BE20" t="s">
        <v>234</v>
      </c>
      <c r="BF20">
        <v>9346</v>
      </c>
      <c r="BG20">
        <v>0</v>
      </c>
      <c r="BH20" t="s">
        <v>209</v>
      </c>
      <c r="BI20">
        <v>20000</v>
      </c>
      <c r="BJ20">
        <v>885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661000</v>
      </c>
      <c r="BY20">
        <v>0</v>
      </c>
      <c r="BZ20">
        <v>52000</v>
      </c>
      <c r="CA20">
        <v>0</v>
      </c>
      <c r="CB20">
        <v>50000</v>
      </c>
      <c r="CC20">
        <v>50000</v>
      </c>
      <c r="CD20">
        <v>0</v>
      </c>
      <c r="CE20">
        <v>102000</v>
      </c>
      <c r="CF20">
        <v>0</v>
      </c>
      <c r="CG20">
        <v>0</v>
      </c>
      <c r="CH20">
        <v>559000</v>
      </c>
      <c r="CJ20" t="s">
        <v>299</v>
      </c>
      <c r="CL20" t="s">
        <v>211</v>
      </c>
      <c r="CM20">
        <v>0</v>
      </c>
      <c r="CN20">
        <v>0</v>
      </c>
      <c r="CO20">
        <v>0</v>
      </c>
      <c r="CP20">
        <v>0</v>
      </c>
      <c r="CU20">
        <v>0</v>
      </c>
      <c r="CV20" t="s">
        <v>440</v>
      </c>
      <c r="CW20" t="s">
        <v>441</v>
      </c>
      <c r="CX20" t="s">
        <v>383</v>
      </c>
      <c r="CY20" t="s">
        <v>384</v>
      </c>
      <c r="CZ20" t="s">
        <v>217</v>
      </c>
      <c r="DB20" t="s">
        <v>442</v>
      </c>
      <c r="DD20" t="s">
        <v>443</v>
      </c>
      <c r="DF20" t="s">
        <v>220</v>
      </c>
      <c r="DG20">
        <v>451556</v>
      </c>
      <c r="DL20">
        <v>0</v>
      </c>
      <c r="DN20">
        <v>0</v>
      </c>
      <c r="DP20" t="s">
        <v>444</v>
      </c>
      <c r="DQ20" t="s">
        <v>445</v>
      </c>
      <c r="DR20" t="s">
        <v>223</v>
      </c>
      <c r="DS20">
        <v>9345.6</v>
      </c>
      <c r="DT20" s="1">
        <v>45450</v>
      </c>
      <c r="DU20" t="s">
        <v>446</v>
      </c>
      <c r="DV20">
        <v>0</v>
      </c>
      <c r="DW20">
        <v>1.5</v>
      </c>
      <c r="DX20">
        <v>8385</v>
      </c>
      <c r="DY20">
        <v>1509.3</v>
      </c>
      <c r="DZ20">
        <v>9894.2999999999993</v>
      </c>
      <c r="EC20">
        <v>0</v>
      </c>
      <c r="EQ20" t="s">
        <v>447</v>
      </c>
      <c r="ER20" s="1">
        <v>45411</v>
      </c>
      <c r="ES20">
        <v>4000</v>
      </c>
      <c r="ET20">
        <v>429977.29</v>
      </c>
      <c r="EU20">
        <v>5426.4</v>
      </c>
      <c r="EV20">
        <v>250541</v>
      </c>
      <c r="EW20" t="s">
        <v>448</v>
      </c>
      <c r="EX20">
        <v>0</v>
      </c>
      <c r="EY20" t="s">
        <v>226</v>
      </c>
      <c r="EZ20" t="s">
        <v>226</v>
      </c>
      <c r="FA20" t="s">
        <v>226</v>
      </c>
      <c r="FB20" t="s">
        <v>202</v>
      </c>
      <c r="FC20" t="s">
        <v>202</v>
      </c>
      <c r="FD20" t="s">
        <v>202</v>
      </c>
      <c r="FE20" t="s">
        <v>202</v>
      </c>
      <c r="FF20" t="s">
        <v>202</v>
      </c>
      <c r="FG20" t="s">
        <v>202</v>
      </c>
      <c r="FH20" t="s">
        <v>202</v>
      </c>
      <c r="FI20" t="s">
        <v>202</v>
      </c>
      <c r="FJ20" t="s">
        <v>202</v>
      </c>
      <c r="FK20" t="s">
        <v>202</v>
      </c>
      <c r="FL20" t="s">
        <v>202</v>
      </c>
      <c r="FM20" t="s">
        <v>202</v>
      </c>
      <c r="FN20" t="s">
        <v>202</v>
      </c>
      <c r="FO20">
        <v>31450</v>
      </c>
      <c r="FP20">
        <v>0</v>
      </c>
      <c r="FQ20">
        <v>71.209999999999994</v>
      </c>
      <c r="FR20">
        <v>4687</v>
      </c>
      <c r="FS20">
        <v>0</v>
      </c>
      <c r="FT20">
        <v>0</v>
      </c>
      <c r="FW20">
        <v>0</v>
      </c>
      <c r="FX20">
        <v>0</v>
      </c>
      <c r="FY20">
        <v>0</v>
      </c>
      <c r="GA20">
        <v>-885</v>
      </c>
    </row>
    <row r="21" spans="1:183" x14ac:dyDescent="0.3">
      <c r="A21">
        <v>11090</v>
      </c>
      <c r="B21">
        <v>20</v>
      </c>
      <c r="C21" t="s">
        <v>374</v>
      </c>
      <c r="D21" t="s">
        <v>374</v>
      </c>
      <c r="E21" t="s">
        <v>449</v>
      </c>
      <c r="F21">
        <v>2457128627</v>
      </c>
      <c r="G21">
        <v>2457128627</v>
      </c>
      <c r="H21" t="s">
        <v>450</v>
      </c>
      <c r="I21" t="s">
        <v>198</v>
      </c>
      <c r="J21" t="s">
        <v>199</v>
      </c>
      <c r="L21" t="s">
        <v>393</v>
      </c>
      <c r="O21">
        <v>9171818591</v>
      </c>
      <c r="P21" t="s">
        <v>451</v>
      </c>
      <c r="Q21" s="1">
        <v>45449</v>
      </c>
      <c r="R21" s="1">
        <v>45449</v>
      </c>
      <c r="S21" s="1">
        <v>45449</v>
      </c>
      <c r="U21" t="s">
        <v>451</v>
      </c>
      <c r="W21" t="s">
        <v>202</v>
      </c>
      <c r="AB21" t="s">
        <v>452</v>
      </c>
      <c r="AD21" t="s">
        <v>204</v>
      </c>
      <c r="AE21">
        <v>4687</v>
      </c>
      <c r="AF21" t="s">
        <v>263</v>
      </c>
      <c r="AG21" t="s">
        <v>232</v>
      </c>
      <c r="AH21" t="s">
        <v>356</v>
      </c>
      <c r="AI21">
        <v>464728.68217099999</v>
      </c>
      <c r="AJ21">
        <v>599500</v>
      </c>
      <c r="AK21">
        <v>29</v>
      </c>
      <c r="AL21">
        <v>10000</v>
      </c>
      <c r="AM21">
        <v>0</v>
      </c>
      <c r="AN21">
        <v>0</v>
      </c>
      <c r="AO21">
        <v>0</v>
      </c>
      <c r="AP21">
        <v>20000</v>
      </c>
      <c r="AQ21">
        <v>25000</v>
      </c>
      <c r="AR21">
        <v>0</v>
      </c>
      <c r="AS21">
        <v>0</v>
      </c>
      <c r="AT21">
        <v>0</v>
      </c>
      <c r="AU21">
        <v>0</v>
      </c>
      <c r="AV21">
        <v>31262</v>
      </c>
      <c r="AW21">
        <v>0</v>
      </c>
      <c r="AX21">
        <v>0</v>
      </c>
      <c r="AY21">
        <v>86262</v>
      </c>
      <c r="AZ21">
        <v>513238</v>
      </c>
      <c r="BA21">
        <v>28000</v>
      </c>
      <c r="BB21">
        <v>0</v>
      </c>
      <c r="BC21">
        <v>0</v>
      </c>
      <c r="BD21">
        <v>56531</v>
      </c>
      <c r="BE21" t="s">
        <v>234</v>
      </c>
      <c r="BF21">
        <v>9346</v>
      </c>
      <c r="BG21">
        <v>0</v>
      </c>
      <c r="BH21" t="s">
        <v>209</v>
      </c>
      <c r="BI21">
        <v>20000</v>
      </c>
      <c r="BJ21">
        <v>885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628000</v>
      </c>
      <c r="BY21">
        <v>0</v>
      </c>
      <c r="BZ21">
        <v>5100</v>
      </c>
      <c r="CA21">
        <v>0</v>
      </c>
      <c r="CB21">
        <v>30000</v>
      </c>
      <c r="CC21">
        <v>10000</v>
      </c>
      <c r="CD21">
        <v>0</v>
      </c>
      <c r="CE21">
        <v>35100</v>
      </c>
      <c r="CF21">
        <v>0</v>
      </c>
      <c r="CG21">
        <v>0</v>
      </c>
      <c r="CH21">
        <v>394355</v>
      </c>
      <c r="CJ21" t="s">
        <v>380</v>
      </c>
      <c r="CL21" t="s">
        <v>211</v>
      </c>
      <c r="CM21">
        <v>630000</v>
      </c>
      <c r="CN21">
        <v>88300</v>
      </c>
      <c r="CO21">
        <v>0</v>
      </c>
      <c r="CP21">
        <v>541700</v>
      </c>
      <c r="CQ21" t="s">
        <v>453</v>
      </c>
      <c r="CT21" t="s">
        <v>454</v>
      </c>
      <c r="CU21">
        <v>-343155</v>
      </c>
      <c r="CV21" t="s">
        <v>417</v>
      </c>
      <c r="CW21" t="s">
        <v>418</v>
      </c>
      <c r="CX21" t="s">
        <v>383</v>
      </c>
      <c r="CY21" t="s">
        <v>384</v>
      </c>
      <c r="CZ21" t="s">
        <v>217</v>
      </c>
      <c r="DB21" t="s">
        <v>455</v>
      </c>
      <c r="DD21" t="s">
        <v>456</v>
      </c>
      <c r="DF21" t="s">
        <v>220</v>
      </c>
      <c r="DG21">
        <v>451551</v>
      </c>
      <c r="DL21">
        <v>0</v>
      </c>
      <c r="DN21">
        <v>0</v>
      </c>
      <c r="DP21" t="s">
        <v>457</v>
      </c>
      <c r="DQ21" t="s">
        <v>458</v>
      </c>
      <c r="DR21" t="s">
        <v>223</v>
      </c>
      <c r="DS21">
        <v>9345.6</v>
      </c>
      <c r="DT21" s="1">
        <v>45450</v>
      </c>
      <c r="DU21" t="s">
        <v>459</v>
      </c>
      <c r="DV21">
        <v>0</v>
      </c>
      <c r="DW21">
        <v>1.5</v>
      </c>
      <c r="DX21">
        <v>5915.33</v>
      </c>
      <c r="DY21">
        <v>1064.76</v>
      </c>
      <c r="DZ21">
        <v>6980.09</v>
      </c>
      <c r="EC21">
        <v>0</v>
      </c>
      <c r="EQ21" t="s">
        <v>460</v>
      </c>
      <c r="ER21" s="1">
        <v>45440</v>
      </c>
      <c r="ES21">
        <v>4000</v>
      </c>
      <c r="ET21">
        <v>429977.29</v>
      </c>
      <c r="EU21">
        <v>5426.4</v>
      </c>
      <c r="EV21">
        <v>250423</v>
      </c>
      <c r="EW21" t="s">
        <v>461</v>
      </c>
      <c r="EX21">
        <v>0</v>
      </c>
      <c r="EY21" t="s">
        <v>226</v>
      </c>
      <c r="EZ21" t="s">
        <v>226</v>
      </c>
      <c r="FA21" t="s">
        <v>226</v>
      </c>
      <c r="FB21" t="s">
        <v>202</v>
      </c>
      <c r="FC21" t="s">
        <v>202</v>
      </c>
      <c r="FD21" t="s">
        <v>202</v>
      </c>
      <c r="FE21" t="s">
        <v>202</v>
      </c>
      <c r="FF21" t="s">
        <v>202</v>
      </c>
      <c r="FG21" t="s">
        <v>202</v>
      </c>
      <c r="FH21" t="s">
        <v>202</v>
      </c>
      <c r="FI21" t="s">
        <v>202</v>
      </c>
      <c r="FJ21" t="s">
        <v>202</v>
      </c>
      <c r="FK21" t="s">
        <v>202</v>
      </c>
      <c r="FL21" t="s">
        <v>202</v>
      </c>
      <c r="FM21" t="s">
        <v>202</v>
      </c>
      <c r="FN21" t="s">
        <v>202</v>
      </c>
      <c r="FO21">
        <v>28000</v>
      </c>
      <c r="FP21">
        <v>0</v>
      </c>
      <c r="FQ21">
        <v>1625.21</v>
      </c>
      <c r="FR21">
        <v>4687</v>
      </c>
      <c r="FS21">
        <v>0</v>
      </c>
      <c r="FT21">
        <v>0</v>
      </c>
      <c r="FW21">
        <v>0</v>
      </c>
      <c r="FX21">
        <v>0</v>
      </c>
      <c r="FY21">
        <v>0</v>
      </c>
      <c r="GA21">
        <v>-885</v>
      </c>
    </row>
    <row r="22" spans="1:183" x14ac:dyDescent="0.3">
      <c r="A22">
        <v>11094</v>
      </c>
      <c r="B22">
        <v>21</v>
      </c>
      <c r="C22" t="s">
        <v>374</v>
      </c>
      <c r="D22" t="s">
        <v>374</v>
      </c>
      <c r="E22" t="s">
        <v>462</v>
      </c>
      <c r="F22">
        <v>2457165600</v>
      </c>
      <c r="G22">
        <v>2457165600</v>
      </c>
      <c r="H22" t="s">
        <v>463</v>
      </c>
      <c r="I22" t="s">
        <v>198</v>
      </c>
      <c r="J22" t="s">
        <v>199</v>
      </c>
      <c r="L22" t="s">
        <v>393</v>
      </c>
      <c r="O22">
        <v>9479598553</v>
      </c>
      <c r="P22" t="s">
        <v>464</v>
      </c>
      <c r="Q22" s="1">
        <v>45451</v>
      </c>
      <c r="R22" s="1">
        <v>45451</v>
      </c>
      <c r="S22" s="1">
        <v>45450</v>
      </c>
      <c r="U22" t="s">
        <v>464</v>
      </c>
      <c r="W22" t="s">
        <v>202</v>
      </c>
      <c r="AB22" t="s">
        <v>465</v>
      </c>
      <c r="AD22" t="s">
        <v>310</v>
      </c>
      <c r="AE22">
        <v>4765</v>
      </c>
      <c r="AF22" t="s">
        <v>367</v>
      </c>
      <c r="AG22" t="s">
        <v>232</v>
      </c>
      <c r="AH22" t="s">
        <v>466</v>
      </c>
      <c r="AI22">
        <v>440309.992248</v>
      </c>
      <c r="AJ22">
        <v>568000</v>
      </c>
      <c r="AK22">
        <v>29</v>
      </c>
      <c r="AL22">
        <v>10000</v>
      </c>
      <c r="AM22">
        <v>0</v>
      </c>
      <c r="AN22">
        <v>0</v>
      </c>
      <c r="AO22">
        <v>0</v>
      </c>
      <c r="AP22">
        <v>0</v>
      </c>
      <c r="AQ22">
        <v>15000</v>
      </c>
      <c r="AR22">
        <v>0</v>
      </c>
      <c r="AS22">
        <v>0</v>
      </c>
      <c r="AT22">
        <v>0</v>
      </c>
      <c r="AU22">
        <v>0</v>
      </c>
      <c r="AV22">
        <v>23544</v>
      </c>
      <c r="AW22">
        <v>0</v>
      </c>
      <c r="AX22">
        <v>0</v>
      </c>
      <c r="AY22">
        <v>48544</v>
      </c>
      <c r="AZ22">
        <v>519456</v>
      </c>
      <c r="BA22">
        <v>28000</v>
      </c>
      <c r="BB22">
        <v>0</v>
      </c>
      <c r="BC22">
        <v>0</v>
      </c>
      <c r="BD22">
        <v>53911</v>
      </c>
      <c r="BE22" t="s">
        <v>234</v>
      </c>
      <c r="BF22">
        <v>8850</v>
      </c>
      <c r="BG22">
        <v>2898</v>
      </c>
      <c r="BH22" t="s">
        <v>209</v>
      </c>
      <c r="BI22">
        <v>26000</v>
      </c>
      <c r="BJ22">
        <v>885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640000</v>
      </c>
      <c r="BY22">
        <v>0</v>
      </c>
      <c r="BZ22">
        <v>0</v>
      </c>
      <c r="CA22">
        <v>0</v>
      </c>
      <c r="CB22">
        <v>445000</v>
      </c>
      <c r="CC22">
        <v>0</v>
      </c>
      <c r="CD22">
        <v>0</v>
      </c>
      <c r="CE22">
        <v>445000</v>
      </c>
      <c r="CF22">
        <v>0</v>
      </c>
      <c r="CG22">
        <v>0</v>
      </c>
      <c r="CH22">
        <v>0</v>
      </c>
      <c r="CJ22" t="s">
        <v>77</v>
      </c>
      <c r="CL22" t="s">
        <v>77</v>
      </c>
      <c r="CM22">
        <v>0</v>
      </c>
      <c r="CN22">
        <v>0</v>
      </c>
      <c r="CO22">
        <v>0</v>
      </c>
      <c r="CP22">
        <v>0</v>
      </c>
      <c r="CU22">
        <v>195000</v>
      </c>
      <c r="CV22" t="s">
        <v>417</v>
      </c>
      <c r="CW22" t="s">
        <v>418</v>
      </c>
      <c r="CX22" t="s">
        <v>383</v>
      </c>
      <c r="CY22" t="s">
        <v>384</v>
      </c>
      <c r="CZ22" t="s">
        <v>217</v>
      </c>
      <c r="DB22" t="s">
        <v>467</v>
      </c>
      <c r="DD22" t="s">
        <v>468</v>
      </c>
      <c r="DF22" t="s">
        <v>220</v>
      </c>
      <c r="DG22">
        <v>451551</v>
      </c>
      <c r="DL22">
        <v>0</v>
      </c>
      <c r="DN22">
        <v>0</v>
      </c>
      <c r="DP22" t="s">
        <v>469</v>
      </c>
      <c r="DQ22">
        <v>4253011</v>
      </c>
      <c r="DR22" t="s">
        <v>223</v>
      </c>
      <c r="DS22">
        <v>8850</v>
      </c>
      <c r="DT22" s="1">
        <v>45451</v>
      </c>
      <c r="DU22" t="s">
        <v>470</v>
      </c>
      <c r="DV22">
        <v>0</v>
      </c>
      <c r="EQ22" t="s">
        <v>471</v>
      </c>
      <c r="ER22" s="1">
        <v>45421</v>
      </c>
      <c r="ES22">
        <v>3000</v>
      </c>
      <c r="ET22">
        <v>410408.86</v>
      </c>
      <c r="EU22">
        <v>5426.4</v>
      </c>
      <c r="EV22">
        <v>250665</v>
      </c>
      <c r="EW22" t="s">
        <v>472</v>
      </c>
      <c r="EX22">
        <v>0</v>
      </c>
      <c r="EY22" t="s">
        <v>226</v>
      </c>
      <c r="EZ22" t="s">
        <v>226</v>
      </c>
      <c r="FA22" t="s">
        <v>226</v>
      </c>
      <c r="FB22" t="s">
        <v>202</v>
      </c>
      <c r="FC22" t="s">
        <v>202</v>
      </c>
      <c r="FD22" t="s">
        <v>202</v>
      </c>
      <c r="FE22" t="s">
        <v>202</v>
      </c>
      <c r="FF22" t="s">
        <v>202</v>
      </c>
      <c r="FG22" t="s">
        <v>202</v>
      </c>
      <c r="FH22" t="s">
        <v>202</v>
      </c>
      <c r="FI22" t="s">
        <v>202</v>
      </c>
      <c r="FJ22" t="s">
        <v>202</v>
      </c>
      <c r="FK22" t="s">
        <v>202</v>
      </c>
      <c r="FL22" t="s">
        <v>202</v>
      </c>
      <c r="FM22" t="s">
        <v>202</v>
      </c>
      <c r="FN22" t="s">
        <v>202</v>
      </c>
      <c r="FO22">
        <v>26631</v>
      </c>
      <c r="FP22">
        <v>1369</v>
      </c>
      <c r="FQ22">
        <v>0</v>
      </c>
      <c r="FR22">
        <v>4765</v>
      </c>
      <c r="FS22">
        <v>0</v>
      </c>
      <c r="FT22">
        <v>0</v>
      </c>
      <c r="FW22">
        <v>0</v>
      </c>
      <c r="FX22">
        <v>0</v>
      </c>
      <c r="FY22">
        <v>0</v>
      </c>
      <c r="GA22">
        <v>-2254</v>
      </c>
    </row>
    <row r="23" spans="1:183" x14ac:dyDescent="0.3">
      <c r="A23">
        <v>11110</v>
      </c>
      <c r="B23">
        <v>22</v>
      </c>
      <c r="C23" t="s">
        <v>374</v>
      </c>
      <c r="D23" t="s">
        <v>374</v>
      </c>
      <c r="E23" t="s">
        <v>473</v>
      </c>
      <c r="F23">
        <v>2457163292</v>
      </c>
      <c r="G23">
        <v>2457163292</v>
      </c>
      <c r="H23" t="s">
        <v>474</v>
      </c>
      <c r="I23" t="s">
        <v>198</v>
      </c>
      <c r="J23" t="s">
        <v>199</v>
      </c>
      <c r="L23" t="s">
        <v>393</v>
      </c>
      <c r="O23">
        <v>7389408767</v>
      </c>
      <c r="P23" t="s">
        <v>475</v>
      </c>
      <c r="Q23" s="1">
        <v>45453</v>
      </c>
      <c r="R23" s="1">
        <v>45453</v>
      </c>
      <c r="S23" s="1">
        <v>45453</v>
      </c>
      <c r="U23" t="s">
        <v>475</v>
      </c>
      <c r="W23" t="s">
        <v>202</v>
      </c>
      <c r="AB23" t="s">
        <v>476</v>
      </c>
      <c r="AD23" t="s">
        <v>204</v>
      </c>
      <c r="AE23">
        <v>4687</v>
      </c>
      <c r="AF23" t="s">
        <v>263</v>
      </c>
      <c r="AG23" t="s">
        <v>232</v>
      </c>
      <c r="AH23" t="s">
        <v>207</v>
      </c>
      <c r="AI23">
        <v>464728.68217099999</v>
      </c>
      <c r="AJ23">
        <v>599500</v>
      </c>
      <c r="AK23">
        <v>29</v>
      </c>
      <c r="AL23">
        <v>10000</v>
      </c>
      <c r="AM23">
        <v>0</v>
      </c>
      <c r="AN23">
        <v>0</v>
      </c>
      <c r="AO23">
        <v>0</v>
      </c>
      <c r="AP23">
        <v>0</v>
      </c>
      <c r="AQ23">
        <v>25000</v>
      </c>
      <c r="AR23">
        <v>0</v>
      </c>
      <c r="AS23">
        <v>0</v>
      </c>
      <c r="AT23">
        <v>0</v>
      </c>
      <c r="AU23">
        <v>0</v>
      </c>
      <c r="AV23">
        <v>15762</v>
      </c>
      <c r="AW23">
        <v>0</v>
      </c>
      <c r="AX23">
        <v>0</v>
      </c>
      <c r="AY23">
        <v>50762</v>
      </c>
      <c r="AZ23">
        <v>548738</v>
      </c>
      <c r="BA23">
        <v>34500</v>
      </c>
      <c r="BB23">
        <v>0</v>
      </c>
      <c r="BC23">
        <v>0</v>
      </c>
      <c r="BD23">
        <v>56531</v>
      </c>
      <c r="BE23" t="s">
        <v>234</v>
      </c>
      <c r="BF23">
        <v>9346</v>
      </c>
      <c r="BG23">
        <v>0</v>
      </c>
      <c r="BH23" t="s">
        <v>209</v>
      </c>
      <c r="BI23">
        <v>20000</v>
      </c>
      <c r="BJ23">
        <v>885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670000</v>
      </c>
      <c r="BY23">
        <v>0</v>
      </c>
      <c r="BZ23">
        <v>92000</v>
      </c>
      <c r="CA23">
        <v>0</v>
      </c>
      <c r="CB23">
        <v>5000</v>
      </c>
      <c r="CC23">
        <v>5000</v>
      </c>
      <c r="CD23">
        <v>0</v>
      </c>
      <c r="CE23">
        <v>97000</v>
      </c>
      <c r="CF23">
        <v>0</v>
      </c>
      <c r="CG23">
        <v>0</v>
      </c>
      <c r="CH23">
        <v>573000</v>
      </c>
      <c r="CJ23" t="s">
        <v>210</v>
      </c>
      <c r="CL23" t="s">
        <v>211</v>
      </c>
      <c r="CM23">
        <v>0</v>
      </c>
      <c r="CN23">
        <v>0</v>
      </c>
      <c r="CO23">
        <v>0</v>
      </c>
      <c r="CP23">
        <v>0</v>
      </c>
      <c r="CU23">
        <v>0</v>
      </c>
      <c r="CV23" t="s">
        <v>477</v>
      </c>
      <c r="CW23" t="s">
        <v>478</v>
      </c>
      <c r="CX23" t="s">
        <v>383</v>
      </c>
      <c r="CY23" t="s">
        <v>384</v>
      </c>
      <c r="CZ23" t="s">
        <v>217</v>
      </c>
      <c r="DB23" t="s">
        <v>479</v>
      </c>
      <c r="DD23" t="s">
        <v>480</v>
      </c>
      <c r="DF23" t="s">
        <v>220</v>
      </c>
      <c r="DG23">
        <v>451551</v>
      </c>
      <c r="DL23">
        <v>0</v>
      </c>
      <c r="DN23">
        <v>0</v>
      </c>
      <c r="DP23" t="s">
        <v>481</v>
      </c>
      <c r="DQ23" t="s">
        <v>482</v>
      </c>
      <c r="DR23" t="s">
        <v>223</v>
      </c>
      <c r="DS23">
        <v>9345.6</v>
      </c>
      <c r="DT23" s="1">
        <v>45453</v>
      </c>
      <c r="DU23" t="s">
        <v>483</v>
      </c>
      <c r="DV23">
        <v>0</v>
      </c>
      <c r="DW23">
        <v>1.5</v>
      </c>
      <c r="DX23">
        <v>8595</v>
      </c>
      <c r="DY23">
        <v>1547.1</v>
      </c>
      <c r="DZ23">
        <v>10142.1</v>
      </c>
      <c r="EC23">
        <v>0</v>
      </c>
      <c r="EQ23" t="s">
        <v>484</v>
      </c>
      <c r="ER23" s="1">
        <v>45397</v>
      </c>
      <c r="ES23">
        <v>4000</v>
      </c>
      <c r="ET23">
        <v>429977.29</v>
      </c>
      <c r="EU23">
        <v>0</v>
      </c>
      <c r="EV23">
        <v>250751</v>
      </c>
      <c r="EW23" t="s">
        <v>485</v>
      </c>
      <c r="EX23">
        <v>0</v>
      </c>
      <c r="EY23" t="s">
        <v>226</v>
      </c>
      <c r="EZ23" t="s">
        <v>226</v>
      </c>
      <c r="FA23" t="s">
        <v>226</v>
      </c>
      <c r="FB23" t="s">
        <v>202</v>
      </c>
      <c r="FC23" t="s">
        <v>202</v>
      </c>
      <c r="FD23" t="s">
        <v>202</v>
      </c>
      <c r="FE23" t="s">
        <v>202</v>
      </c>
      <c r="FF23" t="s">
        <v>202</v>
      </c>
      <c r="FG23" t="s">
        <v>202</v>
      </c>
      <c r="FH23" t="s">
        <v>202</v>
      </c>
      <c r="FI23" t="s">
        <v>202</v>
      </c>
      <c r="FJ23" t="s">
        <v>202</v>
      </c>
      <c r="FK23" t="s">
        <v>202</v>
      </c>
      <c r="FL23" t="s">
        <v>202</v>
      </c>
      <c r="FM23" t="s">
        <v>202</v>
      </c>
      <c r="FN23" t="s">
        <v>202</v>
      </c>
      <c r="FO23">
        <v>34500</v>
      </c>
      <c r="FP23">
        <v>0</v>
      </c>
      <c r="FQ23">
        <v>1353.59</v>
      </c>
      <c r="FR23">
        <v>4687</v>
      </c>
      <c r="FS23">
        <v>0</v>
      </c>
      <c r="FT23">
        <v>0</v>
      </c>
      <c r="FW23">
        <v>0</v>
      </c>
      <c r="FX23">
        <v>0</v>
      </c>
      <c r="FY23">
        <v>0</v>
      </c>
      <c r="GA23">
        <v>-885</v>
      </c>
    </row>
    <row r="24" spans="1:183" x14ac:dyDescent="0.3">
      <c r="A24">
        <v>11116</v>
      </c>
      <c r="B24">
        <v>23</v>
      </c>
      <c r="C24" t="s">
        <v>374</v>
      </c>
      <c r="D24" t="s">
        <v>374</v>
      </c>
      <c r="E24" t="s">
        <v>486</v>
      </c>
      <c r="F24">
        <v>2457059960</v>
      </c>
      <c r="G24">
        <v>2457059960</v>
      </c>
      <c r="H24" t="s">
        <v>487</v>
      </c>
      <c r="I24" t="s">
        <v>198</v>
      </c>
      <c r="J24" t="s">
        <v>488</v>
      </c>
      <c r="L24" t="s">
        <v>489</v>
      </c>
      <c r="O24">
        <v>9920311458</v>
      </c>
      <c r="P24" t="s">
        <v>490</v>
      </c>
      <c r="Q24" s="1">
        <v>45443</v>
      </c>
      <c r="R24" s="1">
        <v>45443</v>
      </c>
      <c r="S24" s="1">
        <v>45451</v>
      </c>
      <c r="U24" t="s">
        <v>490</v>
      </c>
      <c r="W24" t="s">
        <v>202</v>
      </c>
      <c r="AB24">
        <v>813097</v>
      </c>
      <c r="AD24" t="s">
        <v>287</v>
      </c>
      <c r="AE24">
        <v>4738</v>
      </c>
      <c r="AF24" t="s">
        <v>288</v>
      </c>
      <c r="AG24" t="s">
        <v>206</v>
      </c>
      <c r="AH24" t="s">
        <v>250</v>
      </c>
      <c r="AI24">
        <v>743448.26896599995</v>
      </c>
      <c r="AJ24">
        <v>1077999</v>
      </c>
      <c r="AK24">
        <v>45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1077999</v>
      </c>
      <c r="BA24">
        <v>16885</v>
      </c>
      <c r="BB24">
        <v>0</v>
      </c>
      <c r="BC24">
        <v>0</v>
      </c>
      <c r="BD24">
        <v>4500</v>
      </c>
      <c r="BE24" t="s">
        <v>234</v>
      </c>
      <c r="BF24">
        <v>18326</v>
      </c>
      <c r="BG24">
        <v>0</v>
      </c>
      <c r="BH24" t="s">
        <v>209</v>
      </c>
      <c r="BI24">
        <v>31782</v>
      </c>
      <c r="BJ24">
        <v>0</v>
      </c>
      <c r="BK24">
        <v>0</v>
      </c>
      <c r="BL24">
        <v>0</v>
      </c>
      <c r="BM24">
        <v>0</v>
      </c>
      <c r="BN24">
        <v>10789</v>
      </c>
      <c r="BO24">
        <v>0</v>
      </c>
      <c r="BP24">
        <v>0</v>
      </c>
      <c r="BQ24">
        <v>0</v>
      </c>
      <c r="BR24">
        <v>0</v>
      </c>
      <c r="BS24">
        <v>500</v>
      </c>
      <c r="BT24">
        <v>0</v>
      </c>
      <c r="BU24">
        <v>0</v>
      </c>
      <c r="BV24">
        <v>0</v>
      </c>
      <c r="BW24">
        <v>0</v>
      </c>
      <c r="BX24">
        <v>1160781</v>
      </c>
      <c r="BY24">
        <v>0</v>
      </c>
      <c r="BZ24">
        <v>0</v>
      </c>
      <c r="CA24">
        <v>0</v>
      </c>
      <c r="CB24">
        <v>1160780</v>
      </c>
      <c r="CC24">
        <v>0</v>
      </c>
      <c r="CD24">
        <v>0</v>
      </c>
      <c r="CE24">
        <v>1160780</v>
      </c>
      <c r="CF24">
        <v>0</v>
      </c>
      <c r="CG24">
        <v>0</v>
      </c>
      <c r="CH24">
        <v>0</v>
      </c>
      <c r="CJ24" t="s">
        <v>491</v>
      </c>
      <c r="CL24" t="s">
        <v>236</v>
      </c>
      <c r="CM24">
        <v>0</v>
      </c>
      <c r="CN24">
        <v>0</v>
      </c>
      <c r="CO24">
        <v>0</v>
      </c>
      <c r="CP24">
        <v>0</v>
      </c>
      <c r="CU24">
        <v>1</v>
      </c>
      <c r="CV24">
        <v>702</v>
      </c>
      <c r="CW24" t="s">
        <v>492</v>
      </c>
      <c r="CX24">
        <v>702</v>
      </c>
      <c r="CY24" t="s">
        <v>492</v>
      </c>
      <c r="CZ24" t="s">
        <v>217</v>
      </c>
      <c r="DB24" t="s">
        <v>493</v>
      </c>
      <c r="DD24" t="s">
        <v>494</v>
      </c>
      <c r="DF24" t="s">
        <v>220</v>
      </c>
      <c r="DG24">
        <v>400003</v>
      </c>
      <c r="DL24">
        <v>0</v>
      </c>
      <c r="DN24">
        <v>0</v>
      </c>
      <c r="DP24" t="s">
        <v>495</v>
      </c>
      <c r="DQ24">
        <v>9524618</v>
      </c>
      <c r="DR24" t="s">
        <v>223</v>
      </c>
      <c r="DS24">
        <v>18325.400000000001</v>
      </c>
      <c r="DT24" s="1">
        <v>45451</v>
      </c>
      <c r="DU24" t="s">
        <v>496</v>
      </c>
      <c r="DV24">
        <v>0</v>
      </c>
      <c r="EQ24" t="s">
        <v>497</v>
      </c>
      <c r="ER24" s="1">
        <v>45442</v>
      </c>
      <c r="ES24">
        <v>8500</v>
      </c>
      <c r="ET24">
        <v>697073.03</v>
      </c>
      <c r="EU24">
        <v>0</v>
      </c>
      <c r="EV24">
        <v>249451</v>
      </c>
      <c r="EW24" t="s">
        <v>498</v>
      </c>
      <c r="EX24">
        <v>0</v>
      </c>
      <c r="EY24" t="s">
        <v>226</v>
      </c>
      <c r="EZ24" t="s">
        <v>226</v>
      </c>
      <c r="FA24" t="s">
        <v>226</v>
      </c>
      <c r="FB24" t="s">
        <v>226</v>
      </c>
      <c r="FC24" t="s">
        <v>202</v>
      </c>
      <c r="FD24" t="s">
        <v>202</v>
      </c>
      <c r="FE24" t="s">
        <v>202</v>
      </c>
      <c r="FF24" t="s">
        <v>202</v>
      </c>
      <c r="FG24" t="s">
        <v>202</v>
      </c>
      <c r="FH24" t="s">
        <v>202</v>
      </c>
      <c r="FI24" t="s">
        <v>202</v>
      </c>
      <c r="FJ24" t="s">
        <v>202</v>
      </c>
      <c r="FK24" t="s">
        <v>202</v>
      </c>
      <c r="FL24" t="s">
        <v>202</v>
      </c>
      <c r="FM24" t="s">
        <v>202</v>
      </c>
      <c r="FN24" t="s">
        <v>202</v>
      </c>
      <c r="FO24">
        <v>16884</v>
      </c>
      <c r="FP24">
        <v>1</v>
      </c>
      <c r="FQ24">
        <v>0</v>
      </c>
      <c r="FR24">
        <v>4738</v>
      </c>
      <c r="FS24">
        <v>0</v>
      </c>
      <c r="FT24">
        <v>0</v>
      </c>
      <c r="FW24">
        <v>0</v>
      </c>
      <c r="FX24">
        <v>0</v>
      </c>
      <c r="FY24">
        <v>0</v>
      </c>
      <c r="GA24">
        <v>0</v>
      </c>
    </row>
    <row r="25" spans="1:183" x14ac:dyDescent="0.3">
      <c r="A25">
        <v>11138</v>
      </c>
      <c r="B25">
        <v>24</v>
      </c>
      <c r="C25" t="s">
        <v>374</v>
      </c>
      <c r="D25" t="s">
        <v>374</v>
      </c>
      <c r="E25" t="s">
        <v>499</v>
      </c>
      <c r="F25">
        <v>2457240177</v>
      </c>
      <c r="G25">
        <v>2457240177</v>
      </c>
      <c r="H25" t="s">
        <v>500</v>
      </c>
      <c r="I25" t="s">
        <v>198</v>
      </c>
      <c r="J25" t="s">
        <v>199</v>
      </c>
      <c r="L25" t="s">
        <v>393</v>
      </c>
      <c r="O25">
        <v>9685066715</v>
      </c>
      <c r="P25" t="s">
        <v>501</v>
      </c>
      <c r="Q25" s="1">
        <v>45456</v>
      </c>
      <c r="R25" s="1">
        <v>45456</v>
      </c>
      <c r="S25" s="1">
        <v>45456</v>
      </c>
      <c r="U25" t="s">
        <v>501</v>
      </c>
      <c r="W25" t="s">
        <v>202</v>
      </c>
      <c r="AB25" t="s">
        <v>502</v>
      </c>
      <c r="AD25" t="s">
        <v>310</v>
      </c>
      <c r="AE25">
        <v>4763</v>
      </c>
      <c r="AF25" t="s">
        <v>355</v>
      </c>
      <c r="AG25" t="s">
        <v>232</v>
      </c>
      <c r="AH25" t="s">
        <v>466</v>
      </c>
      <c r="AI25">
        <v>434883.62790700002</v>
      </c>
      <c r="AJ25">
        <v>561000</v>
      </c>
      <c r="AK25">
        <v>29</v>
      </c>
      <c r="AL25">
        <v>10000</v>
      </c>
      <c r="AM25">
        <v>0</v>
      </c>
      <c r="AN25">
        <v>0</v>
      </c>
      <c r="AO25">
        <v>0</v>
      </c>
      <c r="AP25">
        <v>0</v>
      </c>
      <c r="AQ25">
        <v>15000</v>
      </c>
      <c r="AR25">
        <v>0</v>
      </c>
      <c r="AS25">
        <v>0</v>
      </c>
      <c r="AT25">
        <v>0</v>
      </c>
      <c r="AU25">
        <v>0</v>
      </c>
      <c r="AV25">
        <v>13680</v>
      </c>
      <c r="AW25">
        <v>0</v>
      </c>
      <c r="AX25">
        <v>0</v>
      </c>
      <c r="AY25">
        <v>38680</v>
      </c>
      <c r="AZ25">
        <v>522320</v>
      </c>
      <c r="BA25">
        <v>31700</v>
      </c>
      <c r="BB25">
        <v>0</v>
      </c>
      <c r="BC25">
        <v>0</v>
      </c>
      <c r="BD25">
        <v>53351</v>
      </c>
      <c r="BE25" t="s">
        <v>234</v>
      </c>
      <c r="BF25">
        <v>8744</v>
      </c>
      <c r="BG25">
        <v>0</v>
      </c>
      <c r="BH25" t="s">
        <v>209</v>
      </c>
      <c r="BI25">
        <v>25000</v>
      </c>
      <c r="BJ25">
        <v>885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642000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502000</v>
      </c>
      <c r="CJ25" t="s">
        <v>299</v>
      </c>
      <c r="CL25" t="s">
        <v>211</v>
      </c>
      <c r="CM25">
        <v>0</v>
      </c>
      <c r="CN25">
        <v>0</v>
      </c>
      <c r="CO25">
        <v>0</v>
      </c>
      <c r="CP25">
        <v>0</v>
      </c>
      <c r="CU25">
        <v>140000</v>
      </c>
      <c r="CV25" t="s">
        <v>440</v>
      </c>
      <c r="CW25" t="s">
        <v>441</v>
      </c>
      <c r="CX25" t="s">
        <v>383</v>
      </c>
      <c r="CY25" t="s">
        <v>384</v>
      </c>
      <c r="CZ25" t="s">
        <v>217</v>
      </c>
      <c r="DB25" t="s">
        <v>503</v>
      </c>
      <c r="DD25" t="s">
        <v>504</v>
      </c>
      <c r="DF25" t="s">
        <v>220</v>
      </c>
      <c r="DG25">
        <v>451551</v>
      </c>
      <c r="DL25">
        <v>0</v>
      </c>
      <c r="DN25">
        <v>0</v>
      </c>
      <c r="DP25" t="s">
        <v>505</v>
      </c>
      <c r="DQ25">
        <v>4253121</v>
      </c>
      <c r="DR25" t="s">
        <v>223</v>
      </c>
      <c r="DS25">
        <v>8743.7999999999993</v>
      </c>
      <c r="DT25" s="1">
        <v>45456</v>
      </c>
      <c r="DU25" t="s">
        <v>506</v>
      </c>
      <c r="DV25">
        <v>0</v>
      </c>
      <c r="DW25">
        <v>1.5</v>
      </c>
      <c r="DX25">
        <v>7530</v>
      </c>
      <c r="DY25">
        <v>1355.4</v>
      </c>
      <c r="DZ25">
        <v>8885.4</v>
      </c>
      <c r="EC25">
        <v>0</v>
      </c>
      <c r="EQ25" t="s">
        <v>507</v>
      </c>
      <c r="ER25" s="1">
        <v>45418</v>
      </c>
      <c r="ES25">
        <v>3000</v>
      </c>
      <c r="ET25">
        <v>404981.86</v>
      </c>
      <c r="EU25">
        <v>5426.4</v>
      </c>
      <c r="EV25">
        <v>251367</v>
      </c>
      <c r="EW25" t="s">
        <v>508</v>
      </c>
      <c r="EX25">
        <v>0</v>
      </c>
      <c r="EY25" t="s">
        <v>226</v>
      </c>
      <c r="EZ25" t="s">
        <v>226</v>
      </c>
      <c r="FA25" t="s">
        <v>226</v>
      </c>
      <c r="FB25" t="s">
        <v>202</v>
      </c>
      <c r="FC25" t="s">
        <v>202</v>
      </c>
      <c r="FD25" t="s">
        <v>202</v>
      </c>
      <c r="FE25" t="s">
        <v>202</v>
      </c>
      <c r="FF25" t="s">
        <v>202</v>
      </c>
      <c r="FG25" t="s">
        <v>202</v>
      </c>
      <c r="FH25" t="s">
        <v>202</v>
      </c>
      <c r="FI25" t="s">
        <v>202</v>
      </c>
      <c r="FJ25" t="s">
        <v>202</v>
      </c>
      <c r="FK25" t="s">
        <v>202</v>
      </c>
      <c r="FL25" t="s">
        <v>202</v>
      </c>
      <c r="FM25" t="s">
        <v>202</v>
      </c>
      <c r="FN25" t="s">
        <v>202</v>
      </c>
      <c r="FO25">
        <v>31689</v>
      </c>
      <c r="FP25">
        <v>11</v>
      </c>
      <c r="FQ25">
        <v>0</v>
      </c>
      <c r="FR25">
        <v>4763</v>
      </c>
      <c r="FS25">
        <v>0</v>
      </c>
      <c r="FT25">
        <v>0</v>
      </c>
      <c r="FW25">
        <v>0</v>
      </c>
      <c r="FX25">
        <v>0</v>
      </c>
      <c r="FY25">
        <v>0</v>
      </c>
      <c r="GA25">
        <v>-885</v>
      </c>
    </row>
    <row r="26" spans="1:183" x14ac:dyDescent="0.3">
      <c r="A26">
        <v>11147</v>
      </c>
      <c r="B26">
        <v>25</v>
      </c>
      <c r="C26" t="s">
        <v>374</v>
      </c>
      <c r="D26" t="s">
        <v>374</v>
      </c>
      <c r="E26" t="s">
        <v>509</v>
      </c>
      <c r="F26">
        <v>2457257882</v>
      </c>
      <c r="G26">
        <v>2457257882</v>
      </c>
      <c r="H26" t="s">
        <v>510</v>
      </c>
      <c r="I26" t="s">
        <v>198</v>
      </c>
      <c r="J26" t="s">
        <v>199</v>
      </c>
      <c r="L26" t="s">
        <v>377</v>
      </c>
      <c r="O26">
        <v>8827568383</v>
      </c>
      <c r="P26" t="s">
        <v>511</v>
      </c>
      <c r="Q26" s="1">
        <v>45457</v>
      </c>
      <c r="R26" s="1">
        <v>45457</v>
      </c>
      <c r="S26" s="1">
        <v>45457</v>
      </c>
      <c r="U26" t="s">
        <v>511</v>
      </c>
      <c r="W26" t="s">
        <v>202</v>
      </c>
      <c r="AB26" t="s">
        <v>512</v>
      </c>
      <c r="AD26" t="s">
        <v>310</v>
      </c>
      <c r="AE26">
        <v>4763</v>
      </c>
      <c r="AF26" t="s">
        <v>355</v>
      </c>
      <c r="AG26" t="s">
        <v>232</v>
      </c>
      <c r="AH26" t="s">
        <v>207</v>
      </c>
      <c r="AI26">
        <v>434883.62790700002</v>
      </c>
      <c r="AJ26">
        <v>561000</v>
      </c>
      <c r="AK26">
        <v>29</v>
      </c>
      <c r="AL26">
        <v>10000</v>
      </c>
      <c r="AM26">
        <v>0</v>
      </c>
      <c r="AN26">
        <v>0</v>
      </c>
      <c r="AO26">
        <v>0</v>
      </c>
      <c r="AP26">
        <v>0</v>
      </c>
      <c r="AQ26">
        <v>15000</v>
      </c>
      <c r="AR26">
        <v>0</v>
      </c>
      <c r="AS26">
        <v>0</v>
      </c>
      <c r="AT26">
        <v>0</v>
      </c>
      <c r="AU26">
        <v>0</v>
      </c>
      <c r="AV26">
        <v>22078</v>
      </c>
      <c r="AW26">
        <v>0</v>
      </c>
      <c r="AX26">
        <v>0</v>
      </c>
      <c r="AY26">
        <v>47078</v>
      </c>
      <c r="AZ26">
        <v>513922</v>
      </c>
      <c r="BA26">
        <v>30200</v>
      </c>
      <c r="BB26">
        <v>0</v>
      </c>
      <c r="BC26">
        <v>0</v>
      </c>
      <c r="BD26">
        <v>53351</v>
      </c>
      <c r="BE26" t="s">
        <v>234</v>
      </c>
      <c r="BF26">
        <v>8744</v>
      </c>
      <c r="BG26">
        <v>2898</v>
      </c>
      <c r="BH26" t="s">
        <v>209</v>
      </c>
      <c r="BI26">
        <v>25000</v>
      </c>
      <c r="BJ26">
        <v>885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635000</v>
      </c>
      <c r="BY26">
        <v>0</v>
      </c>
      <c r="BZ26">
        <v>0</v>
      </c>
      <c r="CA26">
        <v>0</v>
      </c>
      <c r="CB26">
        <v>635236</v>
      </c>
      <c r="CC26">
        <v>0</v>
      </c>
      <c r="CD26">
        <v>0</v>
      </c>
      <c r="CE26">
        <v>635236</v>
      </c>
      <c r="CF26">
        <v>0</v>
      </c>
      <c r="CG26">
        <v>0</v>
      </c>
      <c r="CH26">
        <v>635236</v>
      </c>
      <c r="CJ26" t="s">
        <v>235</v>
      </c>
      <c r="CL26" t="s">
        <v>236</v>
      </c>
      <c r="CM26">
        <v>0</v>
      </c>
      <c r="CN26">
        <v>0</v>
      </c>
      <c r="CO26">
        <v>0</v>
      </c>
      <c r="CP26">
        <v>0</v>
      </c>
      <c r="CU26">
        <v>-635472</v>
      </c>
      <c r="CV26" t="s">
        <v>417</v>
      </c>
      <c r="CW26" t="s">
        <v>418</v>
      </c>
      <c r="CX26" t="s">
        <v>383</v>
      </c>
      <c r="CY26" t="s">
        <v>384</v>
      </c>
      <c r="CZ26" t="s">
        <v>217</v>
      </c>
      <c r="DB26" t="s">
        <v>513</v>
      </c>
      <c r="DD26" t="s">
        <v>514</v>
      </c>
      <c r="DF26" t="s">
        <v>220</v>
      </c>
      <c r="DG26">
        <v>454001</v>
      </c>
      <c r="DL26">
        <v>0</v>
      </c>
      <c r="DN26">
        <v>0</v>
      </c>
      <c r="DP26" t="s">
        <v>515</v>
      </c>
      <c r="DQ26">
        <v>4261065</v>
      </c>
      <c r="DR26" t="s">
        <v>223</v>
      </c>
      <c r="DS26">
        <v>8743.7999999999993</v>
      </c>
      <c r="DT26" s="1">
        <v>45457</v>
      </c>
      <c r="DU26" t="s">
        <v>516</v>
      </c>
      <c r="DV26">
        <v>0</v>
      </c>
      <c r="DW26">
        <v>0.97</v>
      </c>
      <c r="DX26">
        <v>6161.79</v>
      </c>
      <c r="DY26">
        <v>1109.1199999999999</v>
      </c>
      <c r="DZ26">
        <v>7270.91</v>
      </c>
      <c r="EC26">
        <v>0</v>
      </c>
      <c r="EQ26" t="s">
        <v>517</v>
      </c>
      <c r="ER26" s="1">
        <v>45436</v>
      </c>
      <c r="ES26">
        <v>3000</v>
      </c>
      <c r="ET26">
        <v>404981.86</v>
      </c>
      <c r="EU26">
        <v>5426.4</v>
      </c>
      <c r="EV26">
        <v>251606</v>
      </c>
      <c r="EW26" t="s">
        <v>518</v>
      </c>
      <c r="EX26">
        <v>0</v>
      </c>
      <c r="EY26" t="s">
        <v>226</v>
      </c>
      <c r="EZ26" t="s">
        <v>226</v>
      </c>
      <c r="FA26" t="s">
        <v>226</v>
      </c>
      <c r="FB26" t="s">
        <v>202</v>
      </c>
      <c r="FC26" t="s">
        <v>202</v>
      </c>
      <c r="FD26" t="s">
        <v>202</v>
      </c>
      <c r="FE26" t="s">
        <v>202</v>
      </c>
      <c r="FF26" t="s">
        <v>202</v>
      </c>
      <c r="FG26" t="s">
        <v>202</v>
      </c>
      <c r="FH26" t="s">
        <v>202</v>
      </c>
      <c r="FI26" t="s">
        <v>202</v>
      </c>
      <c r="FJ26" t="s">
        <v>202</v>
      </c>
      <c r="FK26" t="s">
        <v>202</v>
      </c>
      <c r="FL26" t="s">
        <v>202</v>
      </c>
      <c r="FM26" t="s">
        <v>202</v>
      </c>
      <c r="FN26" t="s">
        <v>202</v>
      </c>
      <c r="FO26">
        <v>30159</v>
      </c>
      <c r="FP26">
        <v>41</v>
      </c>
      <c r="FQ26">
        <v>44.92</v>
      </c>
      <c r="FR26">
        <v>4763</v>
      </c>
      <c r="FS26">
        <v>0</v>
      </c>
      <c r="FT26">
        <v>0</v>
      </c>
      <c r="FW26">
        <v>0</v>
      </c>
      <c r="FX26">
        <v>0</v>
      </c>
      <c r="FY26">
        <v>0</v>
      </c>
      <c r="GA26">
        <v>-1162</v>
      </c>
    </row>
    <row r="27" spans="1:183" x14ac:dyDescent="0.3">
      <c r="A27">
        <v>11153</v>
      </c>
      <c r="B27">
        <v>26</v>
      </c>
      <c r="C27" t="s">
        <v>374</v>
      </c>
      <c r="D27" t="s">
        <v>374</v>
      </c>
      <c r="E27" t="s">
        <v>519</v>
      </c>
      <c r="F27">
        <v>2457196393</v>
      </c>
      <c r="G27">
        <v>2457196393</v>
      </c>
      <c r="H27" t="s">
        <v>520</v>
      </c>
      <c r="I27" t="s">
        <v>198</v>
      </c>
      <c r="J27" t="s">
        <v>199</v>
      </c>
      <c r="L27" t="s">
        <v>393</v>
      </c>
      <c r="O27">
        <v>9589244572</v>
      </c>
      <c r="P27" t="s">
        <v>521</v>
      </c>
      <c r="Q27" s="1">
        <v>45455</v>
      </c>
      <c r="R27" s="1">
        <v>45455</v>
      </c>
      <c r="S27" s="1">
        <v>45458</v>
      </c>
      <c r="U27" t="s">
        <v>521</v>
      </c>
      <c r="W27" t="s">
        <v>202</v>
      </c>
      <c r="AB27">
        <v>810760</v>
      </c>
      <c r="AD27" t="s">
        <v>287</v>
      </c>
      <c r="AE27">
        <v>4725</v>
      </c>
      <c r="AF27" t="s">
        <v>405</v>
      </c>
      <c r="AG27" t="s">
        <v>232</v>
      </c>
      <c r="AH27" t="s">
        <v>250</v>
      </c>
      <c r="AI27">
        <v>677931.02069000003</v>
      </c>
      <c r="AJ27">
        <v>983000</v>
      </c>
      <c r="AK27">
        <v>45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983000</v>
      </c>
      <c r="BA27">
        <v>2400</v>
      </c>
      <c r="BB27">
        <v>0</v>
      </c>
      <c r="BC27">
        <v>0</v>
      </c>
      <c r="BD27">
        <v>86811</v>
      </c>
      <c r="BE27" t="s">
        <v>234</v>
      </c>
      <c r="BF27">
        <v>16709</v>
      </c>
      <c r="BG27">
        <v>0</v>
      </c>
      <c r="BH27" t="s">
        <v>209</v>
      </c>
      <c r="BI27">
        <v>32847</v>
      </c>
      <c r="BJ27">
        <v>885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1122652</v>
      </c>
      <c r="BY27">
        <v>0</v>
      </c>
      <c r="BZ27">
        <v>7651</v>
      </c>
      <c r="CA27">
        <v>0</v>
      </c>
      <c r="CB27">
        <v>295000</v>
      </c>
      <c r="CC27">
        <v>0</v>
      </c>
      <c r="CD27">
        <v>0</v>
      </c>
      <c r="CE27">
        <v>302651</v>
      </c>
      <c r="CF27">
        <v>0</v>
      </c>
      <c r="CG27">
        <v>0</v>
      </c>
      <c r="CH27">
        <v>800000</v>
      </c>
      <c r="CJ27" t="s">
        <v>522</v>
      </c>
      <c r="CL27" t="s">
        <v>211</v>
      </c>
      <c r="CM27">
        <v>20000</v>
      </c>
      <c r="CN27">
        <v>0</v>
      </c>
      <c r="CO27">
        <v>0</v>
      </c>
      <c r="CP27">
        <v>20000</v>
      </c>
      <c r="CQ27" t="s">
        <v>523</v>
      </c>
      <c r="CT27" t="s">
        <v>454</v>
      </c>
      <c r="CU27">
        <v>1</v>
      </c>
      <c r="CV27" t="s">
        <v>477</v>
      </c>
      <c r="CW27" t="s">
        <v>478</v>
      </c>
      <c r="CX27" t="s">
        <v>383</v>
      </c>
      <c r="CY27" t="s">
        <v>384</v>
      </c>
      <c r="CZ27" t="s">
        <v>217</v>
      </c>
      <c r="DB27" t="s">
        <v>524</v>
      </c>
      <c r="DD27" t="s">
        <v>525</v>
      </c>
      <c r="DF27" t="s">
        <v>220</v>
      </c>
      <c r="DG27">
        <v>451551</v>
      </c>
      <c r="DL27">
        <v>0</v>
      </c>
      <c r="DN27">
        <v>0</v>
      </c>
      <c r="DP27" t="s">
        <v>526</v>
      </c>
      <c r="DQ27">
        <v>7445606</v>
      </c>
      <c r="DR27" t="s">
        <v>223</v>
      </c>
      <c r="DS27">
        <v>16708.8</v>
      </c>
      <c r="DT27" s="1">
        <v>45458</v>
      </c>
      <c r="DU27" t="s">
        <v>527</v>
      </c>
      <c r="DV27">
        <v>0</v>
      </c>
      <c r="DW27">
        <v>1</v>
      </c>
      <c r="DX27">
        <v>8000</v>
      </c>
      <c r="DY27">
        <v>1440</v>
      </c>
      <c r="DZ27">
        <v>9440</v>
      </c>
      <c r="EC27">
        <v>0</v>
      </c>
      <c r="EQ27" t="s">
        <v>528</v>
      </c>
      <c r="ER27" s="1">
        <v>45443</v>
      </c>
      <c r="ES27">
        <v>8500</v>
      </c>
      <c r="ET27">
        <v>632556.03</v>
      </c>
      <c r="EU27">
        <v>0</v>
      </c>
      <c r="EV27">
        <v>250993</v>
      </c>
      <c r="EW27" t="s">
        <v>529</v>
      </c>
      <c r="EX27">
        <v>0</v>
      </c>
      <c r="EY27" t="s">
        <v>226</v>
      </c>
      <c r="EZ27" t="s">
        <v>226</v>
      </c>
      <c r="FA27" t="s">
        <v>226</v>
      </c>
      <c r="FB27" t="s">
        <v>202</v>
      </c>
      <c r="FC27" t="s">
        <v>202</v>
      </c>
      <c r="FD27" t="s">
        <v>202</v>
      </c>
      <c r="FE27" t="s">
        <v>202</v>
      </c>
      <c r="FF27" t="s">
        <v>202</v>
      </c>
      <c r="FG27" t="s">
        <v>202</v>
      </c>
      <c r="FH27" t="s">
        <v>202</v>
      </c>
      <c r="FI27" t="s">
        <v>202</v>
      </c>
      <c r="FJ27" t="s">
        <v>202</v>
      </c>
      <c r="FK27" t="s">
        <v>202</v>
      </c>
      <c r="FL27" t="s">
        <v>202</v>
      </c>
      <c r="FM27" t="s">
        <v>202</v>
      </c>
      <c r="FN27" t="s">
        <v>202</v>
      </c>
      <c r="FO27">
        <v>2400</v>
      </c>
      <c r="FP27">
        <v>0</v>
      </c>
      <c r="FQ27">
        <v>9.7899999999999991</v>
      </c>
      <c r="FR27">
        <v>4725</v>
      </c>
      <c r="FS27">
        <v>0</v>
      </c>
      <c r="FT27">
        <v>0</v>
      </c>
      <c r="FW27">
        <v>0</v>
      </c>
      <c r="FX27">
        <v>0</v>
      </c>
      <c r="FY27">
        <v>0</v>
      </c>
      <c r="GA27">
        <v>-885</v>
      </c>
    </row>
    <row r="28" spans="1:183" x14ac:dyDescent="0.3">
      <c r="A28">
        <v>11181</v>
      </c>
      <c r="B28">
        <v>27</v>
      </c>
      <c r="C28" t="s">
        <v>374</v>
      </c>
      <c r="D28" t="s">
        <v>374</v>
      </c>
      <c r="E28" t="s">
        <v>530</v>
      </c>
      <c r="F28">
        <v>2457307999</v>
      </c>
      <c r="G28">
        <v>2457307999</v>
      </c>
      <c r="H28" t="s">
        <v>531</v>
      </c>
      <c r="I28" t="s">
        <v>198</v>
      </c>
      <c r="J28" t="s">
        <v>199</v>
      </c>
      <c r="L28" t="s">
        <v>393</v>
      </c>
      <c r="O28">
        <v>9575324403</v>
      </c>
      <c r="P28" t="s">
        <v>532</v>
      </c>
      <c r="Q28" s="1">
        <v>45463</v>
      </c>
      <c r="R28" s="1">
        <v>45463</v>
      </c>
      <c r="S28" s="1">
        <v>45462</v>
      </c>
      <c r="U28" t="s">
        <v>532</v>
      </c>
      <c r="W28" t="s">
        <v>202</v>
      </c>
      <c r="AB28">
        <v>817652</v>
      </c>
      <c r="AD28" t="s">
        <v>287</v>
      </c>
      <c r="AE28">
        <v>4725</v>
      </c>
      <c r="AF28" t="s">
        <v>405</v>
      </c>
      <c r="AG28" t="s">
        <v>232</v>
      </c>
      <c r="AH28" t="s">
        <v>250</v>
      </c>
      <c r="AI28">
        <v>677931.02069000003</v>
      </c>
      <c r="AJ28">
        <v>983000</v>
      </c>
      <c r="AK28">
        <v>45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983000</v>
      </c>
      <c r="BA28">
        <v>31678</v>
      </c>
      <c r="BB28">
        <v>0</v>
      </c>
      <c r="BC28">
        <v>0</v>
      </c>
      <c r="BD28">
        <v>86811</v>
      </c>
      <c r="BE28" t="s">
        <v>234</v>
      </c>
      <c r="BF28">
        <v>16710</v>
      </c>
      <c r="BG28">
        <v>0</v>
      </c>
      <c r="BH28" t="s">
        <v>209</v>
      </c>
      <c r="BI28">
        <v>35000</v>
      </c>
      <c r="BJ28">
        <v>885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1154084</v>
      </c>
      <c r="BY28">
        <v>0</v>
      </c>
      <c r="BZ28">
        <v>180000</v>
      </c>
      <c r="CA28">
        <v>0</v>
      </c>
      <c r="CB28">
        <v>72100</v>
      </c>
      <c r="CC28">
        <v>2100</v>
      </c>
      <c r="CD28">
        <v>0</v>
      </c>
      <c r="CE28">
        <v>252100</v>
      </c>
      <c r="CF28">
        <v>0</v>
      </c>
      <c r="CG28">
        <v>0</v>
      </c>
      <c r="CH28">
        <v>901983</v>
      </c>
      <c r="CJ28" t="s">
        <v>299</v>
      </c>
      <c r="CL28" t="s">
        <v>211</v>
      </c>
      <c r="CM28">
        <v>0</v>
      </c>
      <c r="CN28">
        <v>0</v>
      </c>
      <c r="CO28">
        <v>0</v>
      </c>
      <c r="CP28">
        <v>0</v>
      </c>
      <c r="CU28">
        <v>1</v>
      </c>
      <c r="CV28" t="s">
        <v>533</v>
      </c>
      <c r="CW28" t="s">
        <v>534</v>
      </c>
      <c r="CX28" t="s">
        <v>383</v>
      </c>
      <c r="CY28" t="s">
        <v>384</v>
      </c>
      <c r="CZ28" t="s">
        <v>217</v>
      </c>
      <c r="DB28" t="s">
        <v>535</v>
      </c>
      <c r="DD28" t="s">
        <v>536</v>
      </c>
      <c r="DF28" t="s">
        <v>220</v>
      </c>
      <c r="DG28">
        <v>451551</v>
      </c>
      <c r="DL28">
        <v>0</v>
      </c>
      <c r="DN28">
        <v>0</v>
      </c>
      <c r="DP28" t="s">
        <v>537</v>
      </c>
      <c r="DQ28">
        <v>7457011</v>
      </c>
      <c r="DR28" t="s">
        <v>223</v>
      </c>
      <c r="DS28">
        <v>16708.8</v>
      </c>
      <c r="DT28" s="1">
        <v>45463</v>
      </c>
      <c r="DU28" t="s">
        <v>538</v>
      </c>
      <c r="DV28">
        <v>0</v>
      </c>
      <c r="DW28">
        <v>1.5</v>
      </c>
      <c r="DX28">
        <v>13529.75</v>
      </c>
      <c r="DY28">
        <v>2435.36</v>
      </c>
      <c r="DZ28">
        <v>15965.11</v>
      </c>
      <c r="EC28">
        <v>0</v>
      </c>
      <c r="EQ28" t="s">
        <v>539</v>
      </c>
      <c r="ER28" s="1">
        <v>45454</v>
      </c>
      <c r="ES28">
        <v>8500</v>
      </c>
      <c r="ET28">
        <v>632556.03</v>
      </c>
      <c r="EU28">
        <v>0</v>
      </c>
      <c r="EV28">
        <v>252144</v>
      </c>
      <c r="EW28" t="s">
        <v>540</v>
      </c>
      <c r="EX28">
        <v>0</v>
      </c>
      <c r="EY28" t="s">
        <v>226</v>
      </c>
      <c r="EZ28" t="s">
        <v>226</v>
      </c>
      <c r="FA28" t="s">
        <v>226</v>
      </c>
      <c r="FB28" t="s">
        <v>202</v>
      </c>
      <c r="FC28" t="s">
        <v>202</v>
      </c>
      <c r="FD28" t="s">
        <v>202</v>
      </c>
      <c r="FE28" t="s">
        <v>202</v>
      </c>
      <c r="FF28" t="s">
        <v>202</v>
      </c>
      <c r="FG28" t="s">
        <v>202</v>
      </c>
      <c r="FH28" t="s">
        <v>202</v>
      </c>
      <c r="FI28" t="s">
        <v>202</v>
      </c>
      <c r="FJ28" t="s">
        <v>202</v>
      </c>
      <c r="FK28" t="s">
        <v>202</v>
      </c>
      <c r="FL28" t="s">
        <v>202</v>
      </c>
      <c r="FM28" t="s">
        <v>202</v>
      </c>
      <c r="FN28" t="s">
        <v>202</v>
      </c>
      <c r="FO28">
        <v>30901</v>
      </c>
      <c r="FP28">
        <v>777</v>
      </c>
      <c r="FQ28">
        <v>0</v>
      </c>
      <c r="FR28">
        <v>4725</v>
      </c>
      <c r="FS28">
        <v>0</v>
      </c>
      <c r="FT28">
        <v>0</v>
      </c>
      <c r="FW28">
        <v>0</v>
      </c>
      <c r="FX28">
        <v>0</v>
      </c>
      <c r="FY28">
        <v>0</v>
      </c>
      <c r="GA28">
        <v>-1662</v>
      </c>
    </row>
    <row r="29" spans="1:183" x14ac:dyDescent="0.3">
      <c r="A29">
        <v>11216</v>
      </c>
      <c r="B29">
        <v>28</v>
      </c>
      <c r="C29" t="s">
        <v>374</v>
      </c>
      <c r="D29" t="s">
        <v>374</v>
      </c>
      <c r="E29" t="s">
        <v>541</v>
      </c>
      <c r="F29">
        <v>2457271948</v>
      </c>
      <c r="G29">
        <v>2457271948</v>
      </c>
      <c r="H29" t="s">
        <v>542</v>
      </c>
      <c r="I29" t="s">
        <v>198</v>
      </c>
      <c r="J29" t="s">
        <v>199</v>
      </c>
      <c r="L29" t="s">
        <v>393</v>
      </c>
      <c r="O29">
        <v>7049510910</v>
      </c>
      <c r="P29" t="s">
        <v>543</v>
      </c>
      <c r="Q29" s="1">
        <v>45458</v>
      </c>
      <c r="R29" s="1">
        <v>45458</v>
      </c>
      <c r="S29" s="1">
        <v>45464</v>
      </c>
      <c r="U29" t="s">
        <v>543</v>
      </c>
      <c r="W29" t="s">
        <v>202</v>
      </c>
      <c r="AB29">
        <v>809282</v>
      </c>
      <c r="AD29" t="s">
        <v>287</v>
      </c>
      <c r="AE29">
        <v>4725</v>
      </c>
      <c r="AF29" t="s">
        <v>405</v>
      </c>
      <c r="AG29" t="s">
        <v>232</v>
      </c>
      <c r="AH29" t="s">
        <v>250</v>
      </c>
      <c r="AI29">
        <v>677931.02069000003</v>
      </c>
      <c r="AJ29">
        <v>983000</v>
      </c>
      <c r="AK29">
        <v>45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4305</v>
      </c>
      <c r="AW29">
        <v>0</v>
      </c>
      <c r="AX29">
        <v>0</v>
      </c>
      <c r="AY29">
        <v>4305</v>
      </c>
      <c r="AZ29">
        <v>978695</v>
      </c>
      <c r="BA29">
        <v>40000</v>
      </c>
      <c r="BB29">
        <v>0</v>
      </c>
      <c r="BC29">
        <v>0</v>
      </c>
      <c r="BD29">
        <v>86811</v>
      </c>
      <c r="BE29" t="s">
        <v>234</v>
      </c>
      <c r="BF29">
        <v>16709</v>
      </c>
      <c r="BG29">
        <v>0</v>
      </c>
      <c r="BH29" t="s">
        <v>209</v>
      </c>
      <c r="BI29">
        <v>33000</v>
      </c>
      <c r="BJ29">
        <v>885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1156100</v>
      </c>
      <c r="BY29">
        <v>0</v>
      </c>
      <c r="BZ29">
        <v>199000</v>
      </c>
      <c r="CA29">
        <v>0</v>
      </c>
      <c r="CB29">
        <v>5100</v>
      </c>
      <c r="CC29">
        <v>0</v>
      </c>
      <c r="CD29">
        <v>0</v>
      </c>
      <c r="CE29">
        <v>204100</v>
      </c>
      <c r="CF29">
        <v>0</v>
      </c>
      <c r="CG29">
        <v>0</v>
      </c>
      <c r="CH29">
        <v>898500</v>
      </c>
      <c r="CJ29" t="s">
        <v>299</v>
      </c>
      <c r="CL29" t="s">
        <v>211</v>
      </c>
      <c r="CM29">
        <v>0</v>
      </c>
      <c r="CN29">
        <v>0</v>
      </c>
      <c r="CO29">
        <v>0</v>
      </c>
      <c r="CP29">
        <v>0</v>
      </c>
      <c r="CU29">
        <v>53500</v>
      </c>
      <c r="CV29" t="s">
        <v>440</v>
      </c>
      <c r="CW29" t="s">
        <v>441</v>
      </c>
      <c r="CX29" t="s">
        <v>383</v>
      </c>
      <c r="CY29" t="s">
        <v>384</v>
      </c>
      <c r="CZ29" t="s">
        <v>217</v>
      </c>
      <c r="DB29" t="s">
        <v>544</v>
      </c>
      <c r="DD29" t="s">
        <v>545</v>
      </c>
      <c r="DF29" t="s">
        <v>220</v>
      </c>
      <c r="DG29">
        <v>451551</v>
      </c>
      <c r="DL29">
        <v>0</v>
      </c>
      <c r="DN29">
        <v>0</v>
      </c>
      <c r="DP29" t="s">
        <v>546</v>
      </c>
      <c r="DQ29">
        <v>9519437</v>
      </c>
      <c r="DR29" t="s">
        <v>223</v>
      </c>
      <c r="DS29">
        <v>16708.8</v>
      </c>
      <c r="DT29" s="1">
        <v>45465</v>
      </c>
      <c r="DU29" t="s">
        <v>547</v>
      </c>
      <c r="DV29">
        <v>0</v>
      </c>
      <c r="DW29">
        <v>1.5</v>
      </c>
      <c r="DX29">
        <v>13477.5</v>
      </c>
      <c r="DY29">
        <v>2425.9499999999998</v>
      </c>
      <c r="DZ29">
        <v>15903.45</v>
      </c>
      <c r="EC29">
        <v>0</v>
      </c>
      <c r="EQ29" t="s">
        <v>548</v>
      </c>
      <c r="ER29" s="1">
        <v>45443</v>
      </c>
      <c r="ES29">
        <v>8500</v>
      </c>
      <c r="ET29">
        <v>632556.03</v>
      </c>
      <c r="EU29">
        <v>0</v>
      </c>
      <c r="EV29">
        <v>251719</v>
      </c>
      <c r="EW29" t="s">
        <v>549</v>
      </c>
      <c r="EX29">
        <v>0</v>
      </c>
      <c r="EY29" t="s">
        <v>226</v>
      </c>
      <c r="EZ29" t="s">
        <v>226</v>
      </c>
      <c r="FA29" t="s">
        <v>226</v>
      </c>
      <c r="FB29" t="s">
        <v>202</v>
      </c>
      <c r="FC29" t="s">
        <v>202</v>
      </c>
      <c r="FD29" t="s">
        <v>202</v>
      </c>
      <c r="FE29" t="s">
        <v>202</v>
      </c>
      <c r="FF29" t="s">
        <v>202</v>
      </c>
      <c r="FG29" t="s">
        <v>202</v>
      </c>
      <c r="FH29" t="s">
        <v>202</v>
      </c>
      <c r="FI29" t="s">
        <v>202</v>
      </c>
      <c r="FJ29" t="s">
        <v>202</v>
      </c>
      <c r="FK29" t="s">
        <v>202</v>
      </c>
      <c r="FL29" t="s">
        <v>202</v>
      </c>
      <c r="FM29" t="s">
        <v>202</v>
      </c>
      <c r="FN29" t="s">
        <v>202</v>
      </c>
      <c r="FO29">
        <v>36451</v>
      </c>
      <c r="FP29">
        <v>3549</v>
      </c>
      <c r="FQ29">
        <v>0</v>
      </c>
      <c r="FR29">
        <v>4725</v>
      </c>
      <c r="FS29">
        <v>0</v>
      </c>
      <c r="FT29">
        <v>0</v>
      </c>
      <c r="FW29">
        <v>0</v>
      </c>
      <c r="FX29">
        <v>0</v>
      </c>
      <c r="FY29">
        <v>0</v>
      </c>
      <c r="GA29">
        <v>48989</v>
      </c>
    </row>
    <row r="30" spans="1:183" x14ac:dyDescent="0.3">
      <c r="A30">
        <v>11223</v>
      </c>
      <c r="B30">
        <v>29</v>
      </c>
      <c r="C30" t="s">
        <v>374</v>
      </c>
      <c r="D30" t="s">
        <v>374</v>
      </c>
      <c r="E30" t="s">
        <v>550</v>
      </c>
      <c r="F30">
        <v>2457349793</v>
      </c>
      <c r="G30">
        <v>2457349793</v>
      </c>
      <c r="H30" t="s">
        <v>551</v>
      </c>
      <c r="I30" t="s">
        <v>198</v>
      </c>
      <c r="J30" t="s">
        <v>199</v>
      </c>
      <c r="L30" t="s">
        <v>393</v>
      </c>
      <c r="O30">
        <v>8770823218</v>
      </c>
      <c r="P30" t="s">
        <v>552</v>
      </c>
      <c r="Q30" s="1">
        <v>45467</v>
      </c>
      <c r="R30" s="1">
        <v>45467</v>
      </c>
      <c r="S30" s="1">
        <v>45467</v>
      </c>
      <c r="U30" t="s">
        <v>552</v>
      </c>
      <c r="W30" t="s">
        <v>202</v>
      </c>
      <c r="AB30" t="s">
        <v>553</v>
      </c>
      <c r="AD30" t="s">
        <v>310</v>
      </c>
      <c r="AE30">
        <v>4763</v>
      </c>
      <c r="AF30" t="s">
        <v>355</v>
      </c>
      <c r="AG30" t="s">
        <v>232</v>
      </c>
      <c r="AH30" t="s">
        <v>207</v>
      </c>
      <c r="AI30">
        <v>434883.62790700002</v>
      </c>
      <c r="AJ30">
        <v>561000</v>
      </c>
      <c r="AK30">
        <v>29</v>
      </c>
      <c r="AL30">
        <v>10000</v>
      </c>
      <c r="AM30">
        <v>0</v>
      </c>
      <c r="AN30">
        <v>0</v>
      </c>
      <c r="AO30">
        <v>0</v>
      </c>
      <c r="AP30">
        <v>0</v>
      </c>
      <c r="AQ30">
        <v>15000</v>
      </c>
      <c r="AR30">
        <v>0</v>
      </c>
      <c r="AS30">
        <v>0</v>
      </c>
      <c r="AT30">
        <v>0</v>
      </c>
      <c r="AU30">
        <v>0</v>
      </c>
      <c r="AV30">
        <v>14180</v>
      </c>
      <c r="AW30">
        <v>0</v>
      </c>
      <c r="AX30">
        <v>0</v>
      </c>
      <c r="AY30">
        <v>39180</v>
      </c>
      <c r="AZ30">
        <v>521820</v>
      </c>
      <c r="BA30">
        <v>30200</v>
      </c>
      <c r="BB30">
        <v>0</v>
      </c>
      <c r="BC30">
        <v>0</v>
      </c>
      <c r="BD30">
        <v>53351</v>
      </c>
      <c r="BE30" t="s">
        <v>234</v>
      </c>
      <c r="BF30">
        <v>8744</v>
      </c>
      <c r="BG30">
        <v>0</v>
      </c>
      <c r="BH30" t="s">
        <v>209</v>
      </c>
      <c r="BI30">
        <v>25000</v>
      </c>
      <c r="BJ30">
        <v>885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640000</v>
      </c>
      <c r="BY30">
        <v>0</v>
      </c>
      <c r="BZ30">
        <v>80000</v>
      </c>
      <c r="CA30">
        <v>0</v>
      </c>
      <c r="CB30">
        <v>60000</v>
      </c>
      <c r="CC30">
        <v>0</v>
      </c>
      <c r="CD30">
        <v>0</v>
      </c>
      <c r="CE30">
        <v>140000</v>
      </c>
      <c r="CF30">
        <v>0</v>
      </c>
      <c r="CG30">
        <v>0</v>
      </c>
      <c r="CH30">
        <v>500000</v>
      </c>
      <c r="CJ30" t="s">
        <v>210</v>
      </c>
      <c r="CL30" t="s">
        <v>211</v>
      </c>
      <c r="CM30">
        <v>0</v>
      </c>
      <c r="CN30">
        <v>0</v>
      </c>
      <c r="CO30">
        <v>0</v>
      </c>
      <c r="CP30">
        <v>0</v>
      </c>
      <c r="CU30">
        <v>0</v>
      </c>
      <c r="CV30" t="s">
        <v>381</v>
      </c>
      <c r="CW30" t="s">
        <v>382</v>
      </c>
      <c r="CX30" t="s">
        <v>383</v>
      </c>
      <c r="CY30" t="s">
        <v>384</v>
      </c>
      <c r="CZ30" t="s">
        <v>217</v>
      </c>
      <c r="DB30" t="s">
        <v>554</v>
      </c>
      <c r="DD30" t="s">
        <v>555</v>
      </c>
      <c r="DF30" t="s">
        <v>220</v>
      </c>
      <c r="DG30">
        <v>451551</v>
      </c>
      <c r="DL30">
        <v>0</v>
      </c>
      <c r="DN30">
        <v>0</v>
      </c>
      <c r="DP30" t="s">
        <v>556</v>
      </c>
      <c r="DQ30">
        <v>4268859</v>
      </c>
      <c r="DR30" t="s">
        <v>223</v>
      </c>
      <c r="DS30">
        <v>8743.7999999999993</v>
      </c>
      <c r="DT30" s="1">
        <v>45467</v>
      </c>
      <c r="DU30" t="s">
        <v>557</v>
      </c>
      <c r="DV30">
        <v>0</v>
      </c>
      <c r="DW30">
        <v>1.5</v>
      </c>
      <c r="DX30">
        <v>7500</v>
      </c>
      <c r="DY30">
        <v>1350</v>
      </c>
      <c r="DZ30">
        <v>8850</v>
      </c>
      <c r="EC30">
        <v>0</v>
      </c>
      <c r="EQ30" t="s">
        <v>558</v>
      </c>
      <c r="ER30" s="1">
        <v>45458</v>
      </c>
      <c r="ES30">
        <v>3000</v>
      </c>
      <c r="ET30">
        <v>404981.86</v>
      </c>
      <c r="EU30">
        <v>5426.4</v>
      </c>
      <c r="EV30">
        <v>252750</v>
      </c>
      <c r="EW30" t="s">
        <v>559</v>
      </c>
      <c r="EX30">
        <v>0</v>
      </c>
      <c r="EY30" t="s">
        <v>226</v>
      </c>
      <c r="EZ30" t="s">
        <v>226</v>
      </c>
      <c r="FA30" t="s">
        <v>226</v>
      </c>
      <c r="FB30" t="s">
        <v>202</v>
      </c>
      <c r="FC30" t="s">
        <v>202</v>
      </c>
      <c r="FD30" t="s">
        <v>202</v>
      </c>
      <c r="FE30" t="s">
        <v>202</v>
      </c>
      <c r="FF30" t="s">
        <v>202</v>
      </c>
      <c r="FG30" t="s">
        <v>202</v>
      </c>
      <c r="FH30" t="s">
        <v>202</v>
      </c>
      <c r="FI30" t="s">
        <v>202</v>
      </c>
      <c r="FJ30" t="s">
        <v>202</v>
      </c>
      <c r="FK30" t="s">
        <v>202</v>
      </c>
      <c r="FL30" t="s">
        <v>202</v>
      </c>
      <c r="FM30" t="s">
        <v>202</v>
      </c>
      <c r="FN30" t="s">
        <v>202</v>
      </c>
      <c r="FO30">
        <v>30198</v>
      </c>
      <c r="FP30">
        <v>2</v>
      </c>
      <c r="FQ30">
        <v>664.74</v>
      </c>
      <c r="FR30">
        <v>4763</v>
      </c>
      <c r="FS30">
        <v>0</v>
      </c>
      <c r="FT30">
        <v>0</v>
      </c>
      <c r="FW30">
        <v>0</v>
      </c>
      <c r="FX30">
        <v>0</v>
      </c>
      <c r="FY30">
        <v>0</v>
      </c>
      <c r="GA30">
        <v>-1372</v>
      </c>
    </row>
    <row r="31" spans="1:183" x14ac:dyDescent="0.3">
      <c r="A31">
        <v>11239</v>
      </c>
      <c r="B31">
        <v>30</v>
      </c>
      <c r="C31" t="s">
        <v>374</v>
      </c>
      <c r="D31" t="s">
        <v>374</v>
      </c>
      <c r="E31" t="s">
        <v>560</v>
      </c>
      <c r="F31">
        <v>2457364819</v>
      </c>
      <c r="G31">
        <v>2457364819</v>
      </c>
      <c r="H31" t="s">
        <v>561</v>
      </c>
      <c r="I31" t="s">
        <v>198</v>
      </c>
      <c r="J31" t="s">
        <v>199</v>
      </c>
      <c r="L31" t="s">
        <v>377</v>
      </c>
      <c r="O31">
        <v>9893686527</v>
      </c>
      <c r="P31" t="s">
        <v>562</v>
      </c>
      <c r="Q31" s="1">
        <v>45468</v>
      </c>
      <c r="R31" s="1">
        <v>45468</v>
      </c>
      <c r="S31" s="1">
        <v>45468</v>
      </c>
      <c r="U31" t="s">
        <v>562</v>
      </c>
      <c r="W31" t="s">
        <v>202</v>
      </c>
      <c r="AB31" t="s">
        <v>563</v>
      </c>
      <c r="AD31" t="s">
        <v>310</v>
      </c>
      <c r="AE31">
        <v>4765</v>
      </c>
      <c r="AF31" t="s">
        <v>367</v>
      </c>
      <c r="AG31" t="s">
        <v>232</v>
      </c>
      <c r="AH31" t="s">
        <v>207</v>
      </c>
      <c r="AI31">
        <v>440309.992248</v>
      </c>
      <c r="AJ31">
        <v>568000</v>
      </c>
      <c r="AK31">
        <v>29</v>
      </c>
      <c r="AL31">
        <v>10000</v>
      </c>
      <c r="AM31">
        <v>0</v>
      </c>
      <c r="AN31">
        <v>0</v>
      </c>
      <c r="AO31">
        <v>0</v>
      </c>
      <c r="AP31">
        <v>0</v>
      </c>
      <c r="AQ31">
        <v>15000</v>
      </c>
      <c r="AR31">
        <v>0</v>
      </c>
      <c r="AS31">
        <v>0</v>
      </c>
      <c r="AT31">
        <v>0</v>
      </c>
      <c r="AU31">
        <v>0</v>
      </c>
      <c r="AV31">
        <v>21911</v>
      </c>
      <c r="AW31">
        <v>0</v>
      </c>
      <c r="AX31">
        <v>0</v>
      </c>
      <c r="AY31">
        <v>46911</v>
      </c>
      <c r="AZ31">
        <v>521089</v>
      </c>
      <c r="BA31">
        <v>5000</v>
      </c>
      <c r="BB31">
        <v>0</v>
      </c>
      <c r="BC31">
        <v>0</v>
      </c>
      <c r="BD31">
        <v>53911</v>
      </c>
      <c r="BE31" t="s">
        <v>208</v>
      </c>
      <c r="BF31">
        <v>0</v>
      </c>
      <c r="BG31">
        <v>0</v>
      </c>
      <c r="BH31" t="s">
        <v>209</v>
      </c>
      <c r="BI31">
        <v>26000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606000</v>
      </c>
      <c r="BY31">
        <v>0</v>
      </c>
      <c r="BZ31">
        <v>82200</v>
      </c>
      <c r="CA31">
        <v>0</v>
      </c>
      <c r="CB31">
        <v>0</v>
      </c>
      <c r="CC31">
        <v>0</v>
      </c>
      <c r="CD31">
        <v>0</v>
      </c>
      <c r="CE31">
        <v>82200</v>
      </c>
      <c r="CF31">
        <v>0</v>
      </c>
      <c r="CG31">
        <v>0</v>
      </c>
      <c r="CH31">
        <v>523800</v>
      </c>
      <c r="CJ31" t="s">
        <v>380</v>
      </c>
      <c r="CL31" t="s">
        <v>211</v>
      </c>
      <c r="CM31">
        <v>0</v>
      </c>
      <c r="CN31">
        <v>0</v>
      </c>
      <c r="CO31">
        <v>0</v>
      </c>
      <c r="CP31">
        <v>0</v>
      </c>
      <c r="CU31">
        <v>0</v>
      </c>
      <c r="CV31" t="s">
        <v>564</v>
      </c>
      <c r="CW31" t="s">
        <v>565</v>
      </c>
      <c r="CX31" t="s">
        <v>383</v>
      </c>
      <c r="CY31" t="s">
        <v>384</v>
      </c>
      <c r="CZ31" t="s">
        <v>217</v>
      </c>
      <c r="DB31" t="s">
        <v>566</v>
      </c>
      <c r="DD31" t="s">
        <v>567</v>
      </c>
      <c r="DF31" t="s">
        <v>220</v>
      </c>
      <c r="DG31">
        <v>454001</v>
      </c>
      <c r="DL31">
        <v>0</v>
      </c>
      <c r="DN31">
        <v>0</v>
      </c>
      <c r="DP31" t="s">
        <v>568</v>
      </c>
      <c r="DQ31">
        <v>4270177</v>
      </c>
      <c r="DR31" t="s">
        <v>223</v>
      </c>
      <c r="DS31">
        <v>0</v>
      </c>
      <c r="DV31">
        <v>0</v>
      </c>
      <c r="DW31">
        <v>1.5</v>
      </c>
      <c r="DX31">
        <v>7857</v>
      </c>
      <c r="DY31">
        <v>1414.26</v>
      </c>
      <c r="DZ31">
        <v>9271.26</v>
      </c>
      <c r="EC31">
        <v>0</v>
      </c>
      <c r="EQ31" t="s">
        <v>569</v>
      </c>
      <c r="ER31" s="1">
        <v>45458</v>
      </c>
      <c r="ES31">
        <v>3000</v>
      </c>
      <c r="ET31">
        <v>410408.86</v>
      </c>
      <c r="EU31">
        <v>5426.4</v>
      </c>
      <c r="EV31">
        <v>252895</v>
      </c>
      <c r="EW31" t="s">
        <v>570</v>
      </c>
      <c r="EX31">
        <v>0</v>
      </c>
      <c r="EY31" t="s">
        <v>226</v>
      </c>
      <c r="EZ31" t="s">
        <v>202</v>
      </c>
      <c r="FA31" t="s">
        <v>226</v>
      </c>
      <c r="FB31" t="s">
        <v>202</v>
      </c>
      <c r="FC31" t="s">
        <v>202</v>
      </c>
      <c r="FD31" t="s">
        <v>202</v>
      </c>
      <c r="FE31" t="s">
        <v>202</v>
      </c>
      <c r="FF31" t="s">
        <v>202</v>
      </c>
      <c r="FG31" t="s">
        <v>202</v>
      </c>
      <c r="FH31" t="s">
        <v>202</v>
      </c>
      <c r="FI31" t="s">
        <v>202</v>
      </c>
      <c r="FJ31" t="s">
        <v>202</v>
      </c>
      <c r="FK31" t="s">
        <v>202</v>
      </c>
      <c r="FL31" t="s">
        <v>202</v>
      </c>
      <c r="FM31" t="s">
        <v>202</v>
      </c>
      <c r="FN31" t="s">
        <v>202</v>
      </c>
      <c r="FO31">
        <v>5000</v>
      </c>
      <c r="FP31">
        <v>0</v>
      </c>
      <c r="FQ31">
        <v>11.25</v>
      </c>
      <c r="FR31">
        <v>4765</v>
      </c>
      <c r="FS31">
        <v>0</v>
      </c>
      <c r="FT31">
        <v>0</v>
      </c>
      <c r="FW31">
        <v>0</v>
      </c>
      <c r="FX31">
        <v>0</v>
      </c>
      <c r="FY31">
        <v>0</v>
      </c>
      <c r="GA31">
        <v>0</v>
      </c>
    </row>
    <row r="32" spans="1:183" x14ac:dyDescent="0.3">
      <c r="A32">
        <v>11241</v>
      </c>
      <c r="B32">
        <v>31</v>
      </c>
      <c r="C32" t="s">
        <v>374</v>
      </c>
      <c r="D32" t="s">
        <v>374</v>
      </c>
      <c r="E32" t="s">
        <v>571</v>
      </c>
      <c r="F32">
        <v>2457396896</v>
      </c>
      <c r="G32">
        <v>2457396896</v>
      </c>
      <c r="H32" t="s">
        <v>572</v>
      </c>
      <c r="I32" t="s">
        <v>198</v>
      </c>
      <c r="J32" t="s">
        <v>199</v>
      </c>
      <c r="L32" t="s">
        <v>393</v>
      </c>
      <c r="O32">
        <v>8827805174</v>
      </c>
      <c r="P32" t="s">
        <v>573</v>
      </c>
      <c r="Q32" s="1">
        <v>45468</v>
      </c>
      <c r="R32" s="1">
        <v>45468</v>
      </c>
      <c r="S32" s="1">
        <v>45468</v>
      </c>
      <c r="U32" t="s">
        <v>573</v>
      </c>
      <c r="W32" t="s">
        <v>202</v>
      </c>
      <c r="AB32" t="s">
        <v>574</v>
      </c>
      <c r="AD32" t="s">
        <v>310</v>
      </c>
      <c r="AE32">
        <v>4763</v>
      </c>
      <c r="AF32" t="s">
        <v>355</v>
      </c>
      <c r="AG32" t="s">
        <v>232</v>
      </c>
      <c r="AH32" t="s">
        <v>207</v>
      </c>
      <c r="AI32">
        <v>434883.62790700002</v>
      </c>
      <c r="AJ32">
        <v>561000</v>
      </c>
      <c r="AK32">
        <v>29</v>
      </c>
      <c r="AL32">
        <v>10000</v>
      </c>
      <c r="AM32">
        <v>0</v>
      </c>
      <c r="AN32">
        <v>0</v>
      </c>
      <c r="AO32">
        <v>0</v>
      </c>
      <c r="AP32">
        <v>0</v>
      </c>
      <c r="AQ32">
        <v>15000</v>
      </c>
      <c r="AR32">
        <v>0</v>
      </c>
      <c r="AS32">
        <v>0</v>
      </c>
      <c r="AT32">
        <v>0</v>
      </c>
      <c r="AU32">
        <v>0</v>
      </c>
      <c r="AV32">
        <v>13436</v>
      </c>
      <c r="AW32">
        <v>0</v>
      </c>
      <c r="AX32">
        <v>0</v>
      </c>
      <c r="AY32">
        <v>38436</v>
      </c>
      <c r="AZ32">
        <v>522564</v>
      </c>
      <c r="BA32">
        <v>30200</v>
      </c>
      <c r="BB32">
        <v>0</v>
      </c>
      <c r="BC32">
        <v>0</v>
      </c>
      <c r="BD32">
        <v>53351</v>
      </c>
      <c r="BE32" t="s">
        <v>208</v>
      </c>
      <c r="BF32">
        <v>0</v>
      </c>
      <c r="BG32">
        <v>0</v>
      </c>
      <c r="BH32" t="s">
        <v>209</v>
      </c>
      <c r="BI32">
        <v>25000</v>
      </c>
      <c r="BJ32">
        <v>885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632000</v>
      </c>
      <c r="BY32">
        <v>0</v>
      </c>
      <c r="BZ32">
        <v>130000</v>
      </c>
      <c r="CA32">
        <v>0</v>
      </c>
      <c r="CB32">
        <v>0</v>
      </c>
      <c r="CC32">
        <v>0</v>
      </c>
      <c r="CD32">
        <v>0</v>
      </c>
      <c r="CE32">
        <v>130000</v>
      </c>
      <c r="CF32">
        <v>0</v>
      </c>
      <c r="CG32">
        <v>0</v>
      </c>
      <c r="CH32">
        <v>502000</v>
      </c>
      <c r="CJ32" t="s">
        <v>299</v>
      </c>
      <c r="CL32" t="s">
        <v>211</v>
      </c>
      <c r="CM32">
        <v>0</v>
      </c>
      <c r="CN32">
        <v>0</v>
      </c>
      <c r="CO32">
        <v>0</v>
      </c>
      <c r="CP32">
        <v>0</v>
      </c>
      <c r="CU32">
        <v>0</v>
      </c>
      <c r="CV32" t="s">
        <v>564</v>
      </c>
      <c r="CW32" t="s">
        <v>565</v>
      </c>
      <c r="CX32" t="s">
        <v>383</v>
      </c>
      <c r="CY32" t="s">
        <v>384</v>
      </c>
      <c r="CZ32" t="s">
        <v>217</v>
      </c>
      <c r="DB32" t="s">
        <v>575</v>
      </c>
      <c r="DD32" t="s">
        <v>576</v>
      </c>
      <c r="DF32" t="s">
        <v>220</v>
      </c>
      <c r="DG32">
        <v>451551</v>
      </c>
      <c r="DL32">
        <v>0</v>
      </c>
      <c r="DN32">
        <v>0</v>
      </c>
      <c r="DP32" t="s">
        <v>577</v>
      </c>
      <c r="DQ32">
        <v>4269005</v>
      </c>
      <c r="DR32" t="s">
        <v>223</v>
      </c>
      <c r="DS32">
        <v>0</v>
      </c>
      <c r="DV32">
        <v>0</v>
      </c>
      <c r="DW32">
        <v>1.5</v>
      </c>
      <c r="DX32">
        <v>7530</v>
      </c>
      <c r="DY32">
        <v>1355.4</v>
      </c>
      <c r="DZ32">
        <v>8885.4</v>
      </c>
      <c r="EC32">
        <v>0</v>
      </c>
      <c r="EQ32" t="s">
        <v>578</v>
      </c>
      <c r="ER32" s="1">
        <v>45458</v>
      </c>
      <c r="ES32">
        <v>3000</v>
      </c>
      <c r="ET32">
        <v>404981.86</v>
      </c>
      <c r="EU32">
        <v>5426.4</v>
      </c>
      <c r="EV32">
        <v>253223</v>
      </c>
      <c r="EW32" t="s">
        <v>579</v>
      </c>
      <c r="EX32">
        <v>0</v>
      </c>
      <c r="EY32" t="s">
        <v>226</v>
      </c>
      <c r="EZ32" t="s">
        <v>202</v>
      </c>
      <c r="FA32" t="s">
        <v>226</v>
      </c>
      <c r="FB32" t="s">
        <v>202</v>
      </c>
      <c r="FC32" t="s">
        <v>202</v>
      </c>
      <c r="FD32" t="s">
        <v>202</v>
      </c>
      <c r="FE32" t="s">
        <v>202</v>
      </c>
      <c r="FF32" t="s">
        <v>202</v>
      </c>
      <c r="FG32" t="s">
        <v>202</v>
      </c>
      <c r="FH32" t="s">
        <v>202</v>
      </c>
      <c r="FI32" t="s">
        <v>202</v>
      </c>
      <c r="FJ32" t="s">
        <v>202</v>
      </c>
      <c r="FK32" t="s">
        <v>202</v>
      </c>
      <c r="FL32" t="s">
        <v>202</v>
      </c>
      <c r="FM32" t="s">
        <v>202</v>
      </c>
      <c r="FN32" t="s">
        <v>202</v>
      </c>
      <c r="FO32">
        <v>30199</v>
      </c>
      <c r="FP32">
        <v>1</v>
      </c>
      <c r="FQ32">
        <v>967.02</v>
      </c>
      <c r="FR32">
        <v>4763</v>
      </c>
      <c r="FS32">
        <v>0</v>
      </c>
      <c r="FT32">
        <v>0</v>
      </c>
      <c r="FW32">
        <v>0</v>
      </c>
      <c r="FX32">
        <v>0</v>
      </c>
      <c r="FY32">
        <v>0</v>
      </c>
      <c r="GA32">
        <v>-885</v>
      </c>
    </row>
    <row r="33" spans="1:183" x14ac:dyDescent="0.3">
      <c r="A33">
        <v>11272</v>
      </c>
      <c r="B33">
        <v>32</v>
      </c>
      <c r="C33" t="s">
        <v>374</v>
      </c>
      <c r="D33" t="s">
        <v>374</v>
      </c>
      <c r="E33" t="s">
        <v>580</v>
      </c>
      <c r="F33">
        <v>2457340756</v>
      </c>
      <c r="G33">
        <v>2457340756</v>
      </c>
      <c r="H33" t="s">
        <v>581</v>
      </c>
      <c r="I33" t="s">
        <v>198</v>
      </c>
      <c r="J33" t="s">
        <v>199</v>
      </c>
      <c r="L33" t="s">
        <v>393</v>
      </c>
      <c r="O33">
        <v>9993300680</v>
      </c>
      <c r="P33" t="s">
        <v>582</v>
      </c>
      <c r="Q33" s="1">
        <v>45471</v>
      </c>
      <c r="R33" s="1">
        <v>45471</v>
      </c>
      <c r="S33" s="1">
        <v>45468</v>
      </c>
      <c r="U33" t="s">
        <v>582</v>
      </c>
      <c r="W33" t="s">
        <v>202</v>
      </c>
      <c r="AB33" t="s">
        <v>583</v>
      </c>
      <c r="AD33" t="s">
        <v>204</v>
      </c>
      <c r="AE33">
        <v>4687</v>
      </c>
      <c r="AF33" t="s">
        <v>263</v>
      </c>
      <c r="AG33" t="s">
        <v>232</v>
      </c>
      <c r="AH33" t="s">
        <v>207</v>
      </c>
      <c r="AI33">
        <v>464728.68217099999</v>
      </c>
      <c r="AJ33">
        <v>599500</v>
      </c>
      <c r="AK33">
        <v>29</v>
      </c>
      <c r="AL33">
        <v>10000</v>
      </c>
      <c r="AM33">
        <v>0</v>
      </c>
      <c r="AN33">
        <v>0</v>
      </c>
      <c r="AO33">
        <v>10000</v>
      </c>
      <c r="AP33">
        <v>0</v>
      </c>
      <c r="AQ33">
        <v>25000</v>
      </c>
      <c r="AR33">
        <v>0</v>
      </c>
      <c r="AS33">
        <v>0</v>
      </c>
      <c r="AT33">
        <v>0</v>
      </c>
      <c r="AU33">
        <v>0</v>
      </c>
      <c r="AV33">
        <v>35000</v>
      </c>
      <c r="AW33">
        <v>5697</v>
      </c>
      <c r="AX33">
        <v>0</v>
      </c>
      <c r="AY33">
        <v>80000</v>
      </c>
      <c r="AZ33">
        <v>519500</v>
      </c>
      <c r="BA33">
        <v>20000</v>
      </c>
      <c r="BB33">
        <v>0</v>
      </c>
      <c r="BC33">
        <v>0</v>
      </c>
      <c r="BD33">
        <v>56531</v>
      </c>
      <c r="BE33" t="s">
        <v>234</v>
      </c>
      <c r="BF33">
        <v>9346</v>
      </c>
      <c r="BG33">
        <v>0</v>
      </c>
      <c r="BH33" t="s">
        <v>209</v>
      </c>
      <c r="BI33">
        <v>20000</v>
      </c>
      <c r="BJ33">
        <v>885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626262</v>
      </c>
      <c r="BY33">
        <v>0</v>
      </c>
      <c r="BZ33">
        <v>0</v>
      </c>
      <c r="CA33">
        <v>0</v>
      </c>
      <c r="CB33">
        <v>610100</v>
      </c>
      <c r="CC33">
        <v>1100</v>
      </c>
      <c r="CD33">
        <v>0</v>
      </c>
      <c r="CE33">
        <v>610100</v>
      </c>
      <c r="CF33">
        <v>0</v>
      </c>
      <c r="CG33">
        <v>0</v>
      </c>
      <c r="CH33">
        <v>609000</v>
      </c>
      <c r="CI33">
        <v>609000</v>
      </c>
      <c r="CJ33" t="s">
        <v>235</v>
      </c>
      <c r="CL33" t="s">
        <v>236</v>
      </c>
      <c r="CM33">
        <v>0</v>
      </c>
      <c r="CN33">
        <v>0</v>
      </c>
      <c r="CO33">
        <v>0</v>
      </c>
      <c r="CP33">
        <v>0</v>
      </c>
      <c r="CU33">
        <v>16162</v>
      </c>
      <c r="CV33" t="s">
        <v>440</v>
      </c>
      <c r="CW33" t="s">
        <v>441</v>
      </c>
      <c r="CX33" t="s">
        <v>383</v>
      </c>
      <c r="CY33" t="s">
        <v>384</v>
      </c>
      <c r="CZ33" t="s">
        <v>217</v>
      </c>
      <c r="DB33" t="s">
        <v>584</v>
      </c>
      <c r="DD33" t="s">
        <v>585</v>
      </c>
      <c r="DF33" t="s">
        <v>220</v>
      </c>
      <c r="DG33">
        <v>451551</v>
      </c>
      <c r="DL33">
        <v>0</v>
      </c>
      <c r="DN33">
        <v>0</v>
      </c>
      <c r="DP33" t="s">
        <v>586</v>
      </c>
      <c r="DQ33" t="s">
        <v>587</v>
      </c>
      <c r="DR33" t="s">
        <v>223</v>
      </c>
      <c r="DS33">
        <v>9345.6</v>
      </c>
      <c r="DT33" s="1">
        <v>45471</v>
      </c>
      <c r="DU33" t="s">
        <v>588</v>
      </c>
      <c r="DV33">
        <v>0</v>
      </c>
      <c r="DW33">
        <v>0.97</v>
      </c>
      <c r="DX33">
        <v>5907.3</v>
      </c>
      <c r="DY33">
        <v>1063.31</v>
      </c>
      <c r="DZ33">
        <v>6970.61</v>
      </c>
      <c r="EC33">
        <v>0</v>
      </c>
      <c r="EQ33" t="s">
        <v>589</v>
      </c>
      <c r="ER33" s="1">
        <v>45463</v>
      </c>
      <c r="ES33">
        <v>4000</v>
      </c>
      <c r="ET33">
        <v>429977.29</v>
      </c>
      <c r="EU33">
        <v>5426.4</v>
      </c>
      <c r="EV33">
        <v>252474</v>
      </c>
      <c r="EW33" t="s">
        <v>590</v>
      </c>
      <c r="EX33">
        <v>0</v>
      </c>
      <c r="EY33" t="s">
        <v>226</v>
      </c>
      <c r="EZ33" t="s">
        <v>226</v>
      </c>
      <c r="FA33" t="s">
        <v>226</v>
      </c>
      <c r="FB33" t="s">
        <v>202</v>
      </c>
      <c r="FC33" t="s">
        <v>202</v>
      </c>
      <c r="FD33" t="s">
        <v>202</v>
      </c>
      <c r="FE33" t="s">
        <v>202</v>
      </c>
      <c r="FF33" t="s">
        <v>202</v>
      </c>
      <c r="FG33" t="s">
        <v>202</v>
      </c>
      <c r="FH33" t="s">
        <v>202</v>
      </c>
      <c r="FI33" t="s">
        <v>202</v>
      </c>
      <c r="FJ33" t="s">
        <v>202</v>
      </c>
      <c r="FK33" t="s">
        <v>202</v>
      </c>
      <c r="FL33" t="s">
        <v>202</v>
      </c>
      <c r="FM33" t="s">
        <v>202</v>
      </c>
      <c r="FN33" t="s">
        <v>202</v>
      </c>
      <c r="FO33">
        <v>20000</v>
      </c>
      <c r="FP33">
        <v>0</v>
      </c>
      <c r="FQ33">
        <v>900.81</v>
      </c>
      <c r="FR33">
        <v>4687</v>
      </c>
      <c r="FS33">
        <v>0</v>
      </c>
      <c r="FT33">
        <v>0</v>
      </c>
      <c r="FW33">
        <v>0</v>
      </c>
      <c r="FX33">
        <v>0</v>
      </c>
      <c r="FY33">
        <v>0</v>
      </c>
      <c r="GA33">
        <v>15277</v>
      </c>
    </row>
    <row r="34" spans="1:183" x14ac:dyDescent="0.3">
      <c r="A34">
        <v>11286</v>
      </c>
      <c r="B34">
        <v>33</v>
      </c>
      <c r="C34" t="s">
        <v>374</v>
      </c>
      <c r="D34" t="s">
        <v>374</v>
      </c>
      <c r="E34" t="s">
        <v>591</v>
      </c>
      <c r="F34">
        <v>2457426963</v>
      </c>
      <c r="G34">
        <v>2457426963</v>
      </c>
      <c r="H34" t="s">
        <v>592</v>
      </c>
      <c r="I34" t="s">
        <v>198</v>
      </c>
      <c r="J34" t="s">
        <v>199</v>
      </c>
      <c r="L34" t="s">
        <v>393</v>
      </c>
      <c r="O34">
        <v>9826528272</v>
      </c>
      <c r="P34" t="s">
        <v>593</v>
      </c>
      <c r="Q34" s="1">
        <v>45472</v>
      </c>
      <c r="R34" s="1">
        <v>45472</v>
      </c>
      <c r="S34" s="1">
        <v>45472</v>
      </c>
      <c r="U34" t="s">
        <v>593</v>
      </c>
      <c r="W34" t="s">
        <v>202</v>
      </c>
      <c r="AB34" t="s">
        <v>594</v>
      </c>
      <c r="AD34" t="s">
        <v>310</v>
      </c>
      <c r="AE34">
        <v>4765</v>
      </c>
      <c r="AF34" t="s">
        <v>367</v>
      </c>
      <c r="AG34" t="s">
        <v>232</v>
      </c>
      <c r="AH34" t="s">
        <v>207</v>
      </c>
      <c r="AI34">
        <v>440309.992248</v>
      </c>
      <c r="AJ34">
        <v>568000</v>
      </c>
      <c r="AK34">
        <v>29</v>
      </c>
      <c r="AL34">
        <v>10000</v>
      </c>
      <c r="AM34">
        <v>0</v>
      </c>
      <c r="AN34">
        <v>0</v>
      </c>
      <c r="AO34">
        <v>2100</v>
      </c>
      <c r="AP34">
        <v>0</v>
      </c>
      <c r="AQ34">
        <v>15000</v>
      </c>
      <c r="AR34">
        <v>0</v>
      </c>
      <c r="AS34">
        <v>0</v>
      </c>
      <c r="AT34">
        <v>0</v>
      </c>
      <c r="AU34">
        <v>0</v>
      </c>
      <c r="AV34">
        <v>15196</v>
      </c>
      <c r="AW34">
        <v>0</v>
      </c>
      <c r="AX34">
        <v>0</v>
      </c>
      <c r="AY34">
        <v>42296</v>
      </c>
      <c r="AZ34">
        <v>525704</v>
      </c>
      <c r="BA34">
        <v>33500</v>
      </c>
      <c r="BB34">
        <v>0</v>
      </c>
      <c r="BC34">
        <v>0</v>
      </c>
      <c r="BD34">
        <v>53911</v>
      </c>
      <c r="BE34" t="s">
        <v>208</v>
      </c>
      <c r="BF34">
        <v>0</v>
      </c>
      <c r="BG34">
        <v>0</v>
      </c>
      <c r="BH34" t="s">
        <v>209</v>
      </c>
      <c r="BI34">
        <v>26001</v>
      </c>
      <c r="BJ34">
        <v>885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640001</v>
      </c>
      <c r="BY34">
        <v>0</v>
      </c>
      <c r="BZ34">
        <v>0</v>
      </c>
      <c r="CA34">
        <v>0</v>
      </c>
      <c r="CB34">
        <v>660396</v>
      </c>
      <c r="CC34">
        <v>0</v>
      </c>
      <c r="CD34">
        <v>0</v>
      </c>
      <c r="CE34">
        <v>660396</v>
      </c>
      <c r="CF34">
        <v>0</v>
      </c>
      <c r="CG34">
        <v>0</v>
      </c>
      <c r="CH34">
        <v>649396</v>
      </c>
      <c r="CJ34" t="s">
        <v>595</v>
      </c>
      <c r="CL34" t="s">
        <v>236</v>
      </c>
      <c r="CM34">
        <v>0</v>
      </c>
      <c r="CN34">
        <v>0</v>
      </c>
      <c r="CO34">
        <v>0</v>
      </c>
      <c r="CP34">
        <v>0</v>
      </c>
      <c r="CU34">
        <v>-669791</v>
      </c>
      <c r="CV34" t="s">
        <v>564</v>
      </c>
      <c r="CW34" t="s">
        <v>565</v>
      </c>
      <c r="CX34" t="s">
        <v>383</v>
      </c>
      <c r="CY34" t="s">
        <v>384</v>
      </c>
      <c r="CZ34" t="s">
        <v>217</v>
      </c>
      <c r="DB34" t="s">
        <v>596</v>
      </c>
      <c r="DD34" t="s">
        <v>597</v>
      </c>
      <c r="DF34" t="s">
        <v>220</v>
      </c>
      <c r="DG34">
        <v>451551</v>
      </c>
      <c r="DL34">
        <v>0</v>
      </c>
      <c r="DN34">
        <v>0</v>
      </c>
      <c r="DP34" t="s">
        <v>598</v>
      </c>
      <c r="DQ34">
        <v>4271984</v>
      </c>
      <c r="DR34" t="s">
        <v>223</v>
      </c>
      <c r="DS34">
        <v>0</v>
      </c>
      <c r="DV34">
        <v>0</v>
      </c>
      <c r="DW34">
        <v>1</v>
      </c>
      <c r="DX34">
        <v>6493.96</v>
      </c>
      <c r="DY34">
        <v>1168.9100000000001</v>
      </c>
      <c r="DZ34">
        <v>7662.87</v>
      </c>
      <c r="EC34">
        <v>0</v>
      </c>
      <c r="EQ34" t="s">
        <v>599</v>
      </c>
      <c r="ER34" s="1">
        <v>45462</v>
      </c>
      <c r="ES34">
        <v>3000</v>
      </c>
      <c r="ET34">
        <v>410408.86</v>
      </c>
      <c r="EU34">
        <v>5426.4</v>
      </c>
      <c r="EV34">
        <v>254536</v>
      </c>
      <c r="EW34" t="s">
        <v>600</v>
      </c>
      <c r="EX34">
        <v>0</v>
      </c>
      <c r="EY34" t="s">
        <v>226</v>
      </c>
      <c r="EZ34" t="s">
        <v>202</v>
      </c>
      <c r="FA34" t="s">
        <v>226</v>
      </c>
      <c r="FB34" t="s">
        <v>202</v>
      </c>
      <c r="FC34" t="s">
        <v>202</v>
      </c>
      <c r="FD34" t="s">
        <v>202</v>
      </c>
      <c r="FE34" t="s">
        <v>202</v>
      </c>
      <c r="FF34" t="s">
        <v>202</v>
      </c>
      <c r="FG34" t="s">
        <v>202</v>
      </c>
      <c r="FH34" t="s">
        <v>202</v>
      </c>
      <c r="FI34" t="s">
        <v>202</v>
      </c>
      <c r="FJ34" t="s">
        <v>202</v>
      </c>
      <c r="FK34" t="s">
        <v>202</v>
      </c>
      <c r="FL34" t="s">
        <v>202</v>
      </c>
      <c r="FM34" t="s">
        <v>202</v>
      </c>
      <c r="FN34" t="s">
        <v>202</v>
      </c>
      <c r="FO34">
        <v>0</v>
      </c>
      <c r="FP34">
        <v>33500</v>
      </c>
      <c r="FQ34">
        <v>0</v>
      </c>
      <c r="FR34">
        <v>4765</v>
      </c>
      <c r="FS34">
        <v>0</v>
      </c>
      <c r="FT34">
        <v>0</v>
      </c>
      <c r="FW34">
        <v>0</v>
      </c>
      <c r="FX34">
        <v>0</v>
      </c>
      <c r="FY34">
        <v>0</v>
      </c>
      <c r="GA34">
        <v>-21281</v>
      </c>
    </row>
    <row r="35" spans="1:183" x14ac:dyDescent="0.3">
      <c r="A35">
        <v>11290</v>
      </c>
      <c r="B35">
        <v>34</v>
      </c>
      <c r="C35" t="s">
        <v>374</v>
      </c>
      <c r="D35" t="s">
        <v>374</v>
      </c>
      <c r="E35" t="s">
        <v>601</v>
      </c>
      <c r="F35">
        <v>2457514471</v>
      </c>
      <c r="G35">
        <v>2457514471</v>
      </c>
      <c r="H35" t="s">
        <v>602</v>
      </c>
      <c r="I35" t="s">
        <v>198</v>
      </c>
      <c r="J35" t="s">
        <v>199</v>
      </c>
      <c r="L35" t="s">
        <v>393</v>
      </c>
      <c r="O35">
        <v>8889216900</v>
      </c>
      <c r="P35" t="s">
        <v>603</v>
      </c>
      <c r="Q35" s="1">
        <v>45473</v>
      </c>
      <c r="R35" s="1">
        <v>45473</v>
      </c>
      <c r="S35" s="1">
        <v>45473</v>
      </c>
      <c r="U35" t="s">
        <v>603</v>
      </c>
      <c r="W35" t="s">
        <v>202</v>
      </c>
      <c r="AB35">
        <v>397863</v>
      </c>
      <c r="AD35" t="s">
        <v>323</v>
      </c>
      <c r="AE35">
        <v>4715</v>
      </c>
      <c r="AF35" t="s">
        <v>324</v>
      </c>
      <c r="AG35" t="s">
        <v>232</v>
      </c>
      <c r="AH35" t="s">
        <v>250</v>
      </c>
      <c r="AI35">
        <v>668620.68965499999</v>
      </c>
      <c r="AJ35">
        <v>969500</v>
      </c>
      <c r="AK35">
        <v>45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10000</v>
      </c>
      <c r="AR35">
        <v>0</v>
      </c>
      <c r="AS35">
        <v>0</v>
      </c>
      <c r="AT35">
        <v>0</v>
      </c>
      <c r="AU35">
        <v>0</v>
      </c>
      <c r="AV35">
        <v>18201</v>
      </c>
      <c r="AW35">
        <v>0</v>
      </c>
      <c r="AX35">
        <v>0</v>
      </c>
      <c r="AY35">
        <v>28201</v>
      </c>
      <c r="AZ35">
        <v>941299</v>
      </c>
      <c r="BA35">
        <v>48000</v>
      </c>
      <c r="BB35">
        <v>0</v>
      </c>
      <c r="BC35">
        <v>0</v>
      </c>
      <c r="BD35">
        <v>85331</v>
      </c>
      <c r="BE35" t="s">
        <v>234</v>
      </c>
      <c r="BF35">
        <v>16485</v>
      </c>
      <c r="BG35">
        <v>0</v>
      </c>
      <c r="BH35" t="s">
        <v>209</v>
      </c>
      <c r="BI35">
        <v>33001</v>
      </c>
      <c r="BJ35">
        <v>885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1125001</v>
      </c>
      <c r="BY35">
        <v>0</v>
      </c>
      <c r="BZ35">
        <v>50000</v>
      </c>
      <c r="CA35">
        <v>0</v>
      </c>
      <c r="CB35">
        <v>50000</v>
      </c>
      <c r="CC35">
        <v>0</v>
      </c>
      <c r="CD35">
        <v>0</v>
      </c>
      <c r="CE35">
        <v>100000</v>
      </c>
      <c r="CF35">
        <v>0</v>
      </c>
      <c r="CG35">
        <v>0</v>
      </c>
      <c r="CH35">
        <v>966900</v>
      </c>
      <c r="CJ35" t="s">
        <v>380</v>
      </c>
      <c r="CL35" t="s">
        <v>211</v>
      </c>
      <c r="CM35">
        <v>0</v>
      </c>
      <c r="CN35">
        <v>0</v>
      </c>
      <c r="CO35">
        <v>0</v>
      </c>
      <c r="CP35">
        <v>0</v>
      </c>
      <c r="CU35">
        <v>58101</v>
      </c>
      <c r="CV35" t="s">
        <v>417</v>
      </c>
      <c r="CW35" t="s">
        <v>418</v>
      </c>
      <c r="CX35" t="s">
        <v>383</v>
      </c>
      <c r="CY35" t="s">
        <v>384</v>
      </c>
      <c r="CZ35" t="s">
        <v>217</v>
      </c>
      <c r="DB35" t="s">
        <v>604</v>
      </c>
      <c r="DD35" t="s">
        <v>605</v>
      </c>
      <c r="DF35" t="s">
        <v>220</v>
      </c>
      <c r="DG35">
        <v>451551</v>
      </c>
      <c r="DL35">
        <v>0</v>
      </c>
      <c r="DN35">
        <v>0</v>
      </c>
      <c r="DP35" t="s">
        <v>606</v>
      </c>
      <c r="DQ35">
        <v>9475823</v>
      </c>
      <c r="DR35" t="s">
        <v>223</v>
      </c>
      <c r="DS35">
        <v>16484.599999999999</v>
      </c>
      <c r="DT35" s="1">
        <v>45473</v>
      </c>
      <c r="DU35" t="s">
        <v>607</v>
      </c>
      <c r="DV35">
        <v>0</v>
      </c>
      <c r="DW35">
        <v>1.5</v>
      </c>
      <c r="DX35">
        <v>14503.5</v>
      </c>
      <c r="DY35">
        <v>2610.63</v>
      </c>
      <c r="DZ35">
        <v>17114.13</v>
      </c>
      <c r="EC35">
        <v>0</v>
      </c>
      <c r="EQ35" t="s">
        <v>608</v>
      </c>
      <c r="ER35" s="1">
        <v>45381</v>
      </c>
      <c r="ES35">
        <v>6000</v>
      </c>
      <c r="ET35">
        <v>623495.68000000005</v>
      </c>
      <c r="EU35">
        <v>0</v>
      </c>
      <c r="EV35">
        <v>254837</v>
      </c>
      <c r="EW35" t="s">
        <v>609</v>
      </c>
      <c r="EX35">
        <v>0</v>
      </c>
      <c r="EY35" t="s">
        <v>226</v>
      </c>
      <c r="EZ35" t="s">
        <v>226</v>
      </c>
      <c r="FA35" t="s">
        <v>226</v>
      </c>
      <c r="FB35" t="s">
        <v>202</v>
      </c>
      <c r="FC35" t="s">
        <v>202</v>
      </c>
      <c r="FD35" t="s">
        <v>202</v>
      </c>
      <c r="FE35" t="s">
        <v>202</v>
      </c>
      <c r="FF35" t="s">
        <v>202</v>
      </c>
      <c r="FG35" t="s">
        <v>202</v>
      </c>
      <c r="FH35" t="s">
        <v>202</v>
      </c>
      <c r="FI35" t="s">
        <v>202</v>
      </c>
      <c r="FJ35" t="s">
        <v>202</v>
      </c>
      <c r="FK35" t="s">
        <v>202</v>
      </c>
      <c r="FL35" t="s">
        <v>202</v>
      </c>
      <c r="FM35" t="s">
        <v>202</v>
      </c>
      <c r="FN35" t="s">
        <v>202</v>
      </c>
      <c r="FO35">
        <v>44614</v>
      </c>
      <c r="FP35">
        <v>3386</v>
      </c>
      <c r="FQ35">
        <v>0</v>
      </c>
      <c r="FR35">
        <v>4715</v>
      </c>
      <c r="FS35">
        <v>0</v>
      </c>
      <c r="FT35">
        <v>0</v>
      </c>
      <c r="FW35">
        <v>0</v>
      </c>
      <c r="FX35">
        <v>0</v>
      </c>
      <c r="FY35">
        <v>0</v>
      </c>
      <c r="GA35">
        <v>1020729</v>
      </c>
    </row>
    <row r="36" spans="1:183" x14ac:dyDescent="0.3">
      <c r="A36">
        <v>11068</v>
      </c>
      <c r="B36">
        <v>35</v>
      </c>
      <c r="C36" t="s">
        <v>610</v>
      </c>
      <c r="D36" t="s">
        <v>610</v>
      </c>
      <c r="E36" t="s">
        <v>611</v>
      </c>
      <c r="F36">
        <v>2457108270</v>
      </c>
      <c r="G36">
        <v>2457108270</v>
      </c>
      <c r="H36" t="s">
        <v>612</v>
      </c>
      <c r="I36" t="s">
        <v>198</v>
      </c>
      <c r="J36" t="s">
        <v>488</v>
      </c>
      <c r="L36" t="s">
        <v>613</v>
      </c>
      <c r="O36">
        <v>7264801080</v>
      </c>
      <c r="P36" t="s">
        <v>614</v>
      </c>
      <c r="Q36" s="1">
        <v>45446</v>
      </c>
      <c r="R36" s="1">
        <v>45446</v>
      </c>
      <c r="S36" s="1">
        <v>45445</v>
      </c>
      <c r="U36" t="s">
        <v>614</v>
      </c>
      <c r="W36" t="s">
        <v>202</v>
      </c>
      <c r="AB36">
        <v>807622</v>
      </c>
      <c r="AD36" t="s">
        <v>287</v>
      </c>
      <c r="AE36">
        <v>4738</v>
      </c>
      <c r="AF36" t="s">
        <v>288</v>
      </c>
      <c r="AG36" t="s">
        <v>206</v>
      </c>
      <c r="AH36" t="s">
        <v>250</v>
      </c>
      <c r="AI36">
        <v>743448.26896599995</v>
      </c>
      <c r="AJ36">
        <v>1077999</v>
      </c>
      <c r="AK36">
        <v>45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1077999</v>
      </c>
      <c r="BA36">
        <v>41000</v>
      </c>
      <c r="BB36">
        <v>0</v>
      </c>
      <c r="BC36">
        <v>0</v>
      </c>
      <c r="BD36">
        <v>5000</v>
      </c>
      <c r="BE36" t="s">
        <v>234</v>
      </c>
      <c r="BF36">
        <v>18327</v>
      </c>
      <c r="BG36">
        <v>0</v>
      </c>
      <c r="BH36" t="s">
        <v>209</v>
      </c>
      <c r="BI36">
        <v>30000</v>
      </c>
      <c r="BJ36">
        <v>885</v>
      </c>
      <c r="BK36">
        <v>0</v>
      </c>
      <c r="BL36">
        <v>0</v>
      </c>
      <c r="BM36">
        <v>0</v>
      </c>
      <c r="BN36">
        <v>10789</v>
      </c>
      <c r="BO36">
        <v>0</v>
      </c>
      <c r="BP36">
        <v>0</v>
      </c>
      <c r="BQ36">
        <v>0</v>
      </c>
      <c r="BR36">
        <v>0</v>
      </c>
      <c r="BS36">
        <v>500</v>
      </c>
      <c r="BT36">
        <v>0</v>
      </c>
      <c r="BU36">
        <v>0</v>
      </c>
      <c r="BV36">
        <v>0</v>
      </c>
      <c r="BW36">
        <v>0</v>
      </c>
      <c r="BX36">
        <v>1184500</v>
      </c>
      <c r="BY36">
        <v>0</v>
      </c>
      <c r="BZ36">
        <v>0</v>
      </c>
      <c r="CA36">
        <v>0</v>
      </c>
      <c r="CB36">
        <v>305530</v>
      </c>
      <c r="CC36">
        <v>0</v>
      </c>
      <c r="CD36">
        <v>0</v>
      </c>
      <c r="CE36">
        <v>305530</v>
      </c>
      <c r="CF36">
        <v>0</v>
      </c>
      <c r="CG36">
        <v>0</v>
      </c>
      <c r="CH36">
        <v>878969</v>
      </c>
      <c r="CJ36" t="s">
        <v>380</v>
      </c>
      <c r="CL36" t="s">
        <v>211</v>
      </c>
      <c r="CM36">
        <v>0</v>
      </c>
      <c r="CN36">
        <v>0</v>
      </c>
      <c r="CO36">
        <v>0</v>
      </c>
      <c r="CP36">
        <v>0</v>
      </c>
      <c r="CU36">
        <v>1</v>
      </c>
      <c r="CV36" t="s">
        <v>615</v>
      </c>
      <c r="CW36" t="s">
        <v>616</v>
      </c>
      <c r="CX36" t="s">
        <v>615</v>
      </c>
      <c r="CY36" t="s">
        <v>616</v>
      </c>
      <c r="CZ36" t="s">
        <v>217</v>
      </c>
      <c r="DB36" t="s">
        <v>617</v>
      </c>
      <c r="DD36" t="s">
        <v>618</v>
      </c>
      <c r="DF36" t="s">
        <v>220</v>
      </c>
      <c r="DG36">
        <v>425001</v>
      </c>
      <c r="DL36">
        <v>0</v>
      </c>
      <c r="DN36">
        <v>0</v>
      </c>
      <c r="DP36" t="s">
        <v>619</v>
      </c>
      <c r="DQ36">
        <v>9517624</v>
      </c>
      <c r="DR36" t="s">
        <v>223</v>
      </c>
      <c r="DS36">
        <v>18325.400000000001</v>
      </c>
      <c r="DT36" s="1">
        <v>45447</v>
      </c>
      <c r="DU36" t="s">
        <v>620</v>
      </c>
      <c r="DV36">
        <v>0</v>
      </c>
      <c r="DW36">
        <v>1.5</v>
      </c>
      <c r="DX36">
        <v>13184.54</v>
      </c>
      <c r="DY36">
        <v>2373.2199999999998</v>
      </c>
      <c r="DZ36">
        <v>15557.76</v>
      </c>
      <c r="EC36">
        <v>0</v>
      </c>
      <c r="EQ36" t="s">
        <v>621</v>
      </c>
      <c r="ER36" s="1">
        <v>45432</v>
      </c>
      <c r="ES36">
        <v>8500</v>
      </c>
      <c r="ET36">
        <v>697073.03</v>
      </c>
      <c r="EU36">
        <v>0</v>
      </c>
      <c r="EV36">
        <v>250083</v>
      </c>
      <c r="EW36" t="s">
        <v>622</v>
      </c>
      <c r="EX36">
        <v>0</v>
      </c>
      <c r="EY36" t="s">
        <v>226</v>
      </c>
      <c r="EZ36" t="s">
        <v>226</v>
      </c>
      <c r="FA36" t="s">
        <v>226</v>
      </c>
      <c r="FB36" t="s">
        <v>226</v>
      </c>
      <c r="FC36" t="s">
        <v>202</v>
      </c>
      <c r="FD36" t="s">
        <v>202</v>
      </c>
      <c r="FE36" t="s">
        <v>202</v>
      </c>
      <c r="FF36" t="s">
        <v>202</v>
      </c>
      <c r="FG36" t="s">
        <v>202</v>
      </c>
      <c r="FH36" t="s">
        <v>202</v>
      </c>
      <c r="FI36" t="s">
        <v>202</v>
      </c>
      <c r="FJ36" t="s">
        <v>202</v>
      </c>
      <c r="FK36" t="s">
        <v>202</v>
      </c>
      <c r="FL36" t="s">
        <v>202</v>
      </c>
      <c r="FM36" t="s">
        <v>202</v>
      </c>
      <c r="FN36" t="s">
        <v>202</v>
      </c>
      <c r="FO36">
        <v>41027</v>
      </c>
      <c r="FP36">
        <v>-27</v>
      </c>
      <c r="FQ36">
        <v>84.3</v>
      </c>
      <c r="FR36">
        <v>4738</v>
      </c>
      <c r="FS36">
        <v>0</v>
      </c>
      <c r="FT36">
        <v>0</v>
      </c>
      <c r="FW36">
        <v>0</v>
      </c>
      <c r="FX36">
        <v>0</v>
      </c>
      <c r="FY36">
        <v>0</v>
      </c>
      <c r="GA36">
        <v>-885</v>
      </c>
    </row>
    <row r="37" spans="1:183" x14ac:dyDescent="0.3">
      <c r="A37">
        <v>11069</v>
      </c>
      <c r="B37">
        <v>36</v>
      </c>
      <c r="C37" t="s">
        <v>610</v>
      </c>
      <c r="D37" t="s">
        <v>610</v>
      </c>
      <c r="E37" t="s">
        <v>623</v>
      </c>
      <c r="F37">
        <v>2457074959</v>
      </c>
      <c r="G37">
        <v>2457074959</v>
      </c>
      <c r="H37" t="s">
        <v>624</v>
      </c>
      <c r="I37" t="s">
        <v>198</v>
      </c>
      <c r="J37" t="s">
        <v>199</v>
      </c>
      <c r="L37" t="s">
        <v>613</v>
      </c>
      <c r="O37">
        <v>9730505511</v>
      </c>
      <c r="P37" t="s">
        <v>625</v>
      </c>
      <c r="Q37" s="1">
        <v>45443</v>
      </c>
      <c r="R37" s="1">
        <v>45443</v>
      </c>
      <c r="S37" s="1">
        <v>45444</v>
      </c>
      <c r="U37" t="s">
        <v>625</v>
      </c>
      <c r="W37" t="s">
        <v>202</v>
      </c>
      <c r="AB37" t="s">
        <v>626</v>
      </c>
      <c r="AD37" t="s">
        <v>310</v>
      </c>
      <c r="AE37">
        <v>4765</v>
      </c>
      <c r="AF37" t="s">
        <v>367</v>
      </c>
      <c r="AG37" t="s">
        <v>232</v>
      </c>
      <c r="AH37" t="s">
        <v>356</v>
      </c>
      <c r="AI37">
        <v>440309.992248</v>
      </c>
      <c r="AJ37">
        <v>568000</v>
      </c>
      <c r="AK37">
        <v>29</v>
      </c>
      <c r="AL37">
        <v>10000</v>
      </c>
      <c r="AM37">
        <v>0</v>
      </c>
      <c r="AN37">
        <v>0</v>
      </c>
      <c r="AO37">
        <v>3100</v>
      </c>
      <c r="AP37">
        <v>0</v>
      </c>
      <c r="AQ37">
        <v>15000</v>
      </c>
      <c r="AR37">
        <v>0</v>
      </c>
      <c r="AS37">
        <v>0</v>
      </c>
      <c r="AT37">
        <v>0</v>
      </c>
      <c r="AU37">
        <v>0</v>
      </c>
      <c r="AV37">
        <v>2500</v>
      </c>
      <c r="AW37">
        <v>0</v>
      </c>
      <c r="AX37">
        <v>0</v>
      </c>
      <c r="AY37">
        <v>30600</v>
      </c>
      <c r="AZ37">
        <v>537400</v>
      </c>
      <c r="BA37">
        <v>18500</v>
      </c>
      <c r="BB37">
        <v>0</v>
      </c>
      <c r="BC37">
        <v>0</v>
      </c>
      <c r="BD37">
        <v>4500</v>
      </c>
      <c r="BE37" t="s">
        <v>208</v>
      </c>
      <c r="BF37">
        <v>0</v>
      </c>
      <c r="BG37">
        <v>0</v>
      </c>
      <c r="BH37" t="s">
        <v>209</v>
      </c>
      <c r="BI37">
        <v>26500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500</v>
      </c>
      <c r="BT37">
        <v>0</v>
      </c>
      <c r="BU37">
        <v>0</v>
      </c>
      <c r="BV37">
        <v>0</v>
      </c>
      <c r="BW37">
        <v>0</v>
      </c>
      <c r="BX37">
        <v>587400</v>
      </c>
      <c r="BY37">
        <v>0</v>
      </c>
      <c r="BZ37">
        <v>8000</v>
      </c>
      <c r="CA37">
        <v>0</v>
      </c>
      <c r="CB37">
        <v>648000</v>
      </c>
      <c r="CC37">
        <v>2000</v>
      </c>
      <c r="CD37">
        <v>0</v>
      </c>
      <c r="CE37">
        <v>656000</v>
      </c>
      <c r="CF37">
        <v>0</v>
      </c>
      <c r="CG37">
        <v>0</v>
      </c>
      <c r="CH37">
        <v>0</v>
      </c>
      <c r="CJ37" t="s">
        <v>627</v>
      </c>
      <c r="CL37" t="s">
        <v>236</v>
      </c>
      <c r="CM37">
        <v>0</v>
      </c>
      <c r="CN37">
        <v>0</v>
      </c>
      <c r="CO37">
        <v>0</v>
      </c>
      <c r="CP37">
        <v>0</v>
      </c>
      <c r="CU37">
        <v>-68600</v>
      </c>
      <c r="CV37" t="s">
        <v>628</v>
      </c>
      <c r="CW37" t="s">
        <v>629</v>
      </c>
      <c r="CX37" t="s">
        <v>615</v>
      </c>
      <c r="CY37" t="s">
        <v>616</v>
      </c>
      <c r="CZ37" t="s">
        <v>217</v>
      </c>
      <c r="DB37" t="s">
        <v>630</v>
      </c>
      <c r="DD37" t="s">
        <v>631</v>
      </c>
      <c r="DF37" t="s">
        <v>220</v>
      </c>
      <c r="DG37">
        <v>424201</v>
      </c>
      <c r="DL37">
        <v>0</v>
      </c>
      <c r="DN37">
        <v>0</v>
      </c>
      <c r="DP37" t="s">
        <v>632</v>
      </c>
      <c r="DQ37">
        <v>4253608</v>
      </c>
      <c r="DR37" t="s">
        <v>223</v>
      </c>
      <c r="DS37">
        <v>0</v>
      </c>
      <c r="DV37">
        <v>0</v>
      </c>
      <c r="EQ37" t="s">
        <v>633</v>
      </c>
      <c r="ER37" s="1">
        <v>45421</v>
      </c>
      <c r="ES37">
        <v>3000</v>
      </c>
      <c r="ET37">
        <v>410408.86</v>
      </c>
      <c r="EU37">
        <v>5426.4</v>
      </c>
      <c r="EV37">
        <v>249706</v>
      </c>
      <c r="EW37" t="s">
        <v>634</v>
      </c>
      <c r="EX37">
        <v>0</v>
      </c>
      <c r="EY37" t="s">
        <v>226</v>
      </c>
      <c r="EZ37" t="s">
        <v>202</v>
      </c>
      <c r="FA37" t="s">
        <v>226</v>
      </c>
      <c r="FB37" t="s">
        <v>226</v>
      </c>
      <c r="FC37" t="s">
        <v>202</v>
      </c>
      <c r="FD37" t="s">
        <v>202</v>
      </c>
      <c r="FE37" t="s">
        <v>202</v>
      </c>
      <c r="FF37" t="s">
        <v>202</v>
      </c>
      <c r="FG37" t="s">
        <v>202</v>
      </c>
      <c r="FH37" t="s">
        <v>202</v>
      </c>
      <c r="FI37" t="s">
        <v>202</v>
      </c>
      <c r="FJ37" t="s">
        <v>202</v>
      </c>
      <c r="FK37" t="s">
        <v>202</v>
      </c>
      <c r="FL37" t="s">
        <v>202</v>
      </c>
      <c r="FM37" t="s">
        <v>202</v>
      </c>
      <c r="FN37" t="s">
        <v>202</v>
      </c>
      <c r="FO37">
        <v>18505</v>
      </c>
      <c r="FP37">
        <v>-5</v>
      </c>
      <c r="FQ37">
        <v>597.41999999999996</v>
      </c>
      <c r="FR37">
        <v>4765</v>
      </c>
      <c r="FS37">
        <v>0</v>
      </c>
      <c r="FT37">
        <v>0</v>
      </c>
      <c r="FW37">
        <v>0</v>
      </c>
      <c r="FX37">
        <v>0</v>
      </c>
      <c r="FY37">
        <v>0</v>
      </c>
      <c r="GA37">
        <v>0</v>
      </c>
    </row>
    <row r="38" spans="1:183" x14ac:dyDescent="0.3">
      <c r="A38">
        <v>11078</v>
      </c>
      <c r="B38">
        <v>37</v>
      </c>
      <c r="C38" t="s">
        <v>610</v>
      </c>
      <c r="D38" t="s">
        <v>610</v>
      </c>
      <c r="E38" t="s">
        <v>635</v>
      </c>
      <c r="F38">
        <v>2457032845</v>
      </c>
      <c r="G38">
        <v>2457032845</v>
      </c>
      <c r="H38" t="s">
        <v>636</v>
      </c>
      <c r="I38" t="s">
        <v>198</v>
      </c>
      <c r="J38" t="s">
        <v>488</v>
      </c>
      <c r="L38" t="s">
        <v>613</v>
      </c>
      <c r="O38">
        <v>9579011654</v>
      </c>
      <c r="P38" t="s">
        <v>637</v>
      </c>
      <c r="Q38" s="1">
        <v>45441</v>
      </c>
      <c r="R38" s="1">
        <v>45441</v>
      </c>
      <c r="S38" s="1">
        <v>45448</v>
      </c>
      <c r="U38" t="s">
        <v>637</v>
      </c>
      <c r="W38" t="s">
        <v>202</v>
      </c>
      <c r="AB38" t="s">
        <v>638</v>
      </c>
      <c r="AD38" t="s">
        <v>310</v>
      </c>
      <c r="AE38">
        <v>4763</v>
      </c>
      <c r="AF38" t="s">
        <v>355</v>
      </c>
      <c r="AG38" t="s">
        <v>232</v>
      </c>
      <c r="AH38" t="s">
        <v>207</v>
      </c>
      <c r="AI38">
        <v>434883.62790700002</v>
      </c>
      <c r="AJ38">
        <v>561000</v>
      </c>
      <c r="AK38">
        <v>29</v>
      </c>
      <c r="AL38">
        <v>10000</v>
      </c>
      <c r="AM38">
        <v>0</v>
      </c>
      <c r="AN38">
        <v>0</v>
      </c>
      <c r="AO38">
        <v>3100</v>
      </c>
      <c r="AP38">
        <v>0</v>
      </c>
      <c r="AQ38">
        <v>15000</v>
      </c>
      <c r="AR38">
        <v>0</v>
      </c>
      <c r="AS38">
        <v>0</v>
      </c>
      <c r="AT38">
        <v>0</v>
      </c>
      <c r="AU38">
        <v>0</v>
      </c>
      <c r="AV38">
        <v>8200</v>
      </c>
      <c r="AW38">
        <v>0</v>
      </c>
      <c r="AX38">
        <v>0</v>
      </c>
      <c r="AY38">
        <v>36300</v>
      </c>
      <c r="AZ38">
        <v>524700</v>
      </c>
      <c r="BA38">
        <v>0</v>
      </c>
      <c r="BB38">
        <v>0</v>
      </c>
      <c r="BC38">
        <v>0</v>
      </c>
      <c r="BD38">
        <v>5000</v>
      </c>
      <c r="BE38" t="s">
        <v>208</v>
      </c>
      <c r="BF38">
        <v>0</v>
      </c>
      <c r="BG38">
        <v>0</v>
      </c>
      <c r="BH38" t="s">
        <v>209</v>
      </c>
      <c r="BI38">
        <v>26000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500</v>
      </c>
      <c r="BT38">
        <v>0</v>
      </c>
      <c r="BU38">
        <v>0</v>
      </c>
      <c r="BV38">
        <v>0</v>
      </c>
      <c r="BW38">
        <v>0</v>
      </c>
      <c r="BX38">
        <v>556200</v>
      </c>
      <c r="BY38">
        <v>0</v>
      </c>
      <c r="BZ38">
        <v>195000</v>
      </c>
      <c r="CA38">
        <v>0</v>
      </c>
      <c r="CB38">
        <v>362690</v>
      </c>
      <c r="CC38">
        <v>0</v>
      </c>
      <c r="CD38">
        <v>0</v>
      </c>
      <c r="CE38">
        <v>557690</v>
      </c>
      <c r="CF38">
        <v>0</v>
      </c>
      <c r="CG38">
        <v>0</v>
      </c>
      <c r="CH38">
        <v>0</v>
      </c>
      <c r="CJ38" t="s">
        <v>77</v>
      </c>
      <c r="CL38" t="s">
        <v>77</v>
      </c>
      <c r="CM38">
        <v>0</v>
      </c>
      <c r="CN38">
        <v>0</v>
      </c>
      <c r="CO38">
        <v>0</v>
      </c>
      <c r="CP38">
        <v>0</v>
      </c>
      <c r="CU38">
        <v>-1490</v>
      </c>
      <c r="CV38" t="s">
        <v>615</v>
      </c>
      <c r="CW38" t="s">
        <v>616</v>
      </c>
      <c r="CX38" t="s">
        <v>615</v>
      </c>
      <c r="CY38" t="s">
        <v>616</v>
      </c>
      <c r="CZ38" t="s">
        <v>217</v>
      </c>
      <c r="DB38" t="s">
        <v>639</v>
      </c>
      <c r="DD38" t="s">
        <v>640</v>
      </c>
      <c r="DF38" t="s">
        <v>220</v>
      </c>
      <c r="DG38">
        <v>425001</v>
      </c>
      <c r="DL38">
        <v>0</v>
      </c>
      <c r="DN38">
        <v>0</v>
      </c>
      <c r="DP38" t="s">
        <v>641</v>
      </c>
      <c r="DQ38">
        <v>4259378</v>
      </c>
      <c r="DR38" t="s">
        <v>223</v>
      </c>
      <c r="DS38">
        <v>0</v>
      </c>
      <c r="DV38">
        <v>0</v>
      </c>
      <c r="EQ38" t="s">
        <v>642</v>
      </c>
      <c r="ER38" s="1">
        <v>45433</v>
      </c>
      <c r="ES38">
        <v>3000</v>
      </c>
      <c r="ET38">
        <v>404981.86</v>
      </c>
      <c r="EU38">
        <v>5426.4</v>
      </c>
      <c r="EV38">
        <v>249087</v>
      </c>
      <c r="EW38" t="s">
        <v>643</v>
      </c>
      <c r="EX38">
        <v>0</v>
      </c>
      <c r="EY38" t="s">
        <v>226</v>
      </c>
      <c r="EZ38" t="s">
        <v>202</v>
      </c>
      <c r="FA38" t="s">
        <v>226</v>
      </c>
      <c r="FB38" t="s">
        <v>226</v>
      </c>
      <c r="FC38" t="s">
        <v>202</v>
      </c>
      <c r="FD38" t="s">
        <v>202</v>
      </c>
      <c r="FE38" t="s">
        <v>202</v>
      </c>
      <c r="FF38" t="s">
        <v>202</v>
      </c>
      <c r="FG38" t="s">
        <v>202</v>
      </c>
      <c r="FH38" t="s">
        <v>202</v>
      </c>
      <c r="FI38" t="s">
        <v>202</v>
      </c>
      <c r="FJ38" t="s">
        <v>202</v>
      </c>
      <c r="FK38" t="s">
        <v>202</v>
      </c>
      <c r="FL38" t="s">
        <v>202</v>
      </c>
      <c r="FM38" t="s">
        <v>202</v>
      </c>
      <c r="FN38" t="s">
        <v>202</v>
      </c>
      <c r="FO38">
        <v>1496</v>
      </c>
      <c r="FP38">
        <v>-1496</v>
      </c>
      <c r="FQ38">
        <v>61.52</v>
      </c>
      <c r="FR38">
        <v>4763</v>
      </c>
      <c r="FS38">
        <v>0</v>
      </c>
      <c r="FT38">
        <v>0</v>
      </c>
      <c r="FW38">
        <v>0</v>
      </c>
      <c r="FX38">
        <v>0</v>
      </c>
      <c r="FY38">
        <v>0</v>
      </c>
      <c r="GA38">
        <v>0</v>
      </c>
    </row>
    <row r="39" spans="1:183" x14ac:dyDescent="0.3">
      <c r="A39">
        <v>11089</v>
      </c>
      <c r="B39">
        <v>38</v>
      </c>
      <c r="C39" t="s">
        <v>610</v>
      </c>
      <c r="D39" t="s">
        <v>610</v>
      </c>
      <c r="E39" t="s">
        <v>644</v>
      </c>
      <c r="F39">
        <v>2457152585</v>
      </c>
      <c r="G39">
        <v>2457152585</v>
      </c>
      <c r="H39" t="s">
        <v>645</v>
      </c>
      <c r="I39" t="s">
        <v>198</v>
      </c>
      <c r="J39" t="s">
        <v>199</v>
      </c>
      <c r="L39" t="s">
        <v>646</v>
      </c>
      <c r="O39">
        <v>6265182809</v>
      </c>
      <c r="P39" t="s">
        <v>647</v>
      </c>
      <c r="Q39" s="1">
        <v>45450</v>
      </c>
      <c r="R39" s="1">
        <v>45450</v>
      </c>
      <c r="S39" s="1">
        <v>45449</v>
      </c>
      <c r="U39" t="s">
        <v>647</v>
      </c>
      <c r="W39" t="s">
        <v>202</v>
      </c>
      <c r="AB39" t="s">
        <v>648</v>
      </c>
      <c r="AD39" t="s">
        <v>310</v>
      </c>
      <c r="AE39">
        <v>4763</v>
      </c>
      <c r="AF39" t="s">
        <v>355</v>
      </c>
      <c r="AG39" t="s">
        <v>232</v>
      </c>
      <c r="AH39" t="s">
        <v>207</v>
      </c>
      <c r="AI39">
        <v>434883.62790700002</v>
      </c>
      <c r="AJ39">
        <v>561000</v>
      </c>
      <c r="AK39">
        <v>29</v>
      </c>
      <c r="AL39">
        <v>10000</v>
      </c>
      <c r="AM39">
        <v>0</v>
      </c>
      <c r="AN39">
        <v>0</v>
      </c>
      <c r="AO39">
        <v>3100</v>
      </c>
      <c r="AP39">
        <v>10000</v>
      </c>
      <c r="AQ39">
        <v>15000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38100</v>
      </c>
      <c r="AZ39">
        <v>522900</v>
      </c>
      <c r="BA39">
        <v>5370</v>
      </c>
      <c r="BB39">
        <v>0</v>
      </c>
      <c r="BC39">
        <v>0</v>
      </c>
      <c r="BD39">
        <v>53351</v>
      </c>
      <c r="BE39" t="s">
        <v>234</v>
      </c>
      <c r="BF39">
        <v>8744</v>
      </c>
      <c r="BG39">
        <v>2875</v>
      </c>
      <c r="BH39" t="s">
        <v>209</v>
      </c>
      <c r="BI39">
        <v>27248</v>
      </c>
      <c r="BJ39">
        <v>885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500</v>
      </c>
      <c r="BT39">
        <v>0</v>
      </c>
      <c r="BU39">
        <v>0</v>
      </c>
      <c r="BV39">
        <v>0</v>
      </c>
      <c r="BW39">
        <v>0</v>
      </c>
      <c r="BX39">
        <v>621873</v>
      </c>
      <c r="BY39">
        <v>0</v>
      </c>
      <c r="BZ39">
        <v>0</v>
      </c>
      <c r="CA39">
        <v>0</v>
      </c>
      <c r="CB39">
        <v>628945</v>
      </c>
      <c r="CC39">
        <v>0</v>
      </c>
      <c r="CD39">
        <v>0</v>
      </c>
      <c r="CE39">
        <v>628945</v>
      </c>
      <c r="CF39">
        <v>0</v>
      </c>
      <c r="CG39">
        <v>0</v>
      </c>
      <c r="CH39">
        <v>500844</v>
      </c>
      <c r="CJ39" t="s">
        <v>649</v>
      </c>
      <c r="CL39" t="s">
        <v>236</v>
      </c>
      <c r="CM39">
        <v>0</v>
      </c>
      <c r="CN39">
        <v>0</v>
      </c>
      <c r="CO39">
        <v>0</v>
      </c>
      <c r="CP39">
        <v>0</v>
      </c>
      <c r="CQ39" t="s">
        <v>650</v>
      </c>
      <c r="CT39" t="s">
        <v>651</v>
      </c>
      <c r="CU39">
        <v>-507916</v>
      </c>
      <c r="CV39" t="s">
        <v>652</v>
      </c>
      <c r="CW39" t="s">
        <v>653</v>
      </c>
      <c r="CX39" t="s">
        <v>615</v>
      </c>
      <c r="CY39" t="s">
        <v>616</v>
      </c>
      <c r="CZ39" t="s">
        <v>217</v>
      </c>
      <c r="DB39" t="s">
        <v>654</v>
      </c>
      <c r="DD39" t="s">
        <v>655</v>
      </c>
      <c r="DF39" t="s">
        <v>220</v>
      </c>
      <c r="DG39">
        <v>450331</v>
      </c>
      <c r="DL39">
        <v>0</v>
      </c>
      <c r="DN39">
        <v>0</v>
      </c>
      <c r="DP39" t="s">
        <v>656</v>
      </c>
      <c r="DQ39">
        <v>4260345</v>
      </c>
      <c r="DR39" t="s">
        <v>223</v>
      </c>
      <c r="DS39">
        <v>8743.7999999999993</v>
      </c>
      <c r="DT39" s="1">
        <v>45450</v>
      </c>
      <c r="DU39" t="s">
        <v>657</v>
      </c>
      <c r="DV39">
        <v>0</v>
      </c>
      <c r="DW39">
        <v>1</v>
      </c>
      <c r="DX39">
        <v>5008.4399999999996</v>
      </c>
      <c r="DY39">
        <v>901.52</v>
      </c>
      <c r="DZ39">
        <v>5909.96</v>
      </c>
      <c r="EC39">
        <v>0</v>
      </c>
      <c r="EQ39" t="s">
        <v>658</v>
      </c>
      <c r="ER39" s="1">
        <v>45436</v>
      </c>
      <c r="ES39">
        <v>3000</v>
      </c>
      <c r="ET39">
        <v>404981.86</v>
      </c>
      <c r="EU39">
        <v>5426.4</v>
      </c>
      <c r="EV39">
        <v>250494</v>
      </c>
      <c r="EW39" t="s">
        <v>659</v>
      </c>
      <c r="EX39">
        <v>0</v>
      </c>
      <c r="EY39" t="s">
        <v>226</v>
      </c>
      <c r="EZ39" t="s">
        <v>226</v>
      </c>
      <c r="FA39" t="s">
        <v>226</v>
      </c>
      <c r="FB39" t="s">
        <v>226</v>
      </c>
      <c r="FC39" t="s">
        <v>202</v>
      </c>
      <c r="FD39" t="s">
        <v>202</v>
      </c>
      <c r="FE39" t="s">
        <v>202</v>
      </c>
      <c r="FF39" t="s">
        <v>202</v>
      </c>
      <c r="FG39" t="s">
        <v>202</v>
      </c>
      <c r="FH39" t="s">
        <v>202</v>
      </c>
      <c r="FI39" t="s">
        <v>202</v>
      </c>
      <c r="FJ39" t="s">
        <v>202</v>
      </c>
      <c r="FK39" t="s">
        <v>202</v>
      </c>
      <c r="FL39" t="s">
        <v>202</v>
      </c>
      <c r="FM39" t="s">
        <v>202</v>
      </c>
      <c r="FN39" t="s">
        <v>202</v>
      </c>
      <c r="FO39">
        <v>10508</v>
      </c>
      <c r="FP39">
        <v>-5138</v>
      </c>
      <c r="FQ39">
        <v>2844.82</v>
      </c>
      <c r="FR39">
        <v>4763</v>
      </c>
      <c r="FS39">
        <v>0</v>
      </c>
      <c r="FT39">
        <v>0</v>
      </c>
      <c r="FW39">
        <v>0</v>
      </c>
      <c r="FX39">
        <v>0</v>
      </c>
      <c r="FY39">
        <v>0</v>
      </c>
      <c r="GA39">
        <v>-2819</v>
      </c>
    </row>
    <row r="40" spans="1:183" x14ac:dyDescent="0.3">
      <c r="A40">
        <v>11099</v>
      </c>
      <c r="B40">
        <v>39</v>
      </c>
      <c r="C40" t="s">
        <v>610</v>
      </c>
      <c r="D40" t="s">
        <v>610</v>
      </c>
      <c r="E40" t="s">
        <v>660</v>
      </c>
      <c r="F40">
        <v>2457092974</v>
      </c>
      <c r="G40">
        <v>2457092974</v>
      </c>
      <c r="H40" t="s">
        <v>661</v>
      </c>
      <c r="I40" t="s">
        <v>198</v>
      </c>
      <c r="J40" t="s">
        <v>488</v>
      </c>
      <c r="L40" t="s">
        <v>613</v>
      </c>
      <c r="O40">
        <v>8788437830</v>
      </c>
      <c r="P40" t="s">
        <v>662</v>
      </c>
      <c r="Q40" s="1">
        <v>45451</v>
      </c>
      <c r="R40" s="1">
        <v>45451</v>
      </c>
      <c r="S40" s="1">
        <v>45451</v>
      </c>
      <c r="U40" t="s">
        <v>662</v>
      </c>
      <c r="W40" t="s">
        <v>202</v>
      </c>
      <c r="AB40" t="s">
        <v>663</v>
      </c>
      <c r="AD40" t="s">
        <v>204</v>
      </c>
      <c r="AE40">
        <v>4688</v>
      </c>
      <c r="AF40" t="s">
        <v>664</v>
      </c>
      <c r="AG40" t="s">
        <v>232</v>
      </c>
      <c r="AH40" t="s">
        <v>207</v>
      </c>
      <c r="AI40">
        <v>523643.41085300001</v>
      </c>
      <c r="AJ40">
        <v>675500</v>
      </c>
      <c r="AK40">
        <v>29</v>
      </c>
      <c r="AL40">
        <v>10000</v>
      </c>
      <c r="AM40">
        <v>0</v>
      </c>
      <c r="AN40">
        <v>0</v>
      </c>
      <c r="AO40">
        <v>3100</v>
      </c>
      <c r="AP40">
        <v>0</v>
      </c>
      <c r="AQ40">
        <v>25000</v>
      </c>
      <c r="AR40">
        <v>0</v>
      </c>
      <c r="AS40">
        <v>0</v>
      </c>
      <c r="AT40">
        <v>0</v>
      </c>
      <c r="AU40">
        <v>0</v>
      </c>
      <c r="AV40">
        <v>4500</v>
      </c>
      <c r="AW40">
        <v>0</v>
      </c>
      <c r="AX40">
        <v>0</v>
      </c>
      <c r="AY40">
        <v>42600</v>
      </c>
      <c r="AZ40">
        <v>632900</v>
      </c>
      <c r="BA40">
        <v>31500</v>
      </c>
      <c r="BB40">
        <v>0</v>
      </c>
      <c r="BC40">
        <v>0</v>
      </c>
      <c r="BD40">
        <v>4500</v>
      </c>
      <c r="BE40" t="s">
        <v>208</v>
      </c>
      <c r="BF40">
        <v>0</v>
      </c>
      <c r="BG40">
        <v>0</v>
      </c>
      <c r="BH40" t="s">
        <v>209</v>
      </c>
      <c r="BI40">
        <v>26000</v>
      </c>
      <c r="BJ40">
        <v>885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500</v>
      </c>
      <c r="BT40">
        <v>0</v>
      </c>
      <c r="BU40">
        <v>0</v>
      </c>
      <c r="BV40">
        <v>0</v>
      </c>
      <c r="BW40">
        <v>0</v>
      </c>
      <c r="BX40">
        <v>696285</v>
      </c>
      <c r="BY40">
        <v>0</v>
      </c>
      <c r="BZ40">
        <v>12921</v>
      </c>
      <c r="CA40">
        <v>0</v>
      </c>
      <c r="CB40">
        <v>90100</v>
      </c>
      <c r="CC40">
        <v>2100</v>
      </c>
      <c r="CD40">
        <v>0</v>
      </c>
      <c r="CE40">
        <v>103021</v>
      </c>
      <c r="CF40">
        <v>0</v>
      </c>
      <c r="CG40">
        <v>0</v>
      </c>
      <c r="CH40">
        <v>593254</v>
      </c>
      <c r="CJ40" t="s">
        <v>380</v>
      </c>
      <c r="CL40" t="s">
        <v>211</v>
      </c>
      <c r="CM40">
        <v>0</v>
      </c>
      <c r="CN40">
        <v>0</v>
      </c>
      <c r="CO40">
        <v>0</v>
      </c>
      <c r="CP40">
        <v>0</v>
      </c>
      <c r="CU40">
        <v>10</v>
      </c>
      <c r="CV40" t="s">
        <v>652</v>
      </c>
      <c r="CW40" t="s">
        <v>653</v>
      </c>
      <c r="CX40" t="s">
        <v>615</v>
      </c>
      <c r="CY40" t="s">
        <v>616</v>
      </c>
      <c r="CZ40" t="s">
        <v>217</v>
      </c>
      <c r="DB40" t="s">
        <v>665</v>
      </c>
      <c r="DD40" t="s">
        <v>666</v>
      </c>
      <c r="DF40" t="s">
        <v>220</v>
      </c>
      <c r="DG40">
        <v>424206</v>
      </c>
      <c r="DL40">
        <v>0</v>
      </c>
      <c r="DN40">
        <v>0</v>
      </c>
      <c r="DP40" t="s">
        <v>667</v>
      </c>
      <c r="DQ40">
        <v>1075738</v>
      </c>
      <c r="DR40" t="s">
        <v>223</v>
      </c>
      <c r="DS40">
        <v>0</v>
      </c>
      <c r="DV40">
        <v>0</v>
      </c>
      <c r="DW40">
        <v>1.5</v>
      </c>
      <c r="DX40">
        <v>8898.81</v>
      </c>
      <c r="DY40">
        <v>1601.79</v>
      </c>
      <c r="DZ40">
        <v>10500.6</v>
      </c>
      <c r="EC40">
        <v>0</v>
      </c>
      <c r="EQ40" t="s">
        <v>668</v>
      </c>
      <c r="ER40" s="1">
        <v>45432</v>
      </c>
      <c r="ES40">
        <v>4000</v>
      </c>
      <c r="ET40">
        <v>487892.29</v>
      </c>
      <c r="EU40">
        <v>5426.4</v>
      </c>
      <c r="EV40">
        <v>249963</v>
      </c>
      <c r="EW40" t="s">
        <v>669</v>
      </c>
      <c r="EX40">
        <v>0</v>
      </c>
      <c r="EY40" t="s">
        <v>226</v>
      </c>
      <c r="EZ40" t="s">
        <v>202</v>
      </c>
      <c r="FA40" t="s">
        <v>226</v>
      </c>
      <c r="FB40" t="s">
        <v>226</v>
      </c>
      <c r="FC40" t="s">
        <v>202</v>
      </c>
      <c r="FD40" t="s">
        <v>202</v>
      </c>
      <c r="FE40" t="s">
        <v>202</v>
      </c>
      <c r="FF40" t="s">
        <v>202</v>
      </c>
      <c r="FG40" t="s">
        <v>202</v>
      </c>
      <c r="FH40" t="s">
        <v>202</v>
      </c>
      <c r="FI40" t="s">
        <v>202</v>
      </c>
      <c r="FJ40" t="s">
        <v>202</v>
      </c>
      <c r="FK40" t="s">
        <v>202</v>
      </c>
      <c r="FL40" t="s">
        <v>202</v>
      </c>
      <c r="FM40" t="s">
        <v>202</v>
      </c>
      <c r="FN40" t="s">
        <v>202</v>
      </c>
      <c r="FO40">
        <v>31440</v>
      </c>
      <c r="FP40">
        <v>60</v>
      </c>
      <c r="FQ40">
        <v>1356.21</v>
      </c>
      <c r="FR40">
        <v>4688</v>
      </c>
      <c r="FS40">
        <v>0</v>
      </c>
      <c r="FT40">
        <v>0</v>
      </c>
      <c r="FW40">
        <v>0</v>
      </c>
      <c r="FX40">
        <v>0</v>
      </c>
      <c r="FY40">
        <v>0</v>
      </c>
      <c r="GA40">
        <v>-885</v>
      </c>
    </row>
    <row r="41" spans="1:183" x14ac:dyDescent="0.3">
      <c r="A41">
        <v>11106</v>
      </c>
      <c r="B41">
        <v>40</v>
      </c>
      <c r="C41" t="s">
        <v>610</v>
      </c>
      <c r="D41" t="s">
        <v>610</v>
      </c>
      <c r="E41" t="s">
        <v>670</v>
      </c>
      <c r="F41">
        <v>2457116325</v>
      </c>
      <c r="G41">
        <v>2457116325</v>
      </c>
      <c r="H41" t="s">
        <v>671</v>
      </c>
      <c r="I41" t="s">
        <v>198</v>
      </c>
      <c r="J41" t="s">
        <v>199</v>
      </c>
      <c r="L41" t="s">
        <v>646</v>
      </c>
      <c r="O41">
        <v>9767215815</v>
      </c>
      <c r="P41" t="s">
        <v>672</v>
      </c>
      <c r="Q41" s="1">
        <v>45454</v>
      </c>
      <c r="R41" s="1">
        <v>45454</v>
      </c>
      <c r="S41" s="1">
        <v>45453</v>
      </c>
      <c r="U41" t="s">
        <v>672</v>
      </c>
      <c r="W41" t="s">
        <v>202</v>
      </c>
      <c r="AB41" t="s">
        <v>673</v>
      </c>
      <c r="AD41" t="s">
        <v>310</v>
      </c>
      <c r="AE41">
        <v>4763</v>
      </c>
      <c r="AF41" t="s">
        <v>355</v>
      </c>
      <c r="AG41" t="s">
        <v>232</v>
      </c>
      <c r="AH41" t="s">
        <v>207</v>
      </c>
      <c r="AI41">
        <v>434883.62790700002</v>
      </c>
      <c r="AJ41">
        <v>561000</v>
      </c>
      <c r="AK41">
        <v>29</v>
      </c>
      <c r="AL41">
        <v>10000</v>
      </c>
      <c r="AM41">
        <v>0</v>
      </c>
      <c r="AN41">
        <v>0</v>
      </c>
      <c r="AO41">
        <v>3100</v>
      </c>
      <c r="AP41">
        <v>0</v>
      </c>
      <c r="AQ41">
        <v>15000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28100</v>
      </c>
      <c r="AZ41">
        <v>532900</v>
      </c>
      <c r="BA41">
        <v>2310</v>
      </c>
      <c r="BB41">
        <v>0</v>
      </c>
      <c r="BC41">
        <v>0</v>
      </c>
      <c r="BD41">
        <v>53351</v>
      </c>
      <c r="BE41" t="s">
        <v>234</v>
      </c>
      <c r="BF41">
        <v>8744</v>
      </c>
      <c r="BG41">
        <v>0</v>
      </c>
      <c r="BH41" t="s">
        <v>209</v>
      </c>
      <c r="BI41">
        <v>27248</v>
      </c>
      <c r="BJ41">
        <v>885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500</v>
      </c>
      <c r="BT41">
        <v>0</v>
      </c>
      <c r="BU41">
        <v>0</v>
      </c>
      <c r="BV41">
        <v>0</v>
      </c>
      <c r="BW41">
        <v>0</v>
      </c>
      <c r="BX41">
        <v>625938</v>
      </c>
      <c r="BY41">
        <v>0</v>
      </c>
      <c r="BZ41">
        <v>126400</v>
      </c>
      <c r="CA41">
        <v>0</v>
      </c>
      <c r="CB41">
        <v>506500</v>
      </c>
      <c r="CC41">
        <v>0</v>
      </c>
      <c r="CD41">
        <v>0</v>
      </c>
      <c r="CE41">
        <v>632900</v>
      </c>
      <c r="CF41">
        <v>0</v>
      </c>
      <c r="CG41">
        <v>0</v>
      </c>
      <c r="CH41">
        <v>500000</v>
      </c>
      <c r="CJ41" t="s">
        <v>406</v>
      </c>
      <c r="CL41" t="s">
        <v>236</v>
      </c>
      <c r="CM41">
        <v>0</v>
      </c>
      <c r="CN41">
        <v>0</v>
      </c>
      <c r="CO41">
        <v>0</v>
      </c>
      <c r="CP41">
        <v>0</v>
      </c>
      <c r="CU41">
        <v>-506962</v>
      </c>
      <c r="CV41" t="s">
        <v>652</v>
      </c>
      <c r="CW41" t="s">
        <v>653</v>
      </c>
      <c r="CX41" t="s">
        <v>615</v>
      </c>
      <c r="CY41" t="s">
        <v>616</v>
      </c>
      <c r="CZ41" t="s">
        <v>217</v>
      </c>
      <c r="DB41" t="s">
        <v>674</v>
      </c>
      <c r="DD41" t="s">
        <v>675</v>
      </c>
      <c r="DF41" t="s">
        <v>220</v>
      </c>
      <c r="DG41">
        <v>450331</v>
      </c>
      <c r="DL41">
        <v>0</v>
      </c>
      <c r="DN41">
        <v>0</v>
      </c>
      <c r="DP41" t="s">
        <v>676</v>
      </c>
      <c r="DQ41">
        <v>4260976</v>
      </c>
      <c r="DR41" t="s">
        <v>223</v>
      </c>
      <c r="DS41">
        <v>8743.7999999999993</v>
      </c>
      <c r="DT41" s="1">
        <v>45454</v>
      </c>
      <c r="DU41" t="s">
        <v>677</v>
      </c>
      <c r="DV41">
        <v>0</v>
      </c>
      <c r="DW41">
        <v>1.27</v>
      </c>
      <c r="DX41">
        <v>6350</v>
      </c>
      <c r="DY41">
        <v>1143</v>
      </c>
      <c r="DZ41">
        <v>7493</v>
      </c>
      <c r="EC41">
        <v>0</v>
      </c>
      <c r="EQ41" t="s">
        <v>678</v>
      </c>
      <c r="ER41" s="1">
        <v>45436</v>
      </c>
      <c r="ES41">
        <v>3000</v>
      </c>
      <c r="ET41">
        <v>404981.86</v>
      </c>
      <c r="EU41">
        <v>5426.4</v>
      </c>
      <c r="EV41">
        <v>250218</v>
      </c>
      <c r="EW41" t="s">
        <v>679</v>
      </c>
      <c r="EX41">
        <v>0</v>
      </c>
      <c r="EY41" t="s">
        <v>226</v>
      </c>
      <c r="EZ41" t="s">
        <v>226</v>
      </c>
      <c r="FA41" t="s">
        <v>226</v>
      </c>
      <c r="FB41" t="s">
        <v>226</v>
      </c>
      <c r="FC41" t="s">
        <v>202</v>
      </c>
      <c r="FD41" t="s">
        <v>202</v>
      </c>
      <c r="FE41" t="s">
        <v>202</v>
      </c>
      <c r="FF41" t="s">
        <v>202</v>
      </c>
      <c r="FG41" t="s">
        <v>202</v>
      </c>
      <c r="FH41" t="s">
        <v>202</v>
      </c>
      <c r="FI41" t="s">
        <v>202</v>
      </c>
      <c r="FJ41" t="s">
        <v>202</v>
      </c>
      <c r="FK41" t="s">
        <v>202</v>
      </c>
      <c r="FL41" t="s">
        <v>202</v>
      </c>
      <c r="FM41" t="s">
        <v>202</v>
      </c>
      <c r="FN41" t="s">
        <v>202</v>
      </c>
      <c r="FO41">
        <v>8525</v>
      </c>
      <c r="FP41">
        <v>-6215</v>
      </c>
      <c r="FQ41">
        <v>278.13</v>
      </c>
      <c r="FR41">
        <v>4763</v>
      </c>
      <c r="FS41">
        <v>0</v>
      </c>
      <c r="FT41">
        <v>0</v>
      </c>
      <c r="FW41">
        <v>0</v>
      </c>
      <c r="FX41">
        <v>0</v>
      </c>
      <c r="FY41">
        <v>0</v>
      </c>
      <c r="GA41">
        <v>-1632</v>
      </c>
    </row>
    <row r="42" spans="1:183" x14ac:dyDescent="0.3">
      <c r="A42">
        <v>11118</v>
      </c>
      <c r="B42">
        <v>41</v>
      </c>
      <c r="C42" t="s">
        <v>610</v>
      </c>
      <c r="D42" t="s">
        <v>610</v>
      </c>
      <c r="E42" t="s">
        <v>680</v>
      </c>
      <c r="F42">
        <v>2457123112</v>
      </c>
      <c r="G42">
        <v>2457123112</v>
      </c>
      <c r="H42" t="s">
        <v>681</v>
      </c>
      <c r="I42" t="s">
        <v>198</v>
      </c>
      <c r="J42" t="s">
        <v>199</v>
      </c>
      <c r="L42" t="s">
        <v>646</v>
      </c>
      <c r="O42">
        <v>7389662266</v>
      </c>
      <c r="P42" t="s">
        <v>682</v>
      </c>
      <c r="Q42" s="1">
        <v>45453</v>
      </c>
      <c r="R42" s="1">
        <v>45453</v>
      </c>
      <c r="S42" s="1">
        <v>45452</v>
      </c>
      <c r="U42" t="s">
        <v>682</v>
      </c>
      <c r="W42" t="s">
        <v>202</v>
      </c>
      <c r="AB42">
        <v>286788</v>
      </c>
      <c r="AD42" t="s">
        <v>683</v>
      </c>
      <c r="AE42">
        <v>4739</v>
      </c>
      <c r="AF42" t="s">
        <v>684</v>
      </c>
      <c r="AG42" t="s">
        <v>232</v>
      </c>
      <c r="AH42" t="s">
        <v>250</v>
      </c>
      <c r="AI42">
        <v>511240.31007800001</v>
      </c>
      <c r="AJ42">
        <v>659500</v>
      </c>
      <c r="AK42">
        <v>29</v>
      </c>
      <c r="AL42">
        <v>10000</v>
      </c>
      <c r="AM42">
        <v>0</v>
      </c>
      <c r="AN42">
        <v>0</v>
      </c>
      <c r="AO42">
        <v>3100</v>
      </c>
      <c r="AP42">
        <v>0</v>
      </c>
      <c r="AQ42">
        <v>25000</v>
      </c>
      <c r="AR42">
        <v>0</v>
      </c>
      <c r="AS42">
        <v>0</v>
      </c>
      <c r="AT42">
        <v>0</v>
      </c>
      <c r="AU42">
        <v>0</v>
      </c>
      <c r="AV42">
        <v>7610</v>
      </c>
      <c r="AW42">
        <v>0</v>
      </c>
      <c r="AX42">
        <v>0</v>
      </c>
      <c r="AY42">
        <v>45710</v>
      </c>
      <c r="AZ42">
        <v>613790</v>
      </c>
      <c r="BA42">
        <v>3594</v>
      </c>
      <c r="BB42">
        <v>0</v>
      </c>
      <c r="BC42">
        <v>0</v>
      </c>
      <c r="BD42">
        <v>60531</v>
      </c>
      <c r="BE42" t="s">
        <v>208</v>
      </c>
      <c r="BF42">
        <v>0</v>
      </c>
      <c r="BG42">
        <v>0</v>
      </c>
      <c r="BH42" t="s">
        <v>209</v>
      </c>
      <c r="BI42">
        <v>21700</v>
      </c>
      <c r="BJ42">
        <v>885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500</v>
      </c>
      <c r="BT42">
        <v>0</v>
      </c>
      <c r="BU42">
        <v>0</v>
      </c>
      <c r="BV42">
        <v>0</v>
      </c>
      <c r="BW42">
        <v>0</v>
      </c>
      <c r="BX42">
        <v>701000</v>
      </c>
      <c r="BY42">
        <v>0</v>
      </c>
      <c r="BZ42">
        <v>190000</v>
      </c>
      <c r="CA42">
        <v>0</v>
      </c>
      <c r="CB42">
        <v>62800</v>
      </c>
      <c r="CC42">
        <v>0</v>
      </c>
      <c r="CD42">
        <v>0</v>
      </c>
      <c r="CE42">
        <v>252800</v>
      </c>
      <c r="CF42">
        <v>0</v>
      </c>
      <c r="CG42">
        <v>0</v>
      </c>
      <c r="CH42">
        <v>338200</v>
      </c>
      <c r="CJ42" t="s">
        <v>299</v>
      </c>
      <c r="CL42" t="s">
        <v>211</v>
      </c>
      <c r="CM42">
        <v>0</v>
      </c>
      <c r="CN42">
        <v>0</v>
      </c>
      <c r="CO42">
        <v>0</v>
      </c>
      <c r="CP42">
        <v>0</v>
      </c>
      <c r="CU42">
        <v>110000</v>
      </c>
      <c r="CV42" t="s">
        <v>685</v>
      </c>
      <c r="CW42" t="s">
        <v>686</v>
      </c>
      <c r="CX42" t="s">
        <v>687</v>
      </c>
      <c r="CY42" t="s">
        <v>688</v>
      </c>
      <c r="CZ42" t="s">
        <v>217</v>
      </c>
      <c r="DB42" t="s">
        <v>689</v>
      </c>
      <c r="DD42" t="s">
        <v>690</v>
      </c>
      <c r="DF42" t="s">
        <v>220</v>
      </c>
      <c r="DG42">
        <v>450331</v>
      </c>
      <c r="DL42">
        <v>0</v>
      </c>
      <c r="DN42">
        <v>0</v>
      </c>
      <c r="DP42" t="s">
        <v>691</v>
      </c>
      <c r="DQ42" t="s">
        <v>692</v>
      </c>
      <c r="DR42" t="s">
        <v>223</v>
      </c>
      <c r="DS42">
        <v>0</v>
      </c>
      <c r="DV42">
        <v>0</v>
      </c>
      <c r="DW42">
        <v>1.5</v>
      </c>
      <c r="DX42">
        <v>5073</v>
      </c>
      <c r="DY42">
        <v>913.14</v>
      </c>
      <c r="DZ42">
        <v>5986.14</v>
      </c>
      <c r="EC42">
        <v>0</v>
      </c>
      <c r="EQ42" t="s">
        <v>693</v>
      </c>
      <c r="ER42" s="1">
        <v>45398</v>
      </c>
      <c r="ES42">
        <v>4000</v>
      </c>
      <c r="ET42">
        <v>472062.3</v>
      </c>
      <c r="EU42">
        <v>0</v>
      </c>
      <c r="EV42">
        <v>250267</v>
      </c>
      <c r="EW42" t="s">
        <v>694</v>
      </c>
      <c r="EX42">
        <v>0</v>
      </c>
      <c r="EY42" t="s">
        <v>226</v>
      </c>
      <c r="EZ42" t="s">
        <v>202</v>
      </c>
      <c r="FA42" t="s">
        <v>226</v>
      </c>
      <c r="FB42" t="s">
        <v>226</v>
      </c>
      <c r="FC42" t="s">
        <v>202</v>
      </c>
      <c r="FD42" t="s">
        <v>202</v>
      </c>
      <c r="FE42" t="s">
        <v>202</v>
      </c>
      <c r="FF42" t="s">
        <v>202</v>
      </c>
      <c r="FG42" t="s">
        <v>202</v>
      </c>
      <c r="FH42" t="s">
        <v>202</v>
      </c>
      <c r="FI42" t="s">
        <v>202</v>
      </c>
      <c r="FJ42" t="s">
        <v>202</v>
      </c>
      <c r="FK42" t="s">
        <v>202</v>
      </c>
      <c r="FL42" t="s">
        <v>202</v>
      </c>
      <c r="FM42" t="s">
        <v>202</v>
      </c>
      <c r="FN42" t="s">
        <v>202</v>
      </c>
      <c r="FO42">
        <v>3575</v>
      </c>
      <c r="FP42">
        <v>19</v>
      </c>
      <c r="FQ42">
        <v>326.24</v>
      </c>
      <c r="FR42">
        <v>4739</v>
      </c>
      <c r="FS42">
        <v>0</v>
      </c>
      <c r="FT42">
        <v>0</v>
      </c>
      <c r="FW42">
        <v>0</v>
      </c>
      <c r="FX42">
        <v>0</v>
      </c>
      <c r="FY42">
        <v>0</v>
      </c>
      <c r="GA42">
        <v>108797</v>
      </c>
    </row>
    <row r="43" spans="1:183" x14ac:dyDescent="0.3">
      <c r="A43">
        <v>11132</v>
      </c>
      <c r="B43">
        <v>42</v>
      </c>
      <c r="C43" t="s">
        <v>610</v>
      </c>
      <c r="D43" t="s">
        <v>610</v>
      </c>
      <c r="E43" t="s">
        <v>695</v>
      </c>
      <c r="F43">
        <v>2457226359</v>
      </c>
      <c r="G43">
        <v>2457226359</v>
      </c>
      <c r="H43" t="s">
        <v>696</v>
      </c>
      <c r="I43" t="s">
        <v>198</v>
      </c>
      <c r="J43" t="s">
        <v>488</v>
      </c>
      <c r="L43" t="s">
        <v>613</v>
      </c>
      <c r="O43">
        <v>7757914671</v>
      </c>
      <c r="P43" t="s">
        <v>697</v>
      </c>
      <c r="Q43" s="1">
        <v>45455</v>
      </c>
      <c r="R43" s="1">
        <v>45455</v>
      </c>
      <c r="S43" s="1">
        <v>45455</v>
      </c>
      <c r="U43" t="s">
        <v>697</v>
      </c>
      <c r="W43" t="s">
        <v>202</v>
      </c>
      <c r="AB43">
        <v>892711</v>
      </c>
      <c r="AD43" t="s">
        <v>248</v>
      </c>
      <c r="AE43">
        <v>4694</v>
      </c>
      <c r="AF43" t="s">
        <v>249</v>
      </c>
      <c r="AG43" t="s">
        <v>206</v>
      </c>
      <c r="AH43" t="s">
        <v>250</v>
      </c>
      <c r="AI43">
        <v>654257.35658899997</v>
      </c>
      <c r="AJ43">
        <v>843992</v>
      </c>
      <c r="AK43">
        <v>29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4500</v>
      </c>
      <c r="AW43">
        <v>0</v>
      </c>
      <c r="AX43">
        <v>0</v>
      </c>
      <c r="AY43">
        <v>4500</v>
      </c>
      <c r="AZ43">
        <v>839492</v>
      </c>
      <c r="BA43">
        <v>2804</v>
      </c>
      <c r="BB43">
        <v>0</v>
      </c>
      <c r="BC43">
        <v>0</v>
      </c>
      <c r="BD43">
        <v>4500</v>
      </c>
      <c r="BE43" t="s">
        <v>208</v>
      </c>
      <c r="BF43">
        <v>0</v>
      </c>
      <c r="BG43">
        <v>0</v>
      </c>
      <c r="BH43" t="s">
        <v>209</v>
      </c>
      <c r="BI43">
        <v>24501</v>
      </c>
      <c r="BJ43">
        <v>885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500</v>
      </c>
      <c r="BT43">
        <v>0</v>
      </c>
      <c r="BU43">
        <v>0</v>
      </c>
      <c r="BV43">
        <v>0</v>
      </c>
      <c r="BW43">
        <v>0</v>
      </c>
      <c r="BX43">
        <v>872682</v>
      </c>
      <c r="BY43">
        <v>0</v>
      </c>
      <c r="BZ43">
        <v>31000</v>
      </c>
      <c r="CA43">
        <v>0</v>
      </c>
      <c r="CB43">
        <v>99000</v>
      </c>
      <c r="CC43">
        <v>0</v>
      </c>
      <c r="CD43">
        <v>0</v>
      </c>
      <c r="CE43">
        <v>130000</v>
      </c>
      <c r="CF43">
        <v>0</v>
      </c>
      <c r="CG43">
        <v>0</v>
      </c>
      <c r="CH43">
        <v>742681</v>
      </c>
      <c r="CJ43" t="s">
        <v>276</v>
      </c>
      <c r="CL43" t="s">
        <v>211</v>
      </c>
      <c r="CM43">
        <v>0</v>
      </c>
      <c r="CN43">
        <v>0</v>
      </c>
      <c r="CO43">
        <v>0</v>
      </c>
      <c r="CP43">
        <v>0</v>
      </c>
      <c r="CU43">
        <v>1</v>
      </c>
      <c r="CV43" t="s">
        <v>615</v>
      </c>
      <c r="CW43" t="s">
        <v>616</v>
      </c>
      <c r="CX43" t="s">
        <v>685</v>
      </c>
      <c r="CY43" t="s">
        <v>686</v>
      </c>
      <c r="CZ43" t="s">
        <v>217</v>
      </c>
      <c r="DB43" t="s">
        <v>698</v>
      </c>
      <c r="DD43" t="s">
        <v>699</v>
      </c>
      <c r="DF43" t="s">
        <v>220</v>
      </c>
      <c r="DG43">
        <v>425310</v>
      </c>
      <c r="DL43">
        <v>0</v>
      </c>
      <c r="DN43">
        <v>0</v>
      </c>
      <c r="DP43" t="s">
        <v>700</v>
      </c>
      <c r="DQ43">
        <v>7510566</v>
      </c>
      <c r="DR43" t="s">
        <v>223</v>
      </c>
      <c r="DS43">
        <v>0</v>
      </c>
      <c r="DV43">
        <v>0</v>
      </c>
      <c r="DW43">
        <v>1</v>
      </c>
      <c r="DX43">
        <v>7426.81</v>
      </c>
      <c r="DY43">
        <v>1336.83</v>
      </c>
      <c r="DZ43">
        <v>8763.64</v>
      </c>
      <c r="EC43">
        <v>0</v>
      </c>
      <c r="EQ43" t="s">
        <v>701</v>
      </c>
      <c r="ER43" s="1">
        <v>45432</v>
      </c>
      <c r="ES43">
        <v>6000</v>
      </c>
      <c r="ET43">
        <v>616882.35</v>
      </c>
      <c r="EU43">
        <v>0</v>
      </c>
      <c r="EV43">
        <v>251224</v>
      </c>
      <c r="EW43" t="s">
        <v>702</v>
      </c>
      <c r="EX43">
        <v>0</v>
      </c>
      <c r="EY43" t="s">
        <v>226</v>
      </c>
      <c r="EZ43" t="s">
        <v>202</v>
      </c>
      <c r="FA43" t="s">
        <v>226</v>
      </c>
      <c r="FB43" t="s">
        <v>226</v>
      </c>
      <c r="FC43" t="s">
        <v>202</v>
      </c>
      <c r="FD43" t="s">
        <v>202</v>
      </c>
      <c r="FE43" t="s">
        <v>202</v>
      </c>
      <c r="FF43" t="s">
        <v>202</v>
      </c>
      <c r="FG43" t="s">
        <v>202</v>
      </c>
      <c r="FH43" t="s">
        <v>202</v>
      </c>
      <c r="FI43" t="s">
        <v>202</v>
      </c>
      <c r="FJ43" t="s">
        <v>202</v>
      </c>
      <c r="FK43" t="s">
        <v>202</v>
      </c>
      <c r="FL43" t="s">
        <v>202</v>
      </c>
      <c r="FM43" t="s">
        <v>202</v>
      </c>
      <c r="FN43" t="s">
        <v>202</v>
      </c>
      <c r="FO43">
        <v>2801</v>
      </c>
      <c r="FP43">
        <v>3</v>
      </c>
      <c r="FQ43">
        <v>190.65</v>
      </c>
      <c r="FR43">
        <v>4694</v>
      </c>
      <c r="FS43">
        <v>0</v>
      </c>
      <c r="FT43">
        <v>0</v>
      </c>
      <c r="FW43">
        <v>0</v>
      </c>
      <c r="FX43">
        <v>0</v>
      </c>
      <c r="FY43">
        <v>0</v>
      </c>
      <c r="GA43">
        <v>-885</v>
      </c>
    </row>
    <row r="44" spans="1:183" x14ac:dyDescent="0.3">
      <c r="A44">
        <v>11135</v>
      </c>
      <c r="B44">
        <v>43</v>
      </c>
      <c r="C44" t="s">
        <v>610</v>
      </c>
      <c r="D44" t="s">
        <v>610</v>
      </c>
      <c r="E44" t="s">
        <v>703</v>
      </c>
      <c r="F44">
        <v>2457095075</v>
      </c>
      <c r="G44">
        <v>2457095075</v>
      </c>
      <c r="H44" t="s">
        <v>704</v>
      </c>
      <c r="I44" t="s">
        <v>198</v>
      </c>
      <c r="J44" t="s">
        <v>199</v>
      </c>
      <c r="L44" t="s">
        <v>646</v>
      </c>
      <c r="O44">
        <v>6263654989</v>
      </c>
      <c r="P44" t="s">
        <v>705</v>
      </c>
      <c r="Q44" s="1">
        <v>45456</v>
      </c>
      <c r="R44" s="1">
        <v>45456</v>
      </c>
      <c r="S44" s="1">
        <v>45456</v>
      </c>
      <c r="U44" t="s">
        <v>705</v>
      </c>
      <c r="W44" t="s">
        <v>202</v>
      </c>
      <c r="AB44" t="s">
        <v>706</v>
      </c>
      <c r="AD44" t="s">
        <v>204</v>
      </c>
      <c r="AE44">
        <v>4687</v>
      </c>
      <c r="AF44" t="s">
        <v>263</v>
      </c>
      <c r="AG44" t="s">
        <v>232</v>
      </c>
      <c r="AH44" t="s">
        <v>207</v>
      </c>
      <c r="AI44">
        <v>464728.68217099999</v>
      </c>
      <c r="AJ44">
        <v>599500</v>
      </c>
      <c r="AK44">
        <v>29</v>
      </c>
      <c r="AL44">
        <v>10000</v>
      </c>
      <c r="AM44">
        <v>0</v>
      </c>
      <c r="AN44">
        <v>0</v>
      </c>
      <c r="AO44">
        <v>3100</v>
      </c>
      <c r="AP44">
        <v>15000</v>
      </c>
      <c r="AQ44">
        <v>25000</v>
      </c>
      <c r="AR44">
        <v>0</v>
      </c>
      <c r="AS44">
        <v>0</v>
      </c>
      <c r="AT44">
        <v>0</v>
      </c>
      <c r="AU44">
        <v>0</v>
      </c>
      <c r="AV44">
        <v>12000</v>
      </c>
      <c r="AW44">
        <v>0</v>
      </c>
      <c r="AX44">
        <v>0</v>
      </c>
      <c r="AY44">
        <v>65100</v>
      </c>
      <c r="AZ44">
        <v>534400</v>
      </c>
      <c r="BA44">
        <v>3230</v>
      </c>
      <c r="BB44">
        <v>0</v>
      </c>
      <c r="BC44">
        <v>0</v>
      </c>
      <c r="BD44">
        <v>56531</v>
      </c>
      <c r="BE44" t="s">
        <v>208</v>
      </c>
      <c r="BF44">
        <v>0</v>
      </c>
      <c r="BG44">
        <v>0</v>
      </c>
      <c r="BH44" t="s">
        <v>209</v>
      </c>
      <c r="BI44">
        <v>21500</v>
      </c>
      <c r="BJ44">
        <v>885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500</v>
      </c>
      <c r="BT44">
        <v>0</v>
      </c>
      <c r="BU44">
        <v>0</v>
      </c>
      <c r="BV44">
        <v>0</v>
      </c>
      <c r="BW44">
        <v>0</v>
      </c>
      <c r="BX44">
        <v>617046</v>
      </c>
      <c r="BY44">
        <v>0</v>
      </c>
      <c r="BZ44">
        <v>12100</v>
      </c>
      <c r="CA44">
        <v>0</v>
      </c>
      <c r="CB44">
        <v>583895</v>
      </c>
      <c r="CC44">
        <v>0</v>
      </c>
      <c r="CD44">
        <v>0</v>
      </c>
      <c r="CE44">
        <v>595995</v>
      </c>
      <c r="CF44">
        <v>0</v>
      </c>
      <c r="CG44">
        <v>0</v>
      </c>
      <c r="CH44">
        <v>525895</v>
      </c>
      <c r="CJ44" t="s">
        <v>649</v>
      </c>
      <c r="CL44" t="s">
        <v>236</v>
      </c>
      <c r="CM44">
        <v>0</v>
      </c>
      <c r="CN44">
        <v>0</v>
      </c>
      <c r="CO44">
        <v>0</v>
      </c>
      <c r="CP44">
        <v>0</v>
      </c>
      <c r="CQ44" t="s">
        <v>707</v>
      </c>
      <c r="CU44">
        <v>-504844</v>
      </c>
      <c r="CV44" t="s">
        <v>685</v>
      </c>
      <c r="CW44" t="s">
        <v>686</v>
      </c>
      <c r="CX44" t="s">
        <v>685</v>
      </c>
      <c r="CY44" t="s">
        <v>686</v>
      </c>
      <c r="CZ44" t="s">
        <v>217</v>
      </c>
      <c r="DB44" t="s">
        <v>708</v>
      </c>
      <c r="DD44" t="s">
        <v>709</v>
      </c>
      <c r="DF44" t="s">
        <v>220</v>
      </c>
      <c r="DG44">
        <v>450331</v>
      </c>
      <c r="DL44">
        <v>0</v>
      </c>
      <c r="DN44">
        <v>0</v>
      </c>
      <c r="DP44" t="s">
        <v>710</v>
      </c>
      <c r="DQ44" t="s">
        <v>711</v>
      </c>
      <c r="DR44" t="s">
        <v>223</v>
      </c>
      <c r="DS44">
        <v>0</v>
      </c>
      <c r="DV44">
        <v>0</v>
      </c>
      <c r="DW44">
        <v>1</v>
      </c>
      <c r="DX44">
        <v>5258.95</v>
      </c>
      <c r="DY44">
        <v>946.61</v>
      </c>
      <c r="DZ44">
        <v>6205.56</v>
      </c>
      <c r="EC44">
        <v>0</v>
      </c>
      <c r="EQ44" t="s">
        <v>712</v>
      </c>
      <c r="ER44" s="1">
        <v>45430</v>
      </c>
      <c r="ES44">
        <v>4000</v>
      </c>
      <c r="ET44">
        <v>429977.29</v>
      </c>
      <c r="EU44">
        <v>5426.4</v>
      </c>
      <c r="EV44">
        <v>250070</v>
      </c>
      <c r="EW44" t="s">
        <v>713</v>
      </c>
      <c r="EX44">
        <v>0</v>
      </c>
      <c r="EY44" t="s">
        <v>226</v>
      </c>
      <c r="EZ44" t="s">
        <v>202</v>
      </c>
      <c r="FA44" t="s">
        <v>226</v>
      </c>
      <c r="FB44" t="s">
        <v>226</v>
      </c>
      <c r="FC44" t="s">
        <v>202</v>
      </c>
      <c r="FD44" t="s">
        <v>202</v>
      </c>
      <c r="FE44" t="s">
        <v>202</v>
      </c>
      <c r="FF44" t="s">
        <v>202</v>
      </c>
      <c r="FG44" t="s">
        <v>202</v>
      </c>
      <c r="FH44" t="s">
        <v>202</v>
      </c>
      <c r="FI44" t="s">
        <v>202</v>
      </c>
      <c r="FJ44" t="s">
        <v>202</v>
      </c>
      <c r="FK44" t="s">
        <v>202</v>
      </c>
      <c r="FL44" t="s">
        <v>202</v>
      </c>
      <c r="FM44" t="s">
        <v>202</v>
      </c>
      <c r="FN44" t="s">
        <v>202</v>
      </c>
      <c r="FO44">
        <v>5232</v>
      </c>
      <c r="FP44">
        <v>-2002</v>
      </c>
      <c r="FQ44">
        <v>0</v>
      </c>
      <c r="FR44">
        <v>4687</v>
      </c>
      <c r="FS44">
        <v>0</v>
      </c>
      <c r="FT44">
        <v>0</v>
      </c>
      <c r="FW44">
        <v>0</v>
      </c>
      <c r="FX44">
        <v>0</v>
      </c>
      <c r="FY44">
        <v>0</v>
      </c>
      <c r="GA44">
        <v>22168</v>
      </c>
    </row>
    <row r="45" spans="1:183" x14ac:dyDescent="0.3">
      <c r="A45">
        <v>11144</v>
      </c>
      <c r="B45">
        <v>44</v>
      </c>
      <c r="C45" t="s">
        <v>610</v>
      </c>
      <c r="D45" t="s">
        <v>610</v>
      </c>
      <c r="E45" t="s">
        <v>714</v>
      </c>
      <c r="F45">
        <v>2457267175</v>
      </c>
      <c r="G45">
        <v>2457267175</v>
      </c>
      <c r="H45" t="s">
        <v>715</v>
      </c>
      <c r="I45" t="s">
        <v>198</v>
      </c>
      <c r="J45" t="s">
        <v>488</v>
      </c>
      <c r="L45" t="s">
        <v>613</v>
      </c>
      <c r="O45">
        <v>9637394914</v>
      </c>
      <c r="P45" t="s">
        <v>716</v>
      </c>
      <c r="Q45" s="1">
        <v>45458</v>
      </c>
      <c r="R45" s="1">
        <v>45458</v>
      </c>
      <c r="S45" s="1">
        <v>45457</v>
      </c>
      <c r="U45" t="s">
        <v>716</v>
      </c>
      <c r="W45" t="s">
        <v>202</v>
      </c>
      <c r="AB45" t="s">
        <v>717</v>
      </c>
      <c r="AD45" t="s">
        <v>204</v>
      </c>
      <c r="AE45">
        <v>4687</v>
      </c>
      <c r="AF45" t="s">
        <v>263</v>
      </c>
      <c r="AG45" t="s">
        <v>232</v>
      </c>
      <c r="AH45" t="s">
        <v>207</v>
      </c>
      <c r="AI45">
        <v>464728.68217099999</v>
      </c>
      <c r="AJ45">
        <v>599500</v>
      </c>
      <c r="AK45">
        <v>29</v>
      </c>
      <c r="AL45">
        <v>10000</v>
      </c>
      <c r="AM45">
        <v>0</v>
      </c>
      <c r="AN45">
        <v>0</v>
      </c>
      <c r="AO45">
        <v>3100</v>
      </c>
      <c r="AP45">
        <v>0</v>
      </c>
      <c r="AQ45">
        <v>25000</v>
      </c>
      <c r="AR45">
        <v>0</v>
      </c>
      <c r="AS45">
        <v>0</v>
      </c>
      <c r="AT45">
        <v>0</v>
      </c>
      <c r="AU45">
        <v>0</v>
      </c>
      <c r="AV45">
        <v>12564</v>
      </c>
      <c r="AW45">
        <v>0</v>
      </c>
      <c r="AX45">
        <v>0</v>
      </c>
      <c r="AY45">
        <v>50664</v>
      </c>
      <c r="AZ45">
        <v>548836</v>
      </c>
      <c r="BA45">
        <v>30000</v>
      </c>
      <c r="BB45">
        <v>0</v>
      </c>
      <c r="BC45">
        <v>0</v>
      </c>
      <c r="BD45">
        <v>4500</v>
      </c>
      <c r="BE45" t="s">
        <v>208</v>
      </c>
      <c r="BF45">
        <v>0</v>
      </c>
      <c r="BG45">
        <v>0</v>
      </c>
      <c r="BH45" t="s">
        <v>209</v>
      </c>
      <c r="BI45">
        <v>22485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500</v>
      </c>
      <c r="BT45">
        <v>0</v>
      </c>
      <c r="BU45">
        <v>0</v>
      </c>
      <c r="BV45">
        <v>0</v>
      </c>
      <c r="BW45">
        <v>0</v>
      </c>
      <c r="BX45">
        <v>606321</v>
      </c>
      <c r="BY45">
        <v>0</v>
      </c>
      <c r="BZ45">
        <v>1083</v>
      </c>
      <c r="CA45">
        <v>0</v>
      </c>
      <c r="CB45">
        <v>605250</v>
      </c>
      <c r="CC45">
        <v>0</v>
      </c>
      <c r="CD45">
        <v>0</v>
      </c>
      <c r="CE45">
        <v>606333</v>
      </c>
      <c r="CF45">
        <v>0</v>
      </c>
      <c r="CG45">
        <v>0</v>
      </c>
      <c r="CH45">
        <v>0</v>
      </c>
      <c r="CJ45" t="s">
        <v>77</v>
      </c>
      <c r="CL45" t="s">
        <v>77</v>
      </c>
      <c r="CM45">
        <v>0</v>
      </c>
      <c r="CN45">
        <v>0</v>
      </c>
      <c r="CO45">
        <v>0</v>
      </c>
      <c r="CP45">
        <v>0</v>
      </c>
      <c r="CU45">
        <v>-12</v>
      </c>
      <c r="CV45" t="s">
        <v>615</v>
      </c>
      <c r="CW45" t="s">
        <v>616</v>
      </c>
      <c r="CX45" t="s">
        <v>615</v>
      </c>
      <c r="CY45" t="s">
        <v>616</v>
      </c>
      <c r="CZ45" t="s">
        <v>217</v>
      </c>
      <c r="DB45" t="s">
        <v>718</v>
      </c>
      <c r="DD45" t="s">
        <v>719</v>
      </c>
      <c r="DF45" t="s">
        <v>220</v>
      </c>
      <c r="DG45">
        <v>425001</v>
      </c>
      <c r="DL45">
        <v>0</v>
      </c>
      <c r="DN45">
        <v>0</v>
      </c>
      <c r="DP45" t="s">
        <v>720</v>
      </c>
      <c r="DQ45" t="s">
        <v>721</v>
      </c>
      <c r="DR45" t="s">
        <v>223</v>
      </c>
      <c r="DS45">
        <v>0</v>
      </c>
      <c r="DV45">
        <v>0</v>
      </c>
      <c r="EQ45" t="s">
        <v>722</v>
      </c>
      <c r="ER45" s="1">
        <v>45405</v>
      </c>
      <c r="ES45">
        <v>4000</v>
      </c>
      <c r="ET45">
        <v>429977.29</v>
      </c>
      <c r="EU45">
        <v>5426.4</v>
      </c>
      <c r="EV45">
        <v>251692</v>
      </c>
      <c r="EW45" t="s">
        <v>723</v>
      </c>
      <c r="EX45">
        <v>0</v>
      </c>
      <c r="EY45" t="s">
        <v>226</v>
      </c>
      <c r="EZ45" t="s">
        <v>202</v>
      </c>
      <c r="FA45" t="s">
        <v>226</v>
      </c>
      <c r="FB45" t="s">
        <v>226</v>
      </c>
      <c r="FC45" t="s">
        <v>202</v>
      </c>
      <c r="FD45" t="s">
        <v>202</v>
      </c>
      <c r="FE45" t="s">
        <v>202</v>
      </c>
      <c r="FF45" t="s">
        <v>202</v>
      </c>
      <c r="FG45" t="s">
        <v>202</v>
      </c>
      <c r="FH45" t="s">
        <v>202</v>
      </c>
      <c r="FI45" t="s">
        <v>202</v>
      </c>
      <c r="FJ45" t="s">
        <v>202</v>
      </c>
      <c r="FK45" t="s">
        <v>202</v>
      </c>
      <c r="FL45" t="s">
        <v>202</v>
      </c>
      <c r="FM45" t="s">
        <v>202</v>
      </c>
      <c r="FN45" t="s">
        <v>202</v>
      </c>
      <c r="FO45">
        <v>30012</v>
      </c>
      <c r="FP45">
        <v>-12</v>
      </c>
      <c r="FQ45">
        <v>171.59</v>
      </c>
      <c r="FR45">
        <v>4687</v>
      </c>
      <c r="FS45">
        <v>0</v>
      </c>
      <c r="FT45">
        <v>0</v>
      </c>
      <c r="FW45">
        <v>0</v>
      </c>
      <c r="FX45">
        <v>0</v>
      </c>
      <c r="FY45">
        <v>0</v>
      </c>
      <c r="GA45">
        <v>0</v>
      </c>
    </row>
    <row r="46" spans="1:183" x14ac:dyDescent="0.3">
      <c r="A46">
        <v>11156</v>
      </c>
      <c r="B46">
        <v>45</v>
      </c>
      <c r="C46" t="s">
        <v>610</v>
      </c>
      <c r="D46" t="s">
        <v>610</v>
      </c>
      <c r="E46" t="s">
        <v>724</v>
      </c>
      <c r="F46">
        <v>2457270588</v>
      </c>
      <c r="G46">
        <v>2457270588</v>
      </c>
      <c r="H46" t="s">
        <v>725</v>
      </c>
      <c r="I46" t="s">
        <v>198</v>
      </c>
      <c r="J46" t="s">
        <v>488</v>
      </c>
      <c r="L46" t="s">
        <v>726</v>
      </c>
      <c r="O46">
        <v>9890761252</v>
      </c>
      <c r="P46" t="s">
        <v>727</v>
      </c>
      <c r="Q46" s="1">
        <v>45458</v>
      </c>
      <c r="R46" s="1">
        <v>45458</v>
      </c>
      <c r="S46" s="1">
        <v>45458</v>
      </c>
      <c r="U46" t="s">
        <v>727</v>
      </c>
      <c r="W46" t="s">
        <v>202</v>
      </c>
      <c r="AB46">
        <v>815104</v>
      </c>
      <c r="AD46" t="s">
        <v>287</v>
      </c>
      <c r="AE46">
        <v>4738</v>
      </c>
      <c r="AF46" t="s">
        <v>288</v>
      </c>
      <c r="AG46" t="s">
        <v>206</v>
      </c>
      <c r="AH46" t="s">
        <v>250</v>
      </c>
      <c r="AI46">
        <v>743448.26896599995</v>
      </c>
      <c r="AJ46">
        <v>1077999</v>
      </c>
      <c r="AK46">
        <v>45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1077999</v>
      </c>
      <c r="BA46">
        <v>40000</v>
      </c>
      <c r="BB46">
        <v>0</v>
      </c>
      <c r="BC46">
        <v>0</v>
      </c>
      <c r="BD46">
        <v>5000</v>
      </c>
      <c r="BE46" t="s">
        <v>234</v>
      </c>
      <c r="BF46">
        <v>18327</v>
      </c>
      <c r="BG46">
        <v>0</v>
      </c>
      <c r="BH46" t="s">
        <v>209</v>
      </c>
      <c r="BI46">
        <v>28500</v>
      </c>
      <c r="BJ46">
        <v>885</v>
      </c>
      <c r="BK46">
        <v>0</v>
      </c>
      <c r="BL46">
        <v>0</v>
      </c>
      <c r="BM46">
        <v>0</v>
      </c>
      <c r="BN46">
        <v>10789</v>
      </c>
      <c r="BO46">
        <v>0</v>
      </c>
      <c r="BP46">
        <v>0</v>
      </c>
      <c r="BQ46">
        <v>0</v>
      </c>
      <c r="BR46">
        <v>0</v>
      </c>
      <c r="BS46">
        <v>500</v>
      </c>
      <c r="BT46">
        <v>0</v>
      </c>
      <c r="BU46">
        <v>0</v>
      </c>
      <c r="BV46">
        <v>0</v>
      </c>
      <c r="BW46">
        <v>0</v>
      </c>
      <c r="BX46">
        <v>1182000</v>
      </c>
      <c r="BY46">
        <v>0</v>
      </c>
      <c r="BZ46">
        <v>0</v>
      </c>
      <c r="CA46">
        <v>0</v>
      </c>
      <c r="CB46">
        <v>281184</v>
      </c>
      <c r="CC46">
        <v>0</v>
      </c>
      <c r="CD46">
        <v>0</v>
      </c>
      <c r="CE46">
        <v>281184</v>
      </c>
      <c r="CF46">
        <v>0</v>
      </c>
      <c r="CG46">
        <v>0</v>
      </c>
      <c r="CH46">
        <v>900815</v>
      </c>
      <c r="CJ46" t="s">
        <v>299</v>
      </c>
      <c r="CL46" t="s">
        <v>211</v>
      </c>
      <c r="CM46">
        <v>0</v>
      </c>
      <c r="CN46">
        <v>0</v>
      </c>
      <c r="CO46">
        <v>0</v>
      </c>
      <c r="CP46">
        <v>0</v>
      </c>
      <c r="CU46">
        <v>1</v>
      </c>
      <c r="CV46" t="s">
        <v>687</v>
      </c>
      <c r="CW46" t="s">
        <v>688</v>
      </c>
      <c r="CX46" t="s">
        <v>687</v>
      </c>
      <c r="CY46" t="s">
        <v>688</v>
      </c>
      <c r="CZ46" t="s">
        <v>217</v>
      </c>
      <c r="DB46" t="s">
        <v>728</v>
      </c>
      <c r="DD46" t="s">
        <v>729</v>
      </c>
      <c r="DF46" t="s">
        <v>220</v>
      </c>
      <c r="DG46">
        <v>411015</v>
      </c>
      <c r="DL46">
        <v>0</v>
      </c>
      <c r="DN46">
        <v>0</v>
      </c>
      <c r="DP46" t="s">
        <v>730</v>
      </c>
      <c r="DQ46">
        <v>9525282</v>
      </c>
      <c r="DR46" t="s">
        <v>223</v>
      </c>
      <c r="DS46">
        <v>18325.400000000001</v>
      </c>
      <c r="DT46" s="1">
        <v>45458</v>
      </c>
      <c r="DU46" t="s">
        <v>731</v>
      </c>
      <c r="DV46">
        <v>0</v>
      </c>
      <c r="DW46">
        <v>1.5</v>
      </c>
      <c r="DX46">
        <v>13512.23</v>
      </c>
      <c r="DY46">
        <v>2432.1999999999998</v>
      </c>
      <c r="DZ46">
        <v>15944.43</v>
      </c>
      <c r="EC46">
        <v>0</v>
      </c>
      <c r="EQ46" t="s">
        <v>732</v>
      </c>
      <c r="ER46" s="1">
        <v>45442</v>
      </c>
      <c r="ES46">
        <v>8500</v>
      </c>
      <c r="ET46">
        <v>697073.03</v>
      </c>
      <c r="EU46">
        <v>0</v>
      </c>
      <c r="EV46">
        <v>251712</v>
      </c>
      <c r="EW46" t="s">
        <v>733</v>
      </c>
      <c r="EX46">
        <v>0</v>
      </c>
      <c r="EY46" t="s">
        <v>226</v>
      </c>
      <c r="EZ46" t="s">
        <v>226</v>
      </c>
      <c r="FA46" t="s">
        <v>226</v>
      </c>
      <c r="FB46" t="s">
        <v>226</v>
      </c>
      <c r="FC46" t="s">
        <v>202</v>
      </c>
      <c r="FD46" t="s">
        <v>202</v>
      </c>
      <c r="FE46" t="s">
        <v>202</v>
      </c>
      <c r="FF46" t="s">
        <v>202</v>
      </c>
      <c r="FG46" t="s">
        <v>202</v>
      </c>
      <c r="FH46" t="s">
        <v>202</v>
      </c>
      <c r="FI46" t="s">
        <v>202</v>
      </c>
      <c r="FJ46" t="s">
        <v>202</v>
      </c>
      <c r="FK46" t="s">
        <v>202</v>
      </c>
      <c r="FL46" t="s">
        <v>202</v>
      </c>
      <c r="FM46" t="s">
        <v>202</v>
      </c>
      <c r="FN46" t="s">
        <v>202</v>
      </c>
      <c r="FO46">
        <v>40001</v>
      </c>
      <c r="FP46">
        <v>-1</v>
      </c>
      <c r="FQ46">
        <v>56.79</v>
      </c>
      <c r="FR46">
        <v>4738</v>
      </c>
      <c r="FS46">
        <v>0</v>
      </c>
      <c r="FT46">
        <v>0</v>
      </c>
      <c r="FW46">
        <v>0</v>
      </c>
      <c r="FX46">
        <v>0</v>
      </c>
      <c r="FY46">
        <v>0</v>
      </c>
      <c r="GA46">
        <v>-885</v>
      </c>
    </row>
    <row r="47" spans="1:183" x14ac:dyDescent="0.3">
      <c r="A47">
        <v>11160</v>
      </c>
      <c r="B47">
        <v>46</v>
      </c>
      <c r="C47" t="s">
        <v>610</v>
      </c>
      <c r="D47" t="s">
        <v>610</v>
      </c>
      <c r="E47" t="s">
        <v>734</v>
      </c>
      <c r="F47">
        <v>2457260461</v>
      </c>
      <c r="G47">
        <v>2457260461</v>
      </c>
      <c r="H47" t="s">
        <v>735</v>
      </c>
      <c r="I47" t="s">
        <v>198</v>
      </c>
      <c r="J47" t="s">
        <v>199</v>
      </c>
      <c r="L47" t="s">
        <v>646</v>
      </c>
      <c r="O47">
        <v>9826977155</v>
      </c>
      <c r="P47" t="s">
        <v>736</v>
      </c>
      <c r="Q47" s="1">
        <v>45460</v>
      </c>
      <c r="R47" s="1">
        <v>45460</v>
      </c>
      <c r="S47" s="1">
        <v>45459</v>
      </c>
      <c r="U47" t="s">
        <v>736</v>
      </c>
      <c r="W47" t="s">
        <v>202</v>
      </c>
      <c r="AB47">
        <v>804358</v>
      </c>
      <c r="AD47" t="s">
        <v>287</v>
      </c>
      <c r="AE47">
        <v>4725</v>
      </c>
      <c r="AF47" t="s">
        <v>405</v>
      </c>
      <c r="AG47" t="s">
        <v>232</v>
      </c>
      <c r="AH47" t="s">
        <v>250</v>
      </c>
      <c r="AI47">
        <v>677931.02069000003</v>
      </c>
      <c r="AJ47">
        <v>983000</v>
      </c>
      <c r="AK47">
        <v>45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983000</v>
      </c>
      <c r="BA47">
        <v>41000</v>
      </c>
      <c r="BB47">
        <v>0</v>
      </c>
      <c r="BC47">
        <v>0</v>
      </c>
      <c r="BD47">
        <v>86811</v>
      </c>
      <c r="BE47" t="s">
        <v>234</v>
      </c>
      <c r="BF47">
        <v>16709</v>
      </c>
      <c r="BG47">
        <v>4933</v>
      </c>
      <c r="BH47" t="s">
        <v>209</v>
      </c>
      <c r="BI47">
        <v>36987</v>
      </c>
      <c r="BJ47">
        <v>885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500</v>
      </c>
      <c r="BT47">
        <v>0</v>
      </c>
      <c r="BU47">
        <v>0</v>
      </c>
      <c r="BV47">
        <v>0</v>
      </c>
      <c r="BW47">
        <v>0</v>
      </c>
      <c r="BX47">
        <v>1170825</v>
      </c>
      <c r="BY47">
        <v>0</v>
      </c>
      <c r="BZ47">
        <v>0</v>
      </c>
      <c r="CA47">
        <v>0</v>
      </c>
      <c r="CB47">
        <v>1175824</v>
      </c>
      <c r="CC47">
        <v>0</v>
      </c>
      <c r="CD47">
        <v>0</v>
      </c>
      <c r="CE47">
        <v>1175824</v>
      </c>
      <c r="CF47">
        <v>0</v>
      </c>
      <c r="CG47">
        <v>0</v>
      </c>
      <c r="CH47">
        <v>0</v>
      </c>
      <c r="CJ47" t="s">
        <v>77</v>
      </c>
      <c r="CL47" t="s">
        <v>77</v>
      </c>
      <c r="CM47">
        <v>0</v>
      </c>
      <c r="CN47">
        <v>0</v>
      </c>
      <c r="CO47">
        <v>0</v>
      </c>
      <c r="CP47">
        <v>0</v>
      </c>
      <c r="CU47">
        <v>-4999</v>
      </c>
      <c r="CV47" t="s">
        <v>615</v>
      </c>
      <c r="CW47" t="s">
        <v>616</v>
      </c>
      <c r="CX47" t="s">
        <v>685</v>
      </c>
      <c r="CY47" t="s">
        <v>686</v>
      </c>
      <c r="CZ47" t="s">
        <v>217</v>
      </c>
      <c r="DB47" t="s">
        <v>737</v>
      </c>
      <c r="DD47" t="s">
        <v>738</v>
      </c>
      <c r="DF47" t="s">
        <v>220</v>
      </c>
      <c r="DG47">
        <v>450331</v>
      </c>
      <c r="DL47">
        <v>0</v>
      </c>
      <c r="DN47">
        <v>0</v>
      </c>
      <c r="DP47" t="s">
        <v>739</v>
      </c>
      <c r="DQ47">
        <v>7437836</v>
      </c>
      <c r="DR47" t="s">
        <v>223</v>
      </c>
      <c r="DS47">
        <v>16708.8</v>
      </c>
      <c r="DT47" s="1">
        <v>45460</v>
      </c>
      <c r="DU47" t="s">
        <v>740</v>
      </c>
      <c r="DV47">
        <v>0</v>
      </c>
      <c r="EQ47" t="s">
        <v>741</v>
      </c>
      <c r="ER47" s="1">
        <v>45428</v>
      </c>
      <c r="ES47">
        <v>8500</v>
      </c>
      <c r="ET47">
        <v>632556.03</v>
      </c>
      <c r="EU47">
        <v>0</v>
      </c>
      <c r="EV47">
        <v>251940</v>
      </c>
      <c r="EW47" t="s">
        <v>742</v>
      </c>
      <c r="EX47">
        <v>0</v>
      </c>
      <c r="EY47" t="s">
        <v>226</v>
      </c>
      <c r="EZ47" t="s">
        <v>226</v>
      </c>
      <c r="FA47" t="s">
        <v>226</v>
      </c>
      <c r="FB47" t="s">
        <v>226</v>
      </c>
      <c r="FC47" t="s">
        <v>202</v>
      </c>
      <c r="FD47" t="s">
        <v>202</v>
      </c>
      <c r="FE47" t="s">
        <v>202</v>
      </c>
      <c r="FF47" t="s">
        <v>202</v>
      </c>
      <c r="FG47" t="s">
        <v>202</v>
      </c>
      <c r="FH47" t="s">
        <v>202</v>
      </c>
      <c r="FI47" t="s">
        <v>202</v>
      </c>
      <c r="FJ47" t="s">
        <v>202</v>
      </c>
      <c r="FK47" t="s">
        <v>202</v>
      </c>
      <c r="FL47" t="s">
        <v>202</v>
      </c>
      <c r="FM47" t="s">
        <v>202</v>
      </c>
      <c r="FN47" t="s">
        <v>202</v>
      </c>
      <c r="FO47">
        <v>41006</v>
      </c>
      <c r="FP47">
        <v>-6</v>
      </c>
      <c r="FQ47">
        <v>19.14</v>
      </c>
      <c r="FR47">
        <v>4725</v>
      </c>
      <c r="FS47">
        <v>0</v>
      </c>
      <c r="FT47">
        <v>0</v>
      </c>
      <c r="FW47">
        <v>0</v>
      </c>
      <c r="FX47">
        <v>0</v>
      </c>
      <c r="FY47">
        <v>0</v>
      </c>
      <c r="GA47">
        <v>-5879</v>
      </c>
    </row>
    <row r="48" spans="1:183" x14ac:dyDescent="0.3">
      <c r="A48">
        <v>11163</v>
      </c>
      <c r="B48">
        <v>47</v>
      </c>
      <c r="C48" t="s">
        <v>610</v>
      </c>
      <c r="D48" t="s">
        <v>610</v>
      </c>
      <c r="E48" t="s">
        <v>743</v>
      </c>
      <c r="F48">
        <v>2457259089</v>
      </c>
      <c r="G48">
        <v>2457259089</v>
      </c>
      <c r="H48" t="s">
        <v>744</v>
      </c>
      <c r="I48" t="s">
        <v>198</v>
      </c>
      <c r="J48" t="s">
        <v>488</v>
      </c>
      <c r="L48" t="s">
        <v>613</v>
      </c>
      <c r="O48">
        <v>7218752647</v>
      </c>
      <c r="P48" t="s">
        <v>745</v>
      </c>
      <c r="Q48" s="1">
        <v>45458</v>
      </c>
      <c r="R48" s="1">
        <v>45458</v>
      </c>
      <c r="S48" s="1">
        <v>45459</v>
      </c>
      <c r="U48" t="s">
        <v>745</v>
      </c>
      <c r="W48" t="s">
        <v>202</v>
      </c>
      <c r="AB48">
        <v>571192</v>
      </c>
      <c r="AD48" t="s">
        <v>248</v>
      </c>
      <c r="AE48">
        <v>4716</v>
      </c>
      <c r="AF48" t="s">
        <v>746</v>
      </c>
      <c r="AG48" t="s">
        <v>206</v>
      </c>
      <c r="AH48" t="s">
        <v>250</v>
      </c>
      <c r="AI48">
        <v>581970.54263599997</v>
      </c>
      <c r="AJ48">
        <v>750742</v>
      </c>
      <c r="AK48">
        <v>29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750742</v>
      </c>
      <c r="BA48">
        <v>7500</v>
      </c>
      <c r="BB48">
        <v>0</v>
      </c>
      <c r="BC48">
        <v>0</v>
      </c>
      <c r="BD48">
        <v>4500</v>
      </c>
      <c r="BE48" t="s">
        <v>234</v>
      </c>
      <c r="BF48">
        <v>12768</v>
      </c>
      <c r="BG48">
        <v>0</v>
      </c>
      <c r="BH48" t="s">
        <v>209</v>
      </c>
      <c r="BI48">
        <v>23001</v>
      </c>
      <c r="BJ48">
        <v>885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500</v>
      </c>
      <c r="BT48">
        <v>0</v>
      </c>
      <c r="BU48">
        <v>0</v>
      </c>
      <c r="BV48">
        <v>0</v>
      </c>
      <c r="BW48">
        <v>0</v>
      </c>
      <c r="BX48">
        <v>799896</v>
      </c>
      <c r="BY48">
        <v>0</v>
      </c>
      <c r="BZ48">
        <v>114495</v>
      </c>
      <c r="CA48">
        <v>0</v>
      </c>
      <c r="CB48">
        <v>0</v>
      </c>
      <c r="CC48">
        <v>0</v>
      </c>
      <c r="CD48">
        <v>0</v>
      </c>
      <c r="CE48">
        <v>114495</v>
      </c>
      <c r="CF48">
        <v>0</v>
      </c>
      <c r="CG48">
        <v>0</v>
      </c>
      <c r="CH48">
        <v>695400</v>
      </c>
      <c r="CJ48" t="s">
        <v>380</v>
      </c>
      <c r="CL48" t="s">
        <v>211</v>
      </c>
      <c r="CM48">
        <v>0</v>
      </c>
      <c r="CN48">
        <v>0</v>
      </c>
      <c r="CO48">
        <v>0</v>
      </c>
      <c r="CP48">
        <v>0</v>
      </c>
      <c r="CU48">
        <v>-9999</v>
      </c>
      <c r="CV48" t="s">
        <v>652</v>
      </c>
      <c r="CW48" t="s">
        <v>653</v>
      </c>
      <c r="CX48" t="s">
        <v>615</v>
      </c>
      <c r="CY48" t="s">
        <v>616</v>
      </c>
      <c r="CZ48" t="s">
        <v>217</v>
      </c>
      <c r="DB48" t="s">
        <v>747</v>
      </c>
      <c r="DD48" t="s">
        <v>748</v>
      </c>
      <c r="DF48" t="s">
        <v>220</v>
      </c>
      <c r="DG48">
        <v>425201</v>
      </c>
      <c r="DL48">
        <v>0</v>
      </c>
      <c r="DN48">
        <v>0</v>
      </c>
      <c r="DP48" t="s">
        <v>749</v>
      </c>
      <c r="DQ48">
        <v>1646455</v>
      </c>
      <c r="DR48" t="s">
        <v>223</v>
      </c>
      <c r="DS48">
        <v>12767.6</v>
      </c>
      <c r="DT48" s="1">
        <v>45460</v>
      </c>
      <c r="DU48" t="s">
        <v>750</v>
      </c>
      <c r="DV48">
        <v>0</v>
      </c>
      <c r="DW48">
        <v>1.5</v>
      </c>
      <c r="DX48">
        <v>10431</v>
      </c>
      <c r="DY48">
        <v>1877.58</v>
      </c>
      <c r="DZ48">
        <v>12308.58</v>
      </c>
      <c r="EC48">
        <v>0</v>
      </c>
      <c r="EQ48" t="s">
        <v>751</v>
      </c>
      <c r="ER48" s="1">
        <v>45427</v>
      </c>
      <c r="ES48">
        <v>6000</v>
      </c>
      <c r="ET48">
        <v>549295.54</v>
      </c>
      <c r="EU48">
        <v>0</v>
      </c>
      <c r="EV48">
        <v>251666</v>
      </c>
      <c r="EW48" t="s">
        <v>752</v>
      </c>
      <c r="EX48">
        <v>0</v>
      </c>
      <c r="EY48" t="s">
        <v>226</v>
      </c>
      <c r="EZ48" t="s">
        <v>226</v>
      </c>
      <c r="FA48" t="s">
        <v>226</v>
      </c>
      <c r="FB48" t="s">
        <v>226</v>
      </c>
      <c r="FC48" t="s">
        <v>202</v>
      </c>
      <c r="FD48" t="s">
        <v>202</v>
      </c>
      <c r="FE48" t="s">
        <v>202</v>
      </c>
      <c r="FF48" t="s">
        <v>202</v>
      </c>
      <c r="FG48" t="s">
        <v>202</v>
      </c>
      <c r="FH48" t="s">
        <v>202</v>
      </c>
      <c r="FI48" t="s">
        <v>202</v>
      </c>
      <c r="FJ48" t="s">
        <v>202</v>
      </c>
      <c r="FK48" t="s">
        <v>202</v>
      </c>
      <c r="FL48" t="s">
        <v>202</v>
      </c>
      <c r="FM48" t="s">
        <v>202</v>
      </c>
      <c r="FN48" t="s">
        <v>202</v>
      </c>
      <c r="FO48">
        <v>19502</v>
      </c>
      <c r="FP48">
        <v>-12002</v>
      </c>
      <c r="FQ48">
        <v>411.49</v>
      </c>
      <c r="FR48">
        <v>4716</v>
      </c>
      <c r="FS48">
        <v>0</v>
      </c>
      <c r="FT48">
        <v>0</v>
      </c>
      <c r="FW48">
        <v>0</v>
      </c>
      <c r="FX48">
        <v>0</v>
      </c>
      <c r="FY48">
        <v>0</v>
      </c>
      <c r="GA48">
        <v>-885</v>
      </c>
    </row>
    <row r="49" spans="1:183" x14ac:dyDescent="0.3">
      <c r="A49">
        <v>11177</v>
      </c>
      <c r="B49">
        <v>48</v>
      </c>
      <c r="C49" t="s">
        <v>610</v>
      </c>
      <c r="D49" t="s">
        <v>610</v>
      </c>
      <c r="E49" t="s">
        <v>753</v>
      </c>
      <c r="F49">
        <v>2457334672</v>
      </c>
      <c r="G49">
        <v>2457334672</v>
      </c>
      <c r="H49" t="s">
        <v>754</v>
      </c>
      <c r="I49" t="s">
        <v>198</v>
      </c>
      <c r="J49" t="s">
        <v>488</v>
      </c>
      <c r="L49" t="s">
        <v>726</v>
      </c>
      <c r="O49">
        <v>8308505270</v>
      </c>
      <c r="P49" t="s">
        <v>755</v>
      </c>
      <c r="Q49" s="1">
        <v>45463</v>
      </c>
      <c r="R49" s="1">
        <v>45463</v>
      </c>
      <c r="S49" s="1">
        <v>45462</v>
      </c>
      <c r="U49" t="s">
        <v>755</v>
      </c>
      <c r="W49" t="s">
        <v>202</v>
      </c>
      <c r="AB49">
        <v>810722</v>
      </c>
      <c r="AD49" t="s">
        <v>287</v>
      </c>
      <c r="AE49">
        <v>4738</v>
      </c>
      <c r="AF49" t="s">
        <v>288</v>
      </c>
      <c r="AG49" t="s">
        <v>206</v>
      </c>
      <c r="AH49" t="s">
        <v>250</v>
      </c>
      <c r="AI49">
        <v>743448.26896599995</v>
      </c>
      <c r="AJ49">
        <v>1077999</v>
      </c>
      <c r="AK49">
        <v>45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1077999</v>
      </c>
      <c r="BA49">
        <v>39926</v>
      </c>
      <c r="BB49">
        <v>0</v>
      </c>
      <c r="BC49">
        <v>0</v>
      </c>
      <c r="BD49">
        <v>5000</v>
      </c>
      <c r="BE49" t="s">
        <v>208</v>
      </c>
      <c r="BF49">
        <v>0</v>
      </c>
      <c r="BG49">
        <v>0</v>
      </c>
      <c r="BH49" t="s">
        <v>209</v>
      </c>
      <c r="BI49">
        <v>28002</v>
      </c>
      <c r="BJ49">
        <v>885</v>
      </c>
      <c r="BK49">
        <v>0</v>
      </c>
      <c r="BL49">
        <v>0</v>
      </c>
      <c r="BM49">
        <v>0</v>
      </c>
      <c r="BN49">
        <v>10789</v>
      </c>
      <c r="BO49">
        <v>0</v>
      </c>
      <c r="BP49">
        <v>0</v>
      </c>
      <c r="BQ49">
        <v>0</v>
      </c>
      <c r="BR49">
        <v>0</v>
      </c>
      <c r="BS49">
        <v>500</v>
      </c>
      <c r="BT49">
        <v>0</v>
      </c>
      <c r="BU49">
        <v>0</v>
      </c>
      <c r="BV49">
        <v>0</v>
      </c>
      <c r="BW49">
        <v>0</v>
      </c>
      <c r="BX49">
        <v>1163101</v>
      </c>
      <c r="BY49">
        <v>0</v>
      </c>
      <c r="BZ49">
        <v>0</v>
      </c>
      <c r="CA49">
        <v>0</v>
      </c>
      <c r="CB49">
        <v>263100</v>
      </c>
      <c r="CC49">
        <v>0</v>
      </c>
      <c r="CD49">
        <v>0</v>
      </c>
      <c r="CE49">
        <v>263100</v>
      </c>
      <c r="CF49">
        <v>0</v>
      </c>
      <c r="CG49">
        <v>0</v>
      </c>
      <c r="CH49">
        <v>900000</v>
      </c>
      <c r="CJ49" t="s">
        <v>210</v>
      </c>
      <c r="CL49" t="s">
        <v>211</v>
      </c>
      <c r="CM49">
        <v>0</v>
      </c>
      <c r="CN49">
        <v>0</v>
      </c>
      <c r="CO49">
        <v>0</v>
      </c>
      <c r="CP49">
        <v>0</v>
      </c>
      <c r="CU49">
        <v>1</v>
      </c>
      <c r="CV49" t="s">
        <v>652</v>
      </c>
      <c r="CW49" t="s">
        <v>653</v>
      </c>
      <c r="CX49" t="s">
        <v>615</v>
      </c>
      <c r="CY49" t="s">
        <v>616</v>
      </c>
      <c r="CZ49" t="s">
        <v>217</v>
      </c>
      <c r="DB49" t="s">
        <v>756</v>
      </c>
      <c r="DD49" t="s">
        <v>757</v>
      </c>
      <c r="DF49" t="s">
        <v>220</v>
      </c>
      <c r="DG49">
        <v>411044</v>
      </c>
      <c r="DL49">
        <v>0</v>
      </c>
      <c r="DN49">
        <v>0</v>
      </c>
      <c r="DP49" t="s">
        <v>758</v>
      </c>
      <c r="DQ49">
        <v>9520869</v>
      </c>
      <c r="DR49" t="s">
        <v>223</v>
      </c>
      <c r="DS49">
        <v>0</v>
      </c>
      <c r="DV49">
        <v>0</v>
      </c>
      <c r="DW49">
        <v>1.5</v>
      </c>
      <c r="DX49">
        <v>13500</v>
      </c>
      <c r="DY49">
        <v>2430</v>
      </c>
      <c r="DZ49">
        <v>15930</v>
      </c>
      <c r="EC49">
        <v>0</v>
      </c>
      <c r="EQ49" t="s">
        <v>759</v>
      </c>
      <c r="ER49" s="1">
        <v>45436</v>
      </c>
      <c r="ES49">
        <v>8500</v>
      </c>
      <c r="ET49">
        <v>697073.03</v>
      </c>
      <c r="EU49">
        <v>0</v>
      </c>
      <c r="EV49">
        <v>252409</v>
      </c>
      <c r="EW49" t="s">
        <v>760</v>
      </c>
      <c r="EX49">
        <v>0</v>
      </c>
      <c r="EY49" t="s">
        <v>226</v>
      </c>
      <c r="EZ49" t="s">
        <v>202</v>
      </c>
      <c r="FA49" t="s">
        <v>226</v>
      </c>
      <c r="FB49" t="s">
        <v>226</v>
      </c>
      <c r="FC49" t="s">
        <v>202</v>
      </c>
      <c r="FD49" t="s">
        <v>202</v>
      </c>
      <c r="FE49" t="s">
        <v>202</v>
      </c>
      <c r="FF49" t="s">
        <v>202</v>
      </c>
      <c r="FG49" t="s">
        <v>202</v>
      </c>
      <c r="FH49" t="s">
        <v>202</v>
      </c>
      <c r="FI49" t="s">
        <v>202</v>
      </c>
      <c r="FJ49" t="s">
        <v>202</v>
      </c>
      <c r="FK49" t="s">
        <v>202</v>
      </c>
      <c r="FL49" t="s">
        <v>202</v>
      </c>
      <c r="FM49" t="s">
        <v>202</v>
      </c>
      <c r="FN49" t="s">
        <v>202</v>
      </c>
      <c r="FO49">
        <v>39907</v>
      </c>
      <c r="FP49">
        <v>19</v>
      </c>
      <c r="FQ49">
        <v>0</v>
      </c>
      <c r="FR49">
        <v>4738</v>
      </c>
      <c r="FS49">
        <v>0</v>
      </c>
      <c r="FT49">
        <v>0</v>
      </c>
      <c r="FW49">
        <v>0</v>
      </c>
      <c r="FX49">
        <v>0</v>
      </c>
      <c r="FY49">
        <v>0</v>
      </c>
      <c r="GA49">
        <v>-885</v>
      </c>
    </row>
    <row r="50" spans="1:183" x14ac:dyDescent="0.3">
      <c r="A50">
        <v>11179</v>
      </c>
      <c r="B50">
        <v>49</v>
      </c>
      <c r="C50" t="s">
        <v>610</v>
      </c>
      <c r="D50" t="s">
        <v>610</v>
      </c>
      <c r="E50" t="s">
        <v>761</v>
      </c>
      <c r="F50">
        <v>2457267749</v>
      </c>
      <c r="G50">
        <v>2457267749</v>
      </c>
      <c r="H50" t="s">
        <v>762</v>
      </c>
      <c r="I50" t="s">
        <v>763</v>
      </c>
      <c r="J50" t="s">
        <v>199</v>
      </c>
      <c r="L50" t="s">
        <v>646</v>
      </c>
      <c r="O50">
        <v>9443056062</v>
      </c>
      <c r="P50" t="s">
        <v>764</v>
      </c>
      <c r="Q50" s="1">
        <v>45463</v>
      </c>
      <c r="R50" s="1">
        <v>45463</v>
      </c>
      <c r="S50" s="1">
        <v>45462</v>
      </c>
      <c r="U50" t="s">
        <v>764</v>
      </c>
      <c r="W50" t="s">
        <v>202</v>
      </c>
      <c r="AB50" t="s">
        <v>765</v>
      </c>
      <c r="AD50" t="s">
        <v>204</v>
      </c>
      <c r="AE50">
        <v>4766</v>
      </c>
      <c r="AF50" t="s">
        <v>664</v>
      </c>
      <c r="AG50" t="s">
        <v>232</v>
      </c>
      <c r="AH50" t="s">
        <v>207</v>
      </c>
      <c r="AI50">
        <v>486821.71317800001</v>
      </c>
      <c r="AJ50">
        <v>628000</v>
      </c>
      <c r="AK50">
        <v>29</v>
      </c>
      <c r="AL50">
        <v>10000</v>
      </c>
      <c r="AM50">
        <v>0</v>
      </c>
      <c r="AN50">
        <v>0</v>
      </c>
      <c r="AO50">
        <v>3100</v>
      </c>
      <c r="AP50">
        <v>0</v>
      </c>
      <c r="AQ50">
        <v>25000</v>
      </c>
      <c r="AR50">
        <v>0</v>
      </c>
      <c r="AS50">
        <v>0</v>
      </c>
      <c r="AT50">
        <v>0</v>
      </c>
      <c r="AU50">
        <v>0</v>
      </c>
      <c r="AV50">
        <v>12000</v>
      </c>
      <c r="AW50">
        <v>0</v>
      </c>
      <c r="AX50">
        <v>0</v>
      </c>
      <c r="AY50">
        <v>50100</v>
      </c>
      <c r="AZ50">
        <v>577900</v>
      </c>
      <c r="BA50">
        <v>40779</v>
      </c>
      <c r="BB50">
        <v>0</v>
      </c>
      <c r="BC50">
        <v>0</v>
      </c>
      <c r="BD50">
        <v>58821</v>
      </c>
      <c r="BE50" t="s">
        <v>208</v>
      </c>
      <c r="BF50">
        <v>0</v>
      </c>
      <c r="BG50">
        <v>0</v>
      </c>
      <c r="BH50" t="s">
        <v>209</v>
      </c>
      <c r="BI50">
        <v>22500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700000</v>
      </c>
      <c r="BY50">
        <v>0</v>
      </c>
      <c r="BZ50">
        <v>0</v>
      </c>
      <c r="CA50">
        <v>0</v>
      </c>
      <c r="CB50">
        <v>700000</v>
      </c>
      <c r="CC50">
        <v>2000</v>
      </c>
      <c r="CD50">
        <v>0</v>
      </c>
      <c r="CE50">
        <v>700000</v>
      </c>
      <c r="CF50">
        <v>0</v>
      </c>
      <c r="CG50">
        <v>0</v>
      </c>
      <c r="CH50">
        <v>590442</v>
      </c>
      <c r="CJ50" t="s">
        <v>766</v>
      </c>
      <c r="CL50" t="s">
        <v>236</v>
      </c>
      <c r="CM50">
        <v>0</v>
      </c>
      <c r="CN50">
        <v>0</v>
      </c>
      <c r="CO50">
        <v>0</v>
      </c>
      <c r="CP50">
        <v>0</v>
      </c>
      <c r="CU50">
        <v>-590442</v>
      </c>
      <c r="CV50" t="s">
        <v>687</v>
      </c>
      <c r="CW50" t="s">
        <v>688</v>
      </c>
      <c r="CX50" t="s">
        <v>687</v>
      </c>
      <c r="CY50" t="s">
        <v>688</v>
      </c>
      <c r="CZ50" t="s">
        <v>217</v>
      </c>
      <c r="DB50" t="s">
        <v>767</v>
      </c>
      <c r="DD50" t="s">
        <v>768</v>
      </c>
      <c r="DF50" t="s">
        <v>220</v>
      </c>
      <c r="DG50">
        <v>450331</v>
      </c>
      <c r="DL50">
        <v>0</v>
      </c>
      <c r="DN50">
        <v>0</v>
      </c>
      <c r="DP50" t="s">
        <v>769</v>
      </c>
      <c r="DQ50">
        <v>1078239</v>
      </c>
      <c r="DR50" t="s">
        <v>223</v>
      </c>
      <c r="DS50">
        <v>0</v>
      </c>
      <c r="DV50">
        <v>0</v>
      </c>
      <c r="DW50">
        <v>1</v>
      </c>
      <c r="DX50">
        <v>5904.42</v>
      </c>
      <c r="DY50">
        <v>1062.8</v>
      </c>
      <c r="DZ50">
        <v>6967.22</v>
      </c>
      <c r="EC50">
        <v>0</v>
      </c>
      <c r="EQ50" t="s">
        <v>770</v>
      </c>
      <c r="ER50" s="1">
        <v>45414</v>
      </c>
      <c r="ES50">
        <v>4000</v>
      </c>
      <c r="ET50">
        <v>453070.29</v>
      </c>
      <c r="EU50">
        <v>5426.4</v>
      </c>
      <c r="EV50">
        <v>251775</v>
      </c>
      <c r="EW50" t="s">
        <v>771</v>
      </c>
      <c r="EX50">
        <v>0</v>
      </c>
      <c r="EY50" t="s">
        <v>226</v>
      </c>
      <c r="EZ50" t="s">
        <v>202</v>
      </c>
      <c r="FA50" t="s">
        <v>226</v>
      </c>
      <c r="FB50" t="s">
        <v>202</v>
      </c>
      <c r="FC50" t="s">
        <v>202</v>
      </c>
      <c r="FD50" t="s">
        <v>202</v>
      </c>
      <c r="FE50" t="s">
        <v>202</v>
      </c>
      <c r="FF50" t="s">
        <v>202</v>
      </c>
      <c r="FG50" t="s">
        <v>202</v>
      </c>
      <c r="FH50" t="s">
        <v>202</v>
      </c>
      <c r="FI50" t="s">
        <v>202</v>
      </c>
      <c r="FJ50" t="s">
        <v>202</v>
      </c>
      <c r="FK50" t="s">
        <v>202</v>
      </c>
      <c r="FL50" t="s">
        <v>202</v>
      </c>
      <c r="FM50" t="s">
        <v>202</v>
      </c>
      <c r="FN50" t="s">
        <v>202</v>
      </c>
      <c r="FO50">
        <v>40760</v>
      </c>
      <c r="FP50">
        <v>19</v>
      </c>
      <c r="FQ50">
        <v>190.65</v>
      </c>
      <c r="FR50">
        <v>4766</v>
      </c>
      <c r="FS50">
        <v>0</v>
      </c>
      <c r="FT50">
        <v>0</v>
      </c>
      <c r="FW50">
        <v>0</v>
      </c>
      <c r="FX50">
        <v>0</v>
      </c>
      <c r="FY50">
        <v>0</v>
      </c>
      <c r="GA50">
        <v>0</v>
      </c>
    </row>
    <row r="51" spans="1:183" x14ac:dyDescent="0.3">
      <c r="A51">
        <v>11188</v>
      </c>
      <c r="B51">
        <v>50</v>
      </c>
      <c r="C51" t="s">
        <v>610</v>
      </c>
      <c r="D51" t="s">
        <v>610</v>
      </c>
      <c r="E51" t="s">
        <v>772</v>
      </c>
      <c r="F51">
        <v>2457162056</v>
      </c>
      <c r="G51">
        <v>2457162056</v>
      </c>
      <c r="H51" t="s">
        <v>773</v>
      </c>
      <c r="I51" t="s">
        <v>198</v>
      </c>
      <c r="J51" t="s">
        <v>488</v>
      </c>
      <c r="L51" t="s">
        <v>613</v>
      </c>
      <c r="O51">
        <v>9579179082</v>
      </c>
      <c r="P51" t="s">
        <v>774</v>
      </c>
      <c r="Q51" s="1">
        <v>45457</v>
      </c>
      <c r="R51" s="1">
        <v>45457</v>
      </c>
      <c r="S51" s="1">
        <v>45463</v>
      </c>
      <c r="U51" t="s">
        <v>774</v>
      </c>
      <c r="W51" t="s">
        <v>202</v>
      </c>
      <c r="AB51">
        <v>820661</v>
      </c>
      <c r="AD51" t="s">
        <v>287</v>
      </c>
      <c r="AE51">
        <v>4725</v>
      </c>
      <c r="AF51" t="s">
        <v>405</v>
      </c>
      <c r="AG51" t="s">
        <v>232</v>
      </c>
      <c r="AH51" t="s">
        <v>250</v>
      </c>
      <c r="AI51">
        <v>677931.02069000003</v>
      </c>
      <c r="AJ51">
        <v>983000</v>
      </c>
      <c r="AK51">
        <v>45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5000</v>
      </c>
      <c r="AW51">
        <v>0</v>
      </c>
      <c r="AX51">
        <v>0</v>
      </c>
      <c r="AY51">
        <v>5000</v>
      </c>
      <c r="AZ51">
        <v>978000</v>
      </c>
      <c r="BA51">
        <v>1990</v>
      </c>
      <c r="BB51">
        <v>0</v>
      </c>
      <c r="BC51">
        <v>0</v>
      </c>
      <c r="BD51">
        <v>5000</v>
      </c>
      <c r="BE51" t="s">
        <v>234</v>
      </c>
      <c r="BF51">
        <v>16720</v>
      </c>
      <c r="BG51">
        <v>0</v>
      </c>
      <c r="BH51" t="s">
        <v>209</v>
      </c>
      <c r="BI51">
        <v>38000</v>
      </c>
      <c r="BJ51">
        <v>885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500</v>
      </c>
      <c r="BT51">
        <v>0</v>
      </c>
      <c r="BU51">
        <v>0</v>
      </c>
      <c r="BV51">
        <v>0</v>
      </c>
      <c r="BW51">
        <v>0</v>
      </c>
      <c r="BX51">
        <v>1041095</v>
      </c>
      <c r="BY51">
        <v>0</v>
      </c>
      <c r="BZ51">
        <v>2000</v>
      </c>
      <c r="CA51">
        <v>0</v>
      </c>
      <c r="CB51">
        <v>1039094</v>
      </c>
      <c r="CC51">
        <v>11000</v>
      </c>
      <c r="CD51">
        <v>0</v>
      </c>
      <c r="CE51">
        <v>1041094</v>
      </c>
      <c r="CF51">
        <v>0</v>
      </c>
      <c r="CG51">
        <v>0</v>
      </c>
      <c r="CH51">
        <v>700000</v>
      </c>
      <c r="CJ51" t="s">
        <v>251</v>
      </c>
      <c r="CL51" t="s">
        <v>236</v>
      </c>
      <c r="CM51">
        <v>0</v>
      </c>
      <c r="CN51">
        <v>0</v>
      </c>
      <c r="CO51">
        <v>0</v>
      </c>
      <c r="CP51">
        <v>0</v>
      </c>
      <c r="CU51">
        <v>-699999</v>
      </c>
      <c r="CV51" t="s">
        <v>628</v>
      </c>
      <c r="CW51" t="s">
        <v>629</v>
      </c>
      <c r="CX51" t="s">
        <v>615</v>
      </c>
      <c r="CY51" t="s">
        <v>616</v>
      </c>
      <c r="CZ51" t="s">
        <v>217</v>
      </c>
      <c r="DB51" t="s">
        <v>775</v>
      </c>
      <c r="DD51" t="s">
        <v>776</v>
      </c>
      <c r="DF51" t="s">
        <v>220</v>
      </c>
      <c r="DG51">
        <v>425301</v>
      </c>
      <c r="DL51">
        <v>0</v>
      </c>
      <c r="DN51">
        <v>0</v>
      </c>
      <c r="DP51" t="s">
        <v>777</v>
      </c>
      <c r="DQ51">
        <v>9533551</v>
      </c>
      <c r="DR51" t="s">
        <v>223</v>
      </c>
      <c r="DS51">
        <v>16708.8</v>
      </c>
      <c r="DT51" s="1">
        <v>45464</v>
      </c>
      <c r="DU51" t="s">
        <v>778</v>
      </c>
      <c r="DV51">
        <v>0</v>
      </c>
      <c r="DW51">
        <v>1.27</v>
      </c>
      <c r="DX51">
        <v>8890</v>
      </c>
      <c r="DY51">
        <v>1600.2</v>
      </c>
      <c r="DZ51">
        <v>10490.2</v>
      </c>
      <c r="EC51">
        <v>0</v>
      </c>
      <c r="EQ51" t="s">
        <v>779</v>
      </c>
      <c r="ER51" s="1">
        <v>45456</v>
      </c>
      <c r="ES51">
        <v>8500</v>
      </c>
      <c r="ET51">
        <v>632556.03</v>
      </c>
      <c r="EU51">
        <v>0</v>
      </c>
      <c r="EV51">
        <v>251541</v>
      </c>
      <c r="EW51" t="s">
        <v>780</v>
      </c>
      <c r="EX51">
        <v>0</v>
      </c>
      <c r="EY51" t="s">
        <v>226</v>
      </c>
      <c r="EZ51" t="s">
        <v>226</v>
      </c>
      <c r="FA51" t="s">
        <v>226</v>
      </c>
      <c r="FB51" t="s">
        <v>226</v>
      </c>
      <c r="FC51" t="s">
        <v>202</v>
      </c>
      <c r="FD51" t="s">
        <v>202</v>
      </c>
      <c r="FE51" t="s">
        <v>202</v>
      </c>
      <c r="FF51" t="s">
        <v>202</v>
      </c>
      <c r="FG51" t="s">
        <v>202</v>
      </c>
      <c r="FH51" t="s">
        <v>202</v>
      </c>
      <c r="FI51" t="s">
        <v>202</v>
      </c>
      <c r="FJ51" t="s">
        <v>202</v>
      </c>
      <c r="FK51" t="s">
        <v>202</v>
      </c>
      <c r="FL51" t="s">
        <v>202</v>
      </c>
      <c r="FM51" t="s">
        <v>202</v>
      </c>
      <c r="FN51" t="s">
        <v>202</v>
      </c>
      <c r="FO51">
        <v>1995</v>
      </c>
      <c r="FP51">
        <v>-5</v>
      </c>
      <c r="FQ51">
        <v>0</v>
      </c>
      <c r="FR51">
        <v>4725</v>
      </c>
      <c r="FS51">
        <v>0</v>
      </c>
      <c r="FT51">
        <v>0</v>
      </c>
      <c r="FW51">
        <v>0</v>
      </c>
      <c r="FX51">
        <v>0</v>
      </c>
      <c r="FY51">
        <v>0</v>
      </c>
      <c r="GA51">
        <v>-885</v>
      </c>
    </row>
    <row r="52" spans="1:183" x14ac:dyDescent="0.3">
      <c r="A52">
        <v>11190</v>
      </c>
      <c r="B52">
        <v>51</v>
      </c>
      <c r="C52" t="s">
        <v>610</v>
      </c>
      <c r="D52" t="s">
        <v>610</v>
      </c>
      <c r="E52" t="s">
        <v>781</v>
      </c>
      <c r="F52">
        <v>2457261497</v>
      </c>
      <c r="G52">
        <v>2457261497</v>
      </c>
      <c r="H52" t="s">
        <v>782</v>
      </c>
      <c r="I52" t="s">
        <v>198</v>
      </c>
      <c r="J52" t="s">
        <v>199</v>
      </c>
      <c r="L52" t="s">
        <v>646</v>
      </c>
      <c r="O52">
        <v>9584829222</v>
      </c>
      <c r="P52" t="s">
        <v>783</v>
      </c>
      <c r="Q52" s="1">
        <v>45463</v>
      </c>
      <c r="R52" s="1">
        <v>45463</v>
      </c>
      <c r="S52" s="1">
        <v>45463</v>
      </c>
      <c r="U52" t="s">
        <v>783</v>
      </c>
      <c r="W52" t="s">
        <v>202</v>
      </c>
      <c r="AB52">
        <v>821631</v>
      </c>
      <c r="AD52" t="s">
        <v>287</v>
      </c>
      <c r="AE52">
        <v>4725</v>
      </c>
      <c r="AF52" t="s">
        <v>405</v>
      </c>
      <c r="AG52" t="s">
        <v>232</v>
      </c>
      <c r="AH52" t="s">
        <v>250</v>
      </c>
      <c r="AI52">
        <v>677931.02069000003</v>
      </c>
      <c r="AJ52">
        <v>983000</v>
      </c>
      <c r="AK52">
        <v>45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983000</v>
      </c>
      <c r="BA52">
        <v>30000</v>
      </c>
      <c r="BB52">
        <v>0</v>
      </c>
      <c r="BC52">
        <v>0</v>
      </c>
      <c r="BD52">
        <v>86811</v>
      </c>
      <c r="BE52" t="s">
        <v>234</v>
      </c>
      <c r="BF52">
        <v>16709</v>
      </c>
      <c r="BG52">
        <v>4902</v>
      </c>
      <c r="BH52" t="s">
        <v>209</v>
      </c>
      <c r="BI52">
        <v>33000</v>
      </c>
      <c r="BJ52">
        <v>885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1155307</v>
      </c>
      <c r="BY52">
        <v>0</v>
      </c>
      <c r="BZ52">
        <v>26000</v>
      </c>
      <c r="CA52">
        <v>0</v>
      </c>
      <c r="CB52">
        <v>1133100</v>
      </c>
      <c r="CC52">
        <v>0</v>
      </c>
      <c r="CD52">
        <v>0</v>
      </c>
      <c r="CE52">
        <v>1159100</v>
      </c>
      <c r="CF52">
        <v>0</v>
      </c>
      <c r="CG52">
        <v>0</v>
      </c>
      <c r="CH52">
        <v>0</v>
      </c>
      <c r="CJ52" t="s">
        <v>784</v>
      </c>
      <c r="CL52" t="s">
        <v>236</v>
      </c>
      <c r="CM52">
        <v>0</v>
      </c>
      <c r="CN52">
        <v>0</v>
      </c>
      <c r="CO52">
        <v>0</v>
      </c>
      <c r="CP52">
        <v>0</v>
      </c>
      <c r="CU52">
        <v>-3793</v>
      </c>
      <c r="CV52" t="s">
        <v>785</v>
      </c>
      <c r="CW52" t="s">
        <v>786</v>
      </c>
      <c r="CX52" t="s">
        <v>687</v>
      </c>
      <c r="CY52" t="s">
        <v>688</v>
      </c>
      <c r="CZ52" t="s">
        <v>217</v>
      </c>
      <c r="DB52" t="s">
        <v>787</v>
      </c>
      <c r="DD52" t="s">
        <v>788</v>
      </c>
      <c r="DF52" t="s">
        <v>220</v>
      </c>
      <c r="DG52">
        <v>450331</v>
      </c>
      <c r="DL52">
        <v>0</v>
      </c>
      <c r="DN52">
        <v>0</v>
      </c>
      <c r="DP52" t="s">
        <v>789</v>
      </c>
      <c r="DQ52">
        <v>9533771</v>
      </c>
      <c r="DR52" t="s">
        <v>223</v>
      </c>
      <c r="DS52">
        <v>16708.8</v>
      </c>
      <c r="DT52" s="1">
        <v>45463</v>
      </c>
      <c r="DU52" t="s">
        <v>790</v>
      </c>
      <c r="DV52">
        <v>0</v>
      </c>
      <c r="EQ52" t="s">
        <v>791</v>
      </c>
      <c r="ER52" s="1">
        <v>45456</v>
      </c>
      <c r="ES52">
        <v>8500</v>
      </c>
      <c r="ET52">
        <v>632556.03</v>
      </c>
      <c r="EU52">
        <v>0</v>
      </c>
      <c r="EV52">
        <v>252457</v>
      </c>
      <c r="EW52" t="s">
        <v>792</v>
      </c>
      <c r="EX52">
        <v>0</v>
      </c>
      <c r="EY52" t="s">
        <v>226</v>
      </c>
      <c r="EZ52" t="s">
        <v>226</v>
      </c>
      <c r="FA52" t="s">
        <v>226</v>
      </c>
      <c r="FB52" t="s">
        <v>202</v>
      </c>
      <c r="FC52" t="s">
        <v>202</v>
      </c>
      <c r="FD52" t="s">
        <v>202</v>
      </c>
      <c r="FE52" t="s">
        <v>202</v>
      </c>
      <c r="FF52" t="s">
        <v>202</v>
      </c>
      <c r="FG52" t="s">
        <v>202</v>
      </c>
      <c r="FH52" t="s">
        <v>202</v>
      </c>
      <c r="FI52" t="s">
        <v>202</v>
      </c>
      <c r="FJ52" t="s">
        <v>202</v>
      </c>
      <c r="FK52" t="s">
        <v>202</v>
      </c>
      <c r="FL52" t="s">
        <v>202</v>
      </c>
      <c r="FM52" t="s">
        <v>202</v>
      </c>
      <c r="FN52" t="s">
        <v>202</v>
      </c>
      <c r="FO52">
        <v>30032</v>
      </c>
      <c r="FP52">
        <v>-32</v>
      </c>
      <c r="FQ52">
        <v>0</v>
      </c>
      <c r="FR52">
        <v>4725</v>
      </c>
      <c r="FS52">
        <v>0</v>
      </c>
      <c r="FT52">
        <v>0</v>
      </c>
      <c r="FW52">
        <v>0</v>
      </c>
      <c r="FX52">
        <v>0</v>
      </c>
      <c r="FY52">
        <v>0</v>
      </c>
      <c r="GA52">
        <v>-4647</v>
      </c>
    </row>
    <row r="53" spans="1:183" x14ac:dyDescent="0.3">
      <c r="A53">
        <v>11202</v>
      </c>
      <c r="B53">
        <v>52</v>
      </c>
      <c r="C53" t="s">
        <v>610</v>
      </c>
      <c r="D53" t="s">
        <v>610</v>
      </c>
      <c r="E53" t="s">
        <v>793</v>
      </c>
      <c r="F53">
        <v>2457319048</v>
      </c>
      <c r="G53">
        <v>2457319048</v>
      </c>
      <c r="H53" t="s">
        <v>794</v>
      </c>
      <c r="I53" t="s">
        <v>198</v>
      </c>
      <c r="J53" t="s">
        <v>199</v>
      </c>
      <c r="L53" t="s">
        <v>646</v>
      </c>
      <c r="O53">
        <v>7691936148</v>
      </c>
      <c r="P53" t="s">
        <v>795</v>
      </c>
      <c r="Q53" s="1">
        <v>45464</v>
      </c>
      <c r="R53" s="1">
        <v>45464</v>
      </c>
      <c r="S53" s="1">
        <v>45463</v>
      </c>
      <c r="U53" t="s">
        <v>795</v>
      </c>
      <c r="W53" t="s">
        <v>202</v>
      </c>
      <c r="AB53">
        <v>101072</v>
      </c>
      <c r="AD53" t="s">
        <v>230</v>
      </c>
      <c r="AE53">
        <v>4813</v>
      </c>
      <c r="AF53" t="s">
        <v>796</v>
      </c>
      <c r="AG53" t="s">
        <v>232</v>
      </c>
      <c r="AH53" t="s">
        <v>233</v>
      </c>
      <c r="AI53">
        <v>502901</v>
      </c>
      <c r="AJ53">
        <v>648742</v>
      </c>
      <c r="AK53">
        <v>29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7398</v>
      </c>
      <c r="AW53">
        <v>0</v>
      </c>
      <c r="AX53">
        <v>0</v>
      </c>
      <c r="AY53">
        <v>7398</v>
      </c>
      <c r="AZ53">
        <v>641344</v>
      </c>
      <c r="BA53">
        <v>41000</v>
      </c>
      <c r="BB53">
        <v>0</v>
      </c>
      <c r="BC53">
        <v>0</v>
      </c>
      <c r="BD53">
        <v>59570</v>
      </c>
      <c r="BE53" t="s">
        <v>234</v>
      </c>
      <c r="BF53">
        <v>11033</v>
      </c>
      <c r="BG53">
        <v>0</v>
      </c>
      <c r="BH53" t="s">
        <v>209</v>
      </c>
      <c r="BI53">
        <v>27554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500</v>
      </c>
      <c r="BT53">
        <v>0</v>
      </c>
      <c r="BU53">
        <v>0</v>
      </c>
      <c r="BV53">
        <v>0</v>
      </c>
      <c r="BW53">
        <v>0</v>
      </c>
      <c r="BX53">
        <v>781001</v>
      </c>
      <c r="BY53">
        <v>0</v>
      </c>
      <c r="BZ53">
        <v>119000</v>
      </c>
      <c r="CA53">
        <v>0</v>
      </c>
      <c r="CB53">
        <v>662000</v>
      </c>
      <c r="CC53">
        <v>2000</v>
      </c>
      <c r="CD53">
        <v>0</v>
      </c>
      <c r="CE53">
        <v>781000</v>
      </c>
      <c r="CF53">
        <v>0</v>
      </c>
      <c r="CG53">
        <v>0</v>
      </c>
      <c r="CH53">
        <v>660000</v>
      </c>
      <c r="CJ53" t="s">
        <v>406</v>
      </c>
      <c r="CL53" t="s">
        <v>236</v>
      </c>
      <c r="CM53">
        <v>0</v>
      </c>
      <c r="CN53">
        <v>0</v>
      </c>
      <c r="CO53">
        <v>0</v>
      </c>
      <c r="CP53">
        <v>0</v>
      </c>
      <c r="CU53">
        <v>-659999</v>
      </c>
      <c r="CV53" t="s">
        <v>615</v>
      </c>
      <c r="CW53" t="s">
        <v>616</v>
      </c>
      <c r="CX53" t="s">
        <v>685</v>
      </c>
      <c r="CY53" t="s">
        <v>686</v>
      </c>
      <c r="CZ53" t="s">
        <v>217</v>
      </c>
      <c r="DB53" t="s">
        <v>797</v>
      </c>
      <c r="DD53" t="s">
        <v>798</v>
      </c>
      <c r="DF53" t="s">
        <v>220</v>
      </c>
      <c r="DG53">
        <v>450331</v>
      </c>
      <c r="DL53">
        <v>0</v>
      </c>
      <c r="DN53">
        <v>0</v>
      </c>
      <c r="DP53" t="s">
        <v>799</v>
      </c>
      <c r="DQ53">
        <v>1001081</v>
      </c>
      <c r="DR53" t="s">
        <v>223</v>
      </c>
      <c r="DS53">
        <v>11033</v>
      </c>
      <c r="DT53" s="1">
        <v>45464</v>
      </c>
      <c r="DU53" t="s">
        <v>800</v>
      </c>
      <c r="DV53">
        <v>0</v>
      </c>
      <c r="DW53">
        <v>1.27</v>
      </c>
      <c r="DX53">
        <v>8382</v>
      </c>
      <c r="DY53">
        <v>1508.76</v>
      </c>
      <c r="DZ53">
        <v>9890.76</v>
      </c>
      <c r="EC53">
        <v>0</v>
      </c>
      <c r="EQ53" t="s">
        <v>801</v>
      </c>
      <c r="ER53" s="1">
        <v>45421</v>
      </c>
      <c r="ES53">
        <v>6000</v>
      </c>
      <c r="ET53">
        <v>483126</v>
      </c>
      <c r="EU53">
        <v>0</v>
      </c>
      <c r="EV53">
        <v>252316</v>
      </c>
      <c r="EW53" t="s">
        <v>802</v>
      </c>
      <c r="EX53">
        <v>0</v>
      </c>
      <c r="EY53" t="s">
        <v>226</v>
      </c>
      <c r="EZ53" t="s">
        <v>226</v>
      </c>
      <c r="FA53" t="s">
        <v>226</v>
      </c>
      <c r="FB53" t="s">
        <v>226</v>
      </c>
      <c r="FC53" t="s">
        <v>202</v>
      </c>
      <c r="FD53" t="s">
        <v>202</v>
      </c>
      <c r="FE53" t="s">
        <v>202</v>
      </c>
      <c r="FF53" t="s">
        <v>202</v>
      </c>
      <c r="FG53" t="s">
        <v>202</v>
      </c>
      <c r="FH53" t="s">
        <v>202</v>
      </c>
      <c r="FI53" t="s">
        <v>202</v>
      </c>
      <c r="FJ53" t="s">
        <v>202</v>
      </c>
      <c r="FK53" t="s">
        <v>202</v>
      </c>
      <c r="FL53" t="s">
        <v>202</v>
      </c>
      <c r="FM53" t="s">
        <v>202</v>
      </c>
      <c r="FN53" t="s">
        <v>202</v>
      </c>
      <c r="FO53">
        <v>41000</v>
      </c>
      <c r="FP53">
        <v>0</v>
      </c>
      <c r="FQ53">
        <v>320.26</v>
      </c>
      <c r="FR53">
        <v>4813</v>
      </c>
      <c r="FS53">
        <v>0</v>
      </c>
      <c r="FT53">
        <v>0</v>
      </c>
      <c r="FW53">
        <v>0</v>
      </c>
      <c r="FX53">
        <v>0</v>
      </c>
      <c r="FY53">
        <v>0</v>
      </c>
      <c r="GA53">
        <v>0</v>
      </c>
    </row>
    <row r="54" spans="1:183" x14ac:dyDescent="0.3">
      <c r="A54">
        <v>11213</v>
      </c>
      <c r="B54">
        <v>53</v>
      </c>
      <c r="C54" t="s">
        <v>610</v>
      </c>
      <c r="D54" t="s">
        <v>610</v>
      </c>
      <c r="E54" t="s">
        <v>803</v>
      </c>
      <c r="F54">
        <v>2457364173</v>
      </c>
      <c r="G54">
        <v>2457364173</v>
      </c>
      <c r="H54" t="s">
        <v>804</v>
      </c>
      <c r="I54" t="s">
        <v>198</v>
      </c>
      <c r="J54" t="s">
        <v>488</v>
      </c>
      <c r="L54" t="s">
        <v>613</v>
      </c>
      <c r="O54">
        <v>9011229246</v>
      </c>
      <c r="P54" t="s">
        <v>805</v>
      </c>
      <c r="Q54" s="1">
        <v>45465</v>
      </c>
      <c r="R54" s="1">
        <v>45465</v>
      </c>
      <c r="S54" s="1">
        <v>45464</v>
      </c>
      <c r="U54" t="s">
        <v>805</v>
      </c>
      <c r="W54" t="s">
        <v>202</v>
      </c>
      <c r="AB54" t="s">
        <v>806</v>
      </c>
      <c r="AD54" t="s">
        <v>310</v>
      </c>
      <c r="AE54">
        <v>4765</v>
      </c>
      <c r="AF54" t="s">
        <v>367</v>
      </c>
      <c r="AG54" t="s">
        <v>232</v>
      </c>
      <c r="AH54" t="s">
        <v>207</v>
      </c>
      <c r="AI54">
        <v>440309.992248</v>
      </c>
      <c r="AJ54">
        <v>568000</v>
      </c>
      <c r="AK54">
        <v>29</v>
      </c>
      <c r="AL54">
        <v>10000</v>
      </c>
      <c r="AM54">
        <v>0</v>
      </c>
      <c r="AN54">
        <v>0</v>
      </c>
      <c r="AO54">
        <v>0</v>
      </c>
      <c r="AP54">
        <v>0</v>
      </c>
      <c r="AQ54">
        <v>15000</v>
      </c>
      <c r="AR54">
        <v>0</v>
      </c>
      <c r="AS54">
        <v>0</v>
      </c>
      <c r="AT54">
        <v>0</v>
      </c>
      <c r="AU54">
        <v>0</v>
      </c>
      <c r="AV54">
        <v>9500</v>
      </c>
      <c r="AW54">
        <v>0</v>
      </c>
      <c r="AX54">
        <v>0</v>
      </c>
      <c r="AY54">
        <v>34500</v>
      </c>
      <c r="AZ54">
        <v>533500</v>
      </c>
      <c r="BA54">
        <v>7000</v>
      </c>
      <c r="BB54">
        <v>0</v>
      </c>
      <c r="BC54">
        <v>0</v>
      </c>
      <c r="BD54">
        <v>4500</v>
      </c>
      <c r="BE54" t="s">
        <v>234</v>
      </c>
      <c r="BF54">
        <v>8850</v>
      </c>
      <c r="BG54">
        <v>0</v>
      </c>
      <c r="BH54" t="s">
        <v>209</v>
      </c>
      <c r="BI54">
        <v>27000</v>
      </c>
      <c r="BJ54">
        <v>885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500</v>
      </c>
      <c r="BT54">
        <v>0</v>
      </c>
      <c r="BU54">
        <v>0</v>
      </c>
      <c r="BV54">
        <v>0</v>
      </c>
      <c r="BW54">
        <v>0</v>
      </c>
      <c r="BX54">
        <v>582235</v>
      </c>
      <c r="BY54">
        <v>0</v>
      </c>
      <c r="BZ54">
        <v>0</v>
      </c>
      <c r="CA54">
        <v>0</v>
      </c>
      <c r="CB54">
        <v>686849</v>
      </c>
      <c r="CC54">
        <v>0</v>
      </c>
      <c r="CD54">
        <v>0</v>
      </c>
      <c r="CE54">
        <v>686849</v>
      </c>
      <c r="CF54">
        <v>0</v>
      </c>
      <c r="CG54">
        <v>0</v>
      </c>
      <c r="CH54">
        <v>0</v>
      </c>
      <c r="CJ54" t="s">
        <v>807</v>
      </c>
      <c r="CL54" t="s">
        <v>236</v>
      </c>
      <c r="CM54">
        <v>0</v>
      </c>
      <c r="CN54">
        <v>0</v>
      </c>
      <c r="CO54">
        <v>0</v>
      </c>
      <c r="CP54">
        <v>0</v>
      </c>
      <c r="CU54">
        <v>-104614</v>
      </c>
      <c r="CV54" t="s">
        <v>785</v>
      </c>
      <c r="CW54" t="s">
        <v>786</v>
      </c>
      <c r="CX54" t="s">
        <v>687</v>
      </c>
      <c r="CY54" t="s">
        <v>688</v>
      </c>
      <c r="CZ54" t="s">
        <v>217</v>
      </c>
      <c r="DB54" t="s">
        <v>808</v>
      </c>
      <c r="DD54" t="s">
        <v>809</v>
      </c>
      <c r="DF54" t="s">
        <v>220</v>
      </c>
      <c r="DG54">
        <v>425508</v>
      </c>
      <c r="DL54">
        <v>0</v>
      </c>
      <c r="DN54">
        <v>0</v>
      </c>
      <c r="DP54" t="s">
        <v>810</v>
      </c>
      <c r="DQ54">
        <v>4270301</v>
      </c>
      <c r="DR54" t="s">
        <v>223</v>
      </c>
      <c r="DS54">
        <v>8850</v>
      </c>
      <c r="DT54" s="1">
        <v>45465</v>
      </c>
      <c r="DU54" t="s">
        <v>811</v>
      </c>
      <c r="DV54">
        <v>0</v>
      </c>
      <c r="EQ54" t="s">
        <v>812</v>
      </c>
      <c r="ER54" s="1">
        <v>45457</v>
      </c>
      <c r="ES54">
        <v>3000</v>
      </c>
      <c r="ET54">
        <v>410408.86</v>
      </c>
      <c r="EU54">
        <v>5426.4</v>
      </c>
      <c r="EV54">
        <v>252885</v>
      </c>
      <c r="EW54" t="s">
        <v>813</v>
      </c>
      <c r="EX54">
        <v>0</v>
      </c>
      <c r="EY54" t="s">
        <v>226</v>
      </c>
      <c r="EZ54" t="s">
        <v>226</v>
      </c>
      <c r="FA54" t="s">
        <v>226</v>
      </c>
      <c r="FB54" t="s">
        <v>226</v>
      </c>
      <c r="FC54" t="s">
        <v>202</v>
      </c>
      <c r="FD54" t="s">
        <v>202</v>
      </c>
      <c r="FE54" t="s">
        <v>202</v>
      </c>
      <c r="FF54" t="s">
        <v>202</v>
      </c>
      <c r="FG54" t="s">
        <v>202</v>
      </c>
      <c r="FH54" t="s">
        <v>202</v>
      </c>
      <c r="FI54" t="s">
        <v>202</v>
      </c>
      <c r="FJ54" t="s">
        <v>202</v>
      </c>
      <c r="FK54" t="s">
        <v>202</v>
      </c>
      <c r="FL54" t="s">
        <v>202</v>
      </c>
      <c r="FM54" t="s">
        <v>202</v>
      </c>
      <c r="FN54" t="s">
        <v>202</v>
      </c>
      <c r="FO54">
        <v>7018</v>
      </c>
      <c r="FP54">
        <v>-18</v>
      </c>
      <c r="FQ54">
        <v>81.64</v>
      </c>
      <c r="FR54">
        <v>4765</v>
      </c>
      <c r="FS54">
        <v>0</v>
      </c>
      <c r="FT54">
        <v>0</v>
      </c>
      <c r="FW54">
        <v>0</v>
      </c>
      <c r="FX54">
        <v>0</v>
      </c>
      <c r="FY54">
        <v>0</v>
      </c>
      <c r="GA54">
        <v>-885</v>
      </c>
    </row>
    <row r="55" spans="1:183" x14ac:dyDescent="0.3">
      <c r="A55">
        <v>11238</v>
      </c>
      <c r="B55">
        <v>54</v>
      </c>
      <c r="C55" t="s">
        <v>610</v>
      </c>
      <c r="D55" t="s">
        <v>610</v>
      </c>
      <c r="E55" t="s">
        <v>814</v>
      </c>
      <c r="F55">
        <v>2457354576</v>
      </c>
      <c r="G55">
        <v>2457354576</v>
      </c>
      <c r="H55" t="s">
        <v>815</v>
      </c>
      <c r="I55" t="s">
        <v>198</v>
      </c>
      <c r="J55" t="s">
        <v>488</v>
      </c>
      <c r="L55" t="s">
        <v>613</v>
      </c>
      <c r="O55">
        <v>9561840000</v>
      </c>
      <c r="P55" t="s">
        <v>816</v>
      </c>
      <c r="Q55" s="1">
        <v>45466</v>
      </c>
      <c r="R55" s="1">
        <v>45466</v>
      </c>
      <c r="S55" s="1">
        <v>45468</v>
      </c>
      <c r="U55" t="s">
        <v>816</v>
      </c>
      <c r="W55" t="s">
        <v>202</v>
      </c>
      <c r="AB55">
        <v>825086</v>
      </c>
      <c r="AD55" t="s">
        <v>287</v>
      </c>
      <c r="AE55">
        <v>4738</v>
      </c>
      <c r="AF55" t="s">
        <v>288</v>
      </c>
      <c r="AG55" t="s">
        <v>206</v>
      </c>
      <c r="AH55" t="s">
        <v>250</v>
      </c>
      <c r="AI55">
        <v>743448.26896599995</v>
      </c>
      <c r="AJ55">
        <v>1077999</v>
      </c>
      <c r="AK55">
        <v>45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1077999</v>
      </c>
      <c r="BA55">
        <v>26900</v>
      </c>
      <c r="BB55">
        <v>0</v>
      </c>
      <c r="BC55">
        <v>0</v>
      </c>
      <c r="BD55">
        <v>5000</v>
      </c>
      <c r="BE55" t="s">
        <v>208</v>
      </c>
      <c r="BF55">
        <v>0</v>
      </c>
      <c r="BG55">
        <v>0</v>
      </c>
      <c r="BH55" t="s">
        <v>209</v>
      </c>
      <c r="BI55">
        <v>33503</v>
      </c>
      <c r="BJ55">
        <v>885</v>
      </c>
      <c r="BK55">
        <v>0</v>
      </c>
      <c r="BL55">
        <v>0</v>
      </c>
      <c r="BM55">
        <v>0</v>
      </c>
      <c r="BN55">
        <v>10789</v>
      </c>
      <c r="BO55">
        <v>0</v>
      </c>
      <c r="BP55">
        <v>0</v>
      </c>
      <c r="BQ55">
        <v>0</v>
      </c>
      <c r="BR55">
        <v>0</v>
      </c>
      <c r="BS55">
        <v>500</v>
      </c>
      <c r="BT55">
        <v>0</v>
      </c>
      <c r="BU55">
        <v>0</v>
      </c>
      <c r="BV55">
        <v>0</v>
      </c>
      <c r="BW55">
        <v>0</v>
      </c>
      <c r="BX55">
        <v>1155576</v>
      </c>
      <c r="BY55">
        <v>0</v>
      </c>
      <c r="BZ55">
        <v>4400</v>
      </c>
      <c r="CA55">
        <v>0</v>
      </c>
      <c r="CB55">
        <v>1171000</v>
      </c>
      <c r="CC55">
        <v>0</v>
      </c>
      <c r="CD55">
        <v>0</v>
      </c>
      <c r="CE55">
        <v>1175400</v>
      </c>
      <c r="CF55">
        <v>0</v>
      </c>
      <c r="CG55">
        <v>0</v>
      </c>
      <c r="CH55">
        <v>0</v>
      </c>
      <c r="CJ55" t="s">
        <v>817</v>
      </c>
      <c r="CL55" t="s">
        <v>236</v>
      </c>
      <c r="CM55">
        <v>0</v>
      </c>
      <c r="CN55">
        <v>0</v>
      </c>
      <c r="CO55">
        <v>0</v>
      </c>
      <c r="CP55">
        <v>0</v>
      </c>
      <c r="CU55">
        <v>-19824</v>
      </c>
      <c r="CV55" t="s">
        <v>628</v>
      </c>
      <c r="CW55" t="s">
        <v>629</v>
      </c>
      <c r="CX55" t="s">
        <v>615</v>
      </c>
      <c r="CY55" t="s">
        <v>616</v>
      </c>
      <c r="CZ55" t="s">
        <v>217</v>
      </c>
      <c r="DB55" t="s">
        <v>818</v>
      </c>
      <c r="DD55" t="s">
        <v>819</v>
      </c>
      <c r="DF55" t="s">
        <v>220</v>
      </c>
      <c r="DG55">
        <v>425109</v>
      </c>
      <c r="DL55">
        <v>0</v>
      </c>
      <c r="DN55">
        <v>0</v>
      </c>
      <c r="DP55" t="s">
        <v>820</v>
      </c>
      <c r="DQ55">
        <v>9541434</v>
      </c>
      <c r="DR55" t="s">
        <v>223</v>
      </c>
      <c r="DS55">
        <v>0</v>
      </c>
      <c r="DV55">
        <v>0</v>
      </c>
      <c r="EQ55" t="s">
        <v>821</v>
      </c>
      <c r="ER55" s="1">
        <v>45463</v>
      </c>
      <c r="ES55">
        <v>8500</v>
      </c>
      <c r="ET55">
        <v>697073.03</v>
      </c>
      <c r="EU55">
        <v>0</v>
      </c>
      <c r="EV55">
        <v>253070</v>
      </c>
      <c r="EW55" t="s">
        <v>822</v>
      </c>
      <c r="EX55">
        <v>0</v>
      </c>
      <c r="EY55" t="s">
        <v>226</v>
      </c>
      <c r="EZ55" t="s">
        <v>202</v>
      </c>
      <c r="FA55" t="s">
        <v>226</v>
      </c>
      <c r="FB55" t="s">
        <v>226</v>
      </c>
      <c r="FC55" t="s">
        <v>202</v>
      </c>
      <c r="FD55" t="s">
        <v>202</v>
      </c>
      <c r="FE55" t="s">
        <v>202</v>
      </c>
      <c r="FF55" t="s">
        <v>202</v>
      </c>
      <c r="FG55" t="s">
        <v>202</v>
      </c>
      <c r="FH55" t="s">
        <v>202</v>
      </c>
      <c r="FI55" t="s">
        <v>202</v>
      </c>
      <c r="FJ55" t="s">
        <v>202</v>
      </c>
      <c r="FK55" t="s">
        <v>202</v>
      </c>
      <c r="FL55" t="s">
        <v>202</v>
      </c>
      <c r="FM55" t="s">
        <v>202</v>
      </c>
      <c r="FN55" t="s">
        <v>202</v>
      </c>
      <c r="FO55">
        <v>26911</v>
      </c>
      <c r="FP55">
        <v>-11</v>
      </c>
      <c r="FQ55">
        <v>55.47</v>
      </c>
      <c r="FR55">
        <v>4738</v>
      </c>
      <c r="FS55">
        <v>0</v>
      </c>
      <c r="FT55">
        <v>0</v>
      </c>
      <c r="FW55">
        <v>0</v>
      </c>
      <c r="FX55">
        <v>0</v>
      </c>
      <c r="FY55">
        <v>0</v>
      </c>
      <c r="GA55">
        <v>-1087</v>
      </c>
    </row>
    <row r="56" spans="1:183" x14ac:dyDescent="0.3">
      <c r="A56">
        <v>11252</v>
      </c>
      <c r="B56">
        <v>55</v>
      </c>
      <c r="C56" t="s">
        <v>610</v>
      </c>
      <c r="D56" t="s">
        <v>610</v>
      </c>
      <c r="E56" t="s">
        <v>823</v>
      </c>
      <c r="F56">
        <v>2457418716</v>
      </c>
      <c r="G56">
        <v>2457418716</v>
      </c>
      <c r="H56" t="s">
        <v>824</v>
      </c>
      <c r="I56" t="s">
        <v>198</v>
      </c>
      <c r="J56" t="s">
        <v>199</v>
      </c>
      <c r="L56" t="s">
        <v>646</v>
      </c>
      <c r="O56">
        <v>8959056464</v>
      </c>
      <c r="P56" t="s">
        <v>825</v>
      </c>
      <c r="Q56" s="1">
        <v>45470</v>
      </c>
      <c r="R56" s="1">
        <v>45470</v>
      </c>
      <c r="S56" s="1">
        <v>45469</v>
      </c>
      <c r="U56" t="s">
        <v>825</v>
      </c>
      <c r="W56" t="s">
        <v>202</v>
      </c>
      <c r="AB56">
        <v>285647</v>
      </c>
      <c r="AD56" t="s">
        <v>274</v>
      </c>
      <c r="AE56">
        <v>4707</v>
      </c>
      <c r="AF56" t="s">
        <v>275</v>
      </c>
      <c r="AG56" t="s">
        <v>232</v>
      </c>
      <c r="AH56" t="s">
        <v>207</v>
      </c>
      <c r="AI56">
        <v>392248.06201599998</v>
      </c>
      <c r="AJ56">
        <v>506000</v>
      </c>
      <c r="AK56">
        <v>29</v>
      </c>
      <c r="AL56">
        <v>18000</v>
      </c>
      <c r="AM56">
        <v>0</v>
      </c>
      <c r="AN56">
        <v>0</v>
      </c>
      <c r="AO56">
        <v>3100</v>
      </c>
      <c r="AP56">
        <v>15000</v>
      </c>
      <c r="AQ56">
        <v>22000</v>
      </c>
      <c r="AR56">
        <v>0</v>
      </c>
      <c r="AS56">
        <v>0</v>
      </c>
      <c r="AT56">
        <v>0</v>
      </c>
      <c r="AU56">
        <v>0</v>
      </c>
      <c r="AV56">
        <v>11892</v>
      </c>
      <c r="AW56">
        <v>0</v>
      </c>
      <c r="AX56">
        <v>0</v>
      </c>
      <c r="AY56">
        <v>69992</v>
      </c>
      <c r="AZ56">
        <v>436008</v>
      </c>
      <c r="BA56">
        <v>27000</v>
      </c>
      <c r="BB56">
        <v>0</v>
      </c>
      <c r="BC56">
        <v>0</v>
      </c>
      <c r="BD56">
        <v>48151</v>
      </c>
      <c r="BE56" t="s">
        <v>234</v>
      </c>
      <c r="BF56">
        <v>7883</v>
      </c>
      <c r="BG56">
        <v>0</v>
      </c>
      <c r="BH56" t="s">
        <v>209</v>
      </c>
      <c r="BI56">
        <v>20999</v>
      </c>
      <c r="BJ56">
        <v>885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500</v>
      </c>
      <c r="BT56">
        <v>0</v>
      </c>
      <c r="BU56">
        <v>0</v>
      </c>
      <c r="BV56">
        <v>0</v>
      </c>
      <c r="BW56">
        <v>0</v>
      </c>
      <c r="BX56">
        <v>541426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462426</v>
      </c>
      <c r="CJ56" t="s">
        <v>210</v>
      </c>
      <c r="CL56" t="s">
        <v>211</v>
      </c>
      <c r="CM56">
        <v>300000</v>
      </c>
      <c r="CN56">
        <v>0</v>
      </c>
      <c r="CO56">
        <v>0</v>
      </c>
      <c r="CP56">
        <v>300000</v>
      </c>
      <c r="CQ56" t="s">
        <v>826</v>
      </c>
      <c r="CT56" t="s">
        <v>827</v>
      </c>
      <c r="CU56">
        <v>-221000</v>
      </c>
      <c r="CV56" t="s">
        <v>785</v>
      </c>
      <c r="CW56" t="s">
        <v>786</v>
      </c>
      <c r="CX56" t="s">
        <v>687</v>
      </c>
      <c r="CY56" t="s">
        <v>688</v>
      </c>
      <c r="CZ56" t="s">
        <v>217</v>
      </c>
      <c r="DB56" t="s">
        <v>828</v>
      </c>
      <c r="DD56" t="s">
        <v>829</v>
      </c>
      <c r="DF56" t="s">
        <v>220</v>
      </c>
      <c r="DG56">
        <v>450331</v>
      </c>
      <c r="DL56">
        <v>0</v>
      </c>
      <c r="DN56">
        <v>0</v>
      </c>
      <c r="DP56" t="s">
        <v>830</v>
      </c>
      <c r="DQ56">
        <v>1266189</v>
      </c>
      <c r="DR56" t="s">
        <v>223</v>
      </c>
      <c r="DS56">
        <v>7882.4</v>
      </c>
      <c r="DT56" s="1">
        <v>45470</v>
      </c>
      <c r="DU56" t="s">
        <v>831</v>
      </c>
      <c r="DV56">
        <v>0</v>
      </c>
      <c r="DW56">
        <v>1.5</v>
      </c>
      <c r="DX56">
        <v>6936.39</v>
      </c>
      <c r="DY56">
        <v>1248.55</v>
      </c>
      <c r="DZ56">
        <v>8184.94</v>
      </c>
      <c r="EC56">
        <v>0</v>
      </c>
      <c r="EQ56" t="s">
        <v>832</v>
      </c>
      <c r="ER56" s="1">
        <v>45440</v>
      </c>
      <c r="ES56">
        <v>4500</v>
      </c>
      <c r="ET56">
        <v>356119.94</v>
      </c>
      <c r="EU56">
        <v>10852.7</v>
      </c>
      <c r="EV56">
        <v>253780</v>
      </c>
      <c r="EW56" t="s">
        <v>833</v>
      </c>
      <c r="EX56">
        <v>0</v>
      </c>
      <c r="EY56" t="s">
        <v>226</v>
      </c>
      <c r="EZ56" t="s">
        <v>226</v>
      </c>
      <c r="FA56" t="s">
        <v>226</v>
      </c>
      <c r="FB56" t="s">
        <v>226</v>
      </c>
      <c r="FC56" t="s">
        <v>202</v>
      </c>
      <c r="FD56" t="s">
        <v>202</v>
      </c>
      <c r="FE56" t="s">
        <v>202</v>
      </c>
      <c r="FF56" t="s">
        <v>202</v>
      </c>
      <c r="FG56" t="s">
        <v>202</v>
      </c>
      <c r="FH56" t="s">
        <v>202</v>
      </c>
      <c r="FI56" t="s">
        <v>202</v>
      </c>
      <c r="FJ56" t="s">
        <v>202</v>
      </c>
      <c r="FK56" t="s">
        <v>202</v>
      </c>
      <c r="FL56" t="s">
        <v>202</v>
      </c>
      <c r="FM56" t="s">
        <v>202</v>
      </c>
      <c r="FN56" t="s">
        <v>202</v>
      </c>
      <c r="FO56">
        <v>27003</v>
      </c>
      <c r="FP56">
        <v>-3</v>
      </c>
      <c r="FQ56">
        <v>59.98</v>
      </c>
      <c r="FR56">
        <v>4707</v>
      </c>
      <c r="FS56">
        <v>0</v>
      </c>
      <c r="FT56">
        <v>0</v>
      </c>
      <c r="FW56">
        <v>0</v>
      </c>
      <c r="FX56">
        <v>0</v>
      </c>
      <c r="FY56">
        <v>0</v>
      </c>
      <c r="GA56">
        <v>-1195</v>
      </c>
    </row>
    <row r="57" spans="1:183" x14ac:dyDescent="0.3">
      <c r="A57">
        <v>11269</v>
      </c>
      <c r="B57">
        <v>56</v>
      </c>
      <c r="C57" t="s">
        <v>610</v>
      </c>
      <c r="D57" t="s">
        <v>610</v>
      </c>
      <c r="E57" t="s">
        <v>834</v>
      </c>
      <c r="F57">
        <v>2457446171</v>
      </c>
      <c r="G57">
        <v>2457446171</v>
      </c>
      <c r="H57" t="s">
        <v>835</v>
      </c>
      <c r="I57" t="s">
        <v>198</v>
      </c>
      <c r="J57" t="s">
        <v>488</v>
      </c>
      <c r="L57" t="s">
        <v>613</v>
      </c>
      <c r="O57">
        <v>9960985140</v>
      </c>
      <c r="P57" t="s">
        <v>836</v>
      </c>
      <c r="Q57" s="1">
        <v>45470</v>
      </c>
      <c r="R57" s="1">
        <v>45470</v>
      </c>
      <c r="S57" s="1">
        <v>45470</v>
      </c>
      <c r="U57" t="s">
        <v>836</v>
      </c>
      <c r="W57" t="s">
        <v>202</v>
      </c>
      <c r="AB57" t="s">
        <v>837</v>
      </c>
      <c r="AD57" t="s">
        <v>310</v>
      </c>
      <c r="AE57">
        <v>4763</v>
      </c>
      <c r="AF57" t="s">
        <v>355</v>
      </c>
      <c r="AG57" t="s">
        <v>232</v>
      </c>
      <c r="AH57" t="s">
        <v>207</v>
      </c>
      <c r="AI57">
        <v>434883.62790700002</v>
      </c>
      <c r="AJ57">
        <v>561000</v>
      </c>
      <c r="AK57">
        <v>29</v>
      </c>
      <c r="AL57">
        <v>10000</v>
      </c>
      <c r="AM57">
        <v>0</v>
      </c>
      <c r="AN57">
        <v>0</v>
      </c>
      <c r="AO57">
        <v>3100</v>
      </c>
      <c r="AP57">
        <v>0</v>
      </c>
      <c r="AQ57">
        <v>15000</v>
      </c>
      <c r="AR57">
        <v>0</v>
      </c>
      <c r="AS57">
        <v>0</v>
      </c>
      <c r="AT57">
        <v>0</v>
      </c>
      <c r="AU57">
        <v>0</v>
      </c>
      <c r="AV57">
        <v>8500</v>
      </c>
      <c r="AW57">
        <v>0</v>
      </c>
      <c r="AX57">
        <v>0</v>
      </c>
      <c r="AY57">
        <v>36600</v>
      </c>
      <c r="AZ57">
        <v>524400</v>
      </c>
      <c r="BA57">
        <v>11500</v>
      </c>
      <c r="BB57">
        <v>0</v>
      </c>
      <c r="BC57">
        <v>0</v>
      </c>
      <c r="BD57">
        <v>5000</v>
      </c>
      <c r="BE57" t="s">
        <v>208</v>
      </c>
      <c r="BF57">
        <v>0</v>
      </c>
      <c r="BG57">
        <v>0</v>
      </c>
      <c r="BH57" t="s">
        <v>209</v>
      </c>
      <c r="BI57">
        <v>26044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500</v>
      </c>
      <c r="BT57">
        <v>0</v>
      </c>
      <c r="BU57">
        <v>0</v>
      </c>
      <c r="BV57">
        <v>0</v>
      </c>
      <c r="BW57">
        <v>0</v>
      </c>
      <c r="BX57">
        <v>567444</v>
      </c>
      <c r="BY57">
        <v>0</v>
      </c>
      <c r="BZ57">
        <v>0</v>
      </c>
      <c r="CA57">
        <v>0</v>
      </c>
      <c r="CB57">
        <v>144600</v>
      </c>
      <c r="CC57">
        <v>0</v>
      </c>
      <c r="CD57">
        <v>0</v>
      </c>
      <c r="CE57">
        <v>144600</v>
      </c>
      <c r="CF57">
        <v>0</v>
      </c>
      <c r="CG57">
        <v>0</v>
      </c>
      <c r="CH57">
        <v>414337</v>
      </c>
      <c r="CJ57" t="s">
        <v>276</v>
      </c>
      <c r="CL57" t="s">
        <v>211</v>
      </c>
      <c r="CM57">
        <v>0</v>
      </c>
      <c r="CN57">
        <v>0</v>
      </c>
      <c r="CO57">
        <v>0</v>
      </c>
      <c r="CP57">
        <v>0</v>
      </c>
      <c r="CU57">
        <v>8507</v>
      </c>
      <c r="CV57" t="s">
        <v>615</v>
      </c>
      <c r="CW57" t="s">
        <v>616</v>
      </c>
      <c r="CX57" t="s">
        <v>685</v>
      </c>
      <c r="CY57" t="s">
        <v>686</v>
      </c>
      <c r="CZ57" t="s">
        <v>217</v>
      </c>
      <c r="DB57" t="s">
        <v>838</v>
      </c>
      <c r="DD57" t="s">
        <v>839</v>
      </c>
      <c r="DF57" t="s">
        <v>220</v>
      </c>
      <c r="DG57">
        <v>425310</v>
      </c>
      <c r="DL57">
        <v>0</v>
      </c>
      <c r="DN57">
        <v>0</v>
      </c>
      <c r="DP57" t="s">
        <v>840</v>
      </c>
      <c r="DQ57">
        <v>4268983</v>
      </c>
      <c r="DR57" t="s">
        <v>223</v>
      </c>
      <c r="DS57">
        <v>0</v>
      </c>
      <c r="DV57">
        <v>0</v>
      </c>
      <c r="DW57">
        <v>1</v>
      </c>
      <c r="DX57">
        <v>4143.37</v>
      </c>
      <c r="DY57">
        <v>745.81</v>
      </c>
      <c r="DZ57">
        <v>4889.18</v>
      </c>
      <c r="EC57">
        <v>0</v>
      </c>
      <c r="EQ57" t="s">
        <v>841</v>
      </c>
      <c r="ER57" s="1">
        <v>45458</v>
      </c>
      <c r="ES57">
        <v>3000</v>
      </c>
      <c r="ET57">
        <v>404981.86</v>
      </c>
      <c r="EU57">
        <v>5426.4</v>
      </c>
      <c r="EV57">
        <v>253879</v>
      </c>
      <c r="EW57" t="s">
        <v>842</v>
      </c>
      <c r="EX57">
        <v>0</v>
      </c>
      <c r="EY57" t="s">
        <v>226</v>
      </c>
      <c r="EZ57" t="s">
        <v>202</v>
      </c>
      <c r="FA57" t="s">
        <v>226</v>
      </c>
      <c r="FB57" t="s">
        <v>226</v>
      </c>
      <c r="FC57" t="s">
        <v>202</v>
      </c>
      <c r="FD57" t="s">
        <v>202</v>
      </c>
      <c r="FE57" t="s">
        <v>202</v>
      </c>
      <c r="FF57" t="s">
        <v>202</v>
      </c>
      <c r="FG57" t="s">
        <v>202</v>
      </c>
      <c r="FH57" t="s">
        <v>202</v>
      </c>
      <c r="FI57" t="s">
        <v>202</v>
      </c>
      <c r="FJ57" t="s">
        <v>202</v>
      </c>
      <c r="FK57" t="s">
        <v>202</v>
      </c>
      <c r="FL57" t="s">
        <v>202</v>
      </c>
      <c r="FM57" t="s">
        <v>202</v>
      </c>
      <c r="FN57" t="s">
        <v>202</v>
      </c>
      <c r="FO57">
        <v>11493</v>
      </c>
      <c r="FP57">
        <v>7</v>
      </c>
      <c r="FQ57">
        <v>0</v>
      </c>
      <c r="FR57">
        <v>4763</v>
      </c>
      <c r="FS57">
        <v>0</v>
      </c>
      <c r="FT57">
        <v>0</v>
      </c>
      <c r="FW57">
        <v>0</v>
      </c>
      <c r="FX57">
        <v>0</v>
      </c>
      <c r="FY57">
        <v>0</v>
      </c>
      <c r="GA57">
        <v>8500</v>
      </c>
    </row>
    <row r="58" spans="1:183" x14ac:dyDescent="0.3">
      <c r="A58">
        <v>11273</v>
      </c>
      <c r="B58">
        <v>57</v>
      </c>
      <c r="C58" t="s">
        <v>610</v>
      </c>
      <c r="D58" t="s">
        <v>610</v>
      </c>
      <c r="E58" t="s">
        <v>843</v>
      </c>
      <c r="F58">
        <v>2457056848</v>
      </c>
      <c r="G58">
        <v>2457056848</v>
      </c>
      <c r="H58" t="s">
        <v>844</v>
      </c>
      <c r="I58" t="s">
        <v>198</v>
      </c>
      <c r="J58" t="s">
        <v>488</v>
      </c>
      <c r="L58" t="s">
        <v>613</v>
      </c>
      <c r="O58">
        <v>8975946248</v>
      </c>
      <c r="P58" t="s">
        <v>845</v>
      </c>
      <c r="Q58" s="1">
        <v>45471</v>
      </c>
      <c r="R58" s="1">
        <v>45471</v>
      </c>
      <c r="S58" s="1">
        <v>45470</v>
      </c>
      <c r="U58" t="s">
        <v>845</v>
      </c>
      <c r="W58" t="s">
        <v>202</v>
      </c>
      <c r="AB58">
        <v>825835</v>
      </c>
      <c r="AD58" t="s">
        <v>287</v>
      </c>
      <c r="AE58">
        <v>4738</v>
      </c>
      <c r="AF58" t="s">
        <v>288</v>
      </c>
      <c r="AG58" t="s">
        <v>206</v>
      </c>
      <c r="AH58" t="s">
        <v>250</v>
      </c>
      <c r="AI58">
        <v>743448.26896599995</v>
      </c>
      <c r="AJ58">
        <v>1077999</v>
      </c>
      <c r="AK58">
        <v>45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1077999</v>
      </c>
      <c r="BA58">
        <v>42000</v>
      </c>
      <c r="BB58">
        <v>0</v>
      </c>
      <c r="BC58">
        <v>0</v>
      </c>
      <c r="BD58">
        <v>5000</v>
      </c>
      <c r="BE58" t="s">
        <v>234</v>
      </c>
      <c r="BF58">
        <v>18327</v>
      </c>
      <c r="BG58">
        <v>5216</v>
      </c>
      <c r="BH58" t="s">
        <v>209</v>
      </c>
      <c r="BI58">
        <v>33000</v>
      </c>
      <c r="BJ58">
        <v>885</v>
      </c>
      <c r="BK58">
        <v>0</v>
      </c>
      <c r="BL58">
        <v>0</v>
      </c>
      <c r="BM58">
        <v>0</v>
      </c>
      <c r="BN58">
        <v>10789</v>
      </c>
      <c r="BO58">
        <v>0</v>
      </c>
      <c r="BP58">
        <v>0</v>
      </c>
      <c r="BQ58">
        <v>0</v>
      </c>
      <c r="BR58">
        <v>0</v>
      </c>
      <c r="BS58">
        <v>500</v>
      </c>
      <c r="BT58">
        <v>0</v>
      </c>
      <c r="BU58">
        <v>0</v>
      </c>
      <c r="BV58">
        <v>0</v>
      </c>
      <c r="BW58">
        <v>0</v>
      </c>
      <c r="BX58">
        <v>1193716</v>
      </c>
      <c r="BY58">
        <v>0</v>
      </c>
      <c r="BZ58">
        <v>0</v>
      </c>
      <c r="CA58">
        <v>0</v>
      </c>
      <c r="CB58">
        <v>1170000</v>
      </c>
      <c r="CC58">
        <v>0</v>
      </c>
      <c r="CD58">
        <v>0</v>
      </c>
      <c r="CE58">
        <v>1170000</v>
      </c>
      <c r="CF58">
        <v>0</v>
      </c>
      <c r="CG58">
        <v>0</v>
      </c>
      <c r="CH58">
        <v>1000000</v>
      </c>
      <c r="CJ58" t="s">
        <v>251</v>
      </c>
      <c r="CL58" t="s">
        <v>236</v>
      </c>
      <c r="CM58">
        <v>0</v>
      </c>
      <c r="CN58">
        <v>0</v>
      </c>
      <c r="CO58">
        <v>0</v>
      </c>
      <c r="CP58">
        <v>0</v>
      </c>
      <c r="CU58">
        <v>-976284</v>
      </c>
      <c r="CV58" t="s">
        <v>846</v>
      </c>
      <c r="CW58" t="s">
        <v>847</v>
      </c>
      <c r="CX58" t="s">
        <v>846</v>
      </c>
      <c r="CY58" t="s">
        <v>847</v>
      </c>
      <c r="CZ58" t="s">
        <v>217</v>
      </c>
      <c r="DB58" t="s">
        <v>848</v>
      </c>
      <c r="DD58" t="s">
        <v>849</v>
      </c>
      <c r="DF58" t="s">
        <v>220</v>
      </c>
      <c r="DG58">
        <v>425001</v>
      </c>
      <c r="DL58">
        <v>0</v>
      </c>
      <c r="DN58">
        <v>0</v>
      </c>
      <c r="DP58" t="s">
        <v>850</v>
      </c>
      <c r="DQ58">
        <v>9534295</v>
      </c>
      <c r="DR58" t="s">
        <v>223</v>
      </c>
      <c r="DS58">
        <v>18325.400000000001</v>
      </c>
      <c r="DT58" s="1">
        <v>45471</v>
      </c>
      <c r="DU58" t="s">
        <v>851</v>
      </c>
      <c r="DV58">
        <v>0</v>
      </c>
      <c r="DW58">
        <v>1.27</v>
      </c>
      <c r="DX58">
        <v>12700</v>
      </c>
      <c r="DY58">
        <v>2286</v>
      </c>
      <c r="DZ58">
        <v>14986</v>
      </c>
      <c r="EC58">
        <v>0</v>
      </c>
      <c r="EQ58" t="s">
        <v>852</v>
      </c>
      <c r="ER58" s="1">
        <v>45463</v>
      </c>
      <c r="ES58">
        <v>8500</v>
      </c>
      <c r="ET58">
        <v>697073.03</v>
      </c>
      <c r="EU58">
        <v>0</v>
      </c>
      <c r="EV58">
        <v>249397</v>
      </c>
      <c r="EW58" t="s">
        <v>853</v>
      </c>
      <c r="EX58">
        <v>0</v>
      </c>
      <c r="EY58" t="s">
        <v>226</v>
      </c>
      <c r="EZ58" t="s">
        <v>226</v>
      </c>
      <c r="FA58" t="s">
        <v>226</v>
      </c>
      <c r="FB58" t="s">
        <v>226</v>
      </c>
      <c r="FC58" t="s">
        <v>202</v>
      </c>
      <c r="FD58" t="s">
        <v>202</v>
      </c>
      <c r="FE58" t="s">
        <v>202</v>
      </c>
      <c r="FF58" t="s">
        <v>202</v>
      </c>
      <c r="FG58" t="s">
        <v>202</v>
      </c>
      <c r="FH58" t="s">
        <v>202</v>
      </c>
      <c r="FI58" t="s">
        <v>202</v>
      </c>
      <c r="FJ58" t="s">
        <v>202</v>
      </c>
      <c r="FK58" t="s">
        <v>202</v>
      </c>
      <c r="FL58" t="s">
        <v>202</v>
      </c>
      <c r="FM58" t="s">
        <v>202</v>
      </c>
      <c r="FN58" t="s">
        <v>202</v>
      </c>
      <c r="FO58">
        <v>41009</v>
      </c>
      <c r="FP58">
        <v>991</v>
      </c>
      <c r="FQ58">
        <v>0</v>
      </c>
      <c r="FR58">
        <v>4738</v>
      </c>
      <c r="FS58">
        <v>0</v>
      </c>
      <c r="FT58">
        <v>0</v>
      </c>
      <c r="FW58">
        <v>0</v>
      </c>
      <c r="FX58">
        <v>0</v>
      </c>
      <c r="FY58">
        <v>0</v>
      </c>
      <c r="GA58">
        <v>21839</v>
      </c>
    </row>
    <row r="59" spans="1:183" x14ac:dyDescent="0.3">
      <c r="A59">
        <v>11282</v>
      </c>
      <c r="B59">
        <v>58</v>
      </c>
      <c r="C59" t="s">
        <v>610</v>
      </c>
      <c r="D59" t="s">
        <v>610</v>
      </c>
      <c r="E59" t="s">
        <v>854</v>
      </c>
      <c r="F59">
        <v>2457512838</v>
      </c>
      <c r="G59">
        <v>2457512838</v>
      </c>
      <c r="H59" t="s">
        <v>855</v>
      </c>
      <c r="I59" t="s">
        <v>198</v>
      </c>
      <c r="J59" t="s">
        <v>488</v>
      </c>
      <c r="L59" t="s">
        <v>613</v>
      </c>
      <c r="O59">
        <v>9766665770</v>
      </c>
      <c r="P59" t="s">
        <v>856</v>
      </c>
      <c r="Q59" s="1">
        <v>45473</v>
      </c>
      <c r="R59" s="1">
        <v>45473</v>
      </c>
      <c r="S59" s="1">
        <v>45473</v>
      </c>
      <c r="U59" t="s">
        <v>856</v>
      </c>
      <c r="W59" t="s">
        <v>202</v>
      </c>
      <c r="AB59">
        <v>825778</v>
      </c>
      <c r="AD59" t="s">
        <v>287</v>
      </c>
      <c r="AE59">
        <v>4725</v>
      </c>
      <c r="AF59" t="s">
        <v>405</v>
      </c>
      <c r="AG59" t="s">
        <v>232</v>
      </c>
      <c r="AH59" t="s">
        <v>250</v>
      </c>
      <c r="AI59">
        <v>677931.02069000003</v>
      </c>
      <c r="AJ59">
        <v>982999</v>
      </c>
      <c r="AK59">
        <v>45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1000</v>
      </c>
      <c r="AW59">
        <v>0</v>
      </c>
      <c r="AX59">
        <v>0</v>
      </c>
      <c r="AY59">
        <v>1000</v>
      </c>
      <c r="AZ59">
        <v>981999</v>
      </c>
      <c r="BA59">
        <v>40891</v>
      </c>
      <c r="BB59">
        <v>0</v>
      </c>
      <c r="BC59">
        <v>0</v>
      </c>
      <c r="BD59">
        <v>5000</v>
      </c>
      <c r="BE59" t="s">
        <v>234</v>
      </c>
      <c r="BF59">
        <v>16709</v>
      </c>
      <c r="BG59">
        <v>0</v>
      </c>
      <c r="BH59" t="s">
        <v>209</v>
      </c>
      <c r="BI59">
        <v>35001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500</v>
      </c>
      <c r="BT59">
        <v>0</v>
      </c>
      <c r="BU59">
        <v>0</v>
      </c>
      <c r="BV59">
        <v>0</v>
      </c>
      <c r="BW59">
        <v>0</v>
      </c>
      <c r="BX59">
        <v>1080100</v>
      </c>
      <c r="BY59">
        <v>0</v>
      </c>
      <c r="BZ59">
        <v>0</v>
      </c>
      <c r="CA59">
        <v>0</v>
      </c>
      <c r="CB59">
        <v>200100</v>
      </c>
      <c r="CC59">
        <v>0</v>
      </c>
      <c r="CD59">
        <v>0</v>
      </c>
      <c r="CE59">
        <v>200100</v>
      </c>
      <c r="CF59">
        <v>0</v>
      </c>
      <c r="CG59">
        <v>0</v>
      </c>
      <c r="CH59">
        <v>0</v>
      </c>
      <c r="CJ59" t="s">
        <v>817</v>
      </c>
      <c r="CL59" t="s">
        <v>236</v>
      </c>
      <c r="CM59">
        <v>0</v>
      </c>
      <c r="CN59">
        <v>0</v>
      </c>
      <c r="CO59">
        <v>0</v>
      </c>
      <c r="CP59">
        <v>0</v>
      </c>
      <c r="CU59">
        <v>880000</v>
      </c>
      <c r="CV59" t="s">
        <v>615</v>
      </c>
      <c r="CW59" t="s">
        <v>616</v>
      </c>
      <c r="CX59" t="s">
        <v>687</v>
      </c>
      <c r="CY59" t="s">
        <v>688</v>
      </c>
      <c r="CZ59" t="s">
        <v>217</v>
      </c>
      <c r="DB59" t="s">
        <v>857</v>
      </c>
      <c r="DD59" t="s">
        <v>858</v>
      </c>
      <c r="DF59" t="s">
        <v>220</v>
      </c>
      <c r="DG59">
        <v>425001</v>
      </c>
      <c r="DL59">
        <v>0</v>
      </c>
      <c r="DN59">
        <v>0</v>
      </c>
      <c r="DP59" t="s">
        <v>859</v>
      </c>
      <c r="DQ59">
        <v>9540018</v>
      </c>
      <c r="DR59" t="s">
        <v>223</v>
      </c>
      <c r="DS59">
        <v>16708.8</v>
      </c>
      <c r="DT59" s="1">
        <v>45473</v>
      </c>
      <c r="DU59" t="s">
        <v>860</v>
      </c>
      <c r="DV59">
        <v>0</v>
      </c>
      <c r="EQ59" t="s">
        <v>861</v>
      </c>
      <c r="ER59" s="1">
        <v>45463</v>
      </c>
      <c r="ES59">
        <v>8500</v>
      </c>
      <c r="ET59">
        <v>632556.03</v>
      </c>
      <c r="EU59">
        <v>0</v>
      </c>
      <c r="EV59">
        <v>254778</v>
      </c>
      <c r="EW59" t="s">
        <v>862</v>
      </c>
      <c r="EX59">
        <v>0</v>
      </c>
      <c r="EY59" t="s">
        <v>226</v>
      </c>
      <c r="EZ59" t="s">
        <v>226</v>
      </c>
      <c r="FA59" t="s">
        <v>226</v>
      </c>
      <c r="FB59" t="s">
        <v>226</v>
      </c>
      <c r="FC59" t="s">
        <v>202</v>
      </c>
      <c r="FD59" t="s">
        <v>202</v>
      </c>
      <c r="FE59" t="s">
        <v>202</v>
      </c>
      <c r="FF59" t="s">
        <v>202</v>
      </c>
      <c r="FG59" t="s">
        <v>202</v>
      </c>
      <c r="FH59" t="s">
        <v>202</v>
      </c>
      <c r="FI59" t="s">
        <v>202</v>
      </c>
      <c r="FJ59" t="s">
        <v>202</v>
      </c>
      <c r="FK59" t="s">
        <v>202</v>
      </c>
      <c r="FL59" t="s">
        <v>202</v>
      </c>
      <c r="FM59" t="s">
        <v>202</v>
      </c>
      <c r="FN59" t="s">
        <v>202</v>
      </c>
      <c r="FO59">
        <v>0</v>
      </c>
      <c r="FP59">
        <v>40891</v>
      </c>
      <c r="FQ59">
        <v>0</v>
      </c>
      <c r="FR59">
        <v>4725</v>
      </c>
      <c r="FS59">
        <v>0</v>
      </c>
      <c r="FT59">
        <v>0</v>
      </c>
      <c r="FW59">
        <v>0</v>
      </c>
      <c r="FX59">
        <v>0</v>
      </c>
      <c r="FY59">
        <v>0</v>
      </c>
      <c r="GA59">
        <v>875325</v>
      </c>
    </row>
    <row r="60" spans="1:183" x14ac:dyDescent="0.3">
      <c r="A60">
        <v>11296</v>
      </c>
      <c r="B60">
        <v>59</v>
      </c>
      <c r="C60" t="s">
        <v>610</v>
      </c>
      <c r="D60" t="s">
        <v>610</v>
      </c>
      <c r="E60" t="s">
        <v>863</v>
      </c>
      <c r="F60">
        <v>2457515852</v>
      </c>
      <c r="G60">
        <v>2457515852</v>
      </c>
      <c r="H60" t="s">
        <v>864</v>
      </c>
      <c r="I60" t="s">
        <v>198</v>
      </c>
      <c r="J60" t="s">
        <v>199</v>
      </c>
      <c r="L60" t="s">
        <v>646</v>
      </c>
      <c r="O60">
        <v>9669048957</v>
      </c>
      <c r="P60" t="s">
        <v>865</v>
      </c>
      <c r="Q60" s="1">
        <v>45473</v>
      </c>
      <c r="R60" s="1">
        <v>45473</v>
      </c>
      <c r="S60" s="1">
        <v>45473</v>
      </c>
      <c r="U60" t="s">
        <v>865</v>
      </c>
      <c r="W60" t="s">
        <v>202</v>
      </c>
      <c r="AB60">
        <v>264994</v>
      </c>
      <c r="AD60" t="s">
        <v>274</v>
      </c>
      <c r="AE60">
        <v>4706</v>
      </c>
      <c r="AF60" t="s">
        <v>275</v>
      </c>
      <c r="AG60" t="s">
        <v>232</v>
      </c>
      <c r="AH60" t="s">
        <v>207</v>
      </c>
      <c r="AI60">
        <v>414728.68217099999</v>
      </c>
      <c r="AJ60">
        <v>535000</v>
      </c>
      <c r="AK60">
        <v>29</v>
      </c>
      <c r="AL60">
        <v>18000</v>
      </c>
      <c r="AM60">
        <v>0</v>
      </c>
      <c r="AN60">
        <v>0</v>
      </c>
      <c r="AO60">
        <v>3100</v>
      </c>
      <c r="AP60">
        <v>0</v>
      </c>
      <c r="AQ60">
        <v>25302</v>
      </c>
      <c r="AR60">
        <v>0</v>
      </c>
      <c r="AS60">
        <v>0</v>
      </c>
      <c r="AT60">
        <v>0</v>
      </c>
      <c r="AU60">
        <v>0</v>
      </c>
      <c r="AV60">
        <v>1698</v>
      </c>
      <c r="AW60">
        <v>0</v>
      </c>
      <c r="AX60">
        <v>0</v>
      </c>
      <c r="AY60">
        <v>48100</v>
      </c>
      <c r="AZ60">
        <v>486900</v>
      </c>
      <c r="BA60">
        <v>36221</v>
      </c>
      <c r="BB60">
        <v>0</v>
      </c>
      <c r="BC60">
        <v>0</v>
      </c>
      <c r="BD60">
        <v>50471</v>
      </c>
      <c r="BE60" t="s">
        <v>234</v>
      </c>
      <c r="BF60">
        <v>8343</v>
      </c>
      <c r="BG60">
        <v>2680</v>
      </c>
      <c r="BH60" t="s">
        <v>209</v>
      </c>
      <c r="BI60">
        <v>21000</v>
      </c>
      <c r="BJ60">
        <v>885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500</v>
      </c>
      <c r="BT60">
        <v>0</v>
      </c>
      <c r="BU60">
        <v>0</v>
      </c>
      <c r="BV60">
        <v>0</v>
      </c>
      <c r="BW60">
        <v>0</v>
      </c>
      <c r="BX60">
        <v>607000</v>
      </c>
      <c r="BY60">
        <v>0</v>
      </c>
      <c r="BZ60">
        <v>0</v>
      </c>
      <c r="CA60">
        <v>0</v>
      </c>
      <c r="CB60">
        <v>11000</v>
      </c>
      <c r="CC60">
        <v>0</v>
      </c>
      <c r="CD60">
        <v>0</v>
      </c>
      <c r="CE60">
        <v>11000</v>
      </c>
      <c r="CF60">
        <v>0</v>
      </c>
      <c r="CG60">
        <v>0</v>
      </c>
      <c r="CH60">
        <v>530000</v>
      </c>
      <c r="CJ60" t="s">
        <v>251</v>
      </c>
      <c r="CL60" t="s">
        <v>236</v>
      </c>
      <c r="CM60">
        <v>0</v>
      </c>
      <c r="CN60">
        <v>0</v>
      </c>
      <c r="CO60">
        <v>0</v>
      </c>
      <c r="CP60">
        <v>0</v>
      </c>
      <c r="CU60">
        <v>66000</v>
      </c>
      <c r="CV60" t="s">
        <v>846</v>
      </c>
      <c r="CW60" t="s">
        <v>847</v>
      </c>
      <c r="CX60" t="s">
        <v>846</v>
      </c>
      <c r="CY60" t="s">
        <v>847</v>
      </c>
      <c r="CZ60" t="s">
        <v>217</v>
      </c>
      <c r="DB60" t="s">
        <v>866</v>
      </c>
      <c r="DD60" t="s">
        <v>867</v>
      </c>
      <c r="DF60" t="s">
        <v>220</v>
      </c>
      <c r="DG60">
        <v>450331</v>
      </c>
      <c r="DL60">
        <v>0</v>
      </c>
      <c r="DN60">
        <v>0</v>
      </c>
      <c r="DP60" t="s">
        <v>868</v>
      </c>
      <c r="DQ60">
        <v>1244740</v>
      </c>
      <c r="DR60" t="s">
        <v>223</v>
      </c>
      <c r="DS60">
        <v>0</v>
      </c>
      <c r="DV60">
        <v>0</v>
      </c>
      <c r="DW60">
        <v>1.27</v>
      </c>
      <c r="DX60">
        <v>6731</v>
      </c>
      <c r="DY60">
        <v>1211.58</v>
      </c>
      <c r="DZ60">
        <v>7942.58</v>
      </c>
      <c r="EC60">
        <v>0</v>
      </c>
      <c r="EQ60" t="s">
        <v>869</v>
      </c>
      <c r="ER60" s="1">
        <v>45345</v>
      </c>
      <c r="ES60">
        <v>4500</v>
      </c>
      <c r="ET60">
        <v>378600.97</v>
      </c>
      <c r="EU60">
        <v>10852.71</v>
      </c>
      <c r="EV60">
        <v>254889</v>
      </c>
      <c r="EW60" t="s">
        <v>870</v>
      </c>
      <c r="EX60">
        <v>0</v>
      </c>
      <c r="EY60" t="s">
        <v>226</v>
      </c>
      <c r="EZ60" t="s">
        <v>226</v>
      </c>
      <c r="FA60" t="s">
        <v>226</v>
      </c>
      <c r="FB60" t="s">
        <v>226</v>
      </c>
      <c r="FC60" t="s">
        <v>202</v>
      </c>
      <c r="FD60" t="s">
        <v>202</v>
      </c>
      <c r="FE60" t="s">
        <v>202</v>
      </c>
      <c r="FF60" t="s">
        <v>202</v>
      </c>
      <c r="FG60" t="s">
        <v>202</v>
      </c>
      <c r="FH60" t="s">
        <v>202</v>
      </c>
      <c r="FI60" t="s">
        <v>202</v>
      </c>
      <c r="FJ60" t="s">
        <v>202</v>
      </c>
      <c r="FK60" t="s">
        <v>202</v>
      </c>
      <c r="FL60" t="s">
        <v>202</v>
      </c>
      <c r="FM60" t="s">
        <v>202</v>
      </c>
      <c r="FN60" t="s">
        <v>202</v>
      </c>
      <c r="FO60">
        <v>0</v>
      </c>
      <c r="FP60">
        <v>36221</v>
      </c>
      <c r="FQ60">
        <v>0</v>
      </c>
      <c r="FR60">
        <v>4706</v>
      </c>
      <c r="FS60">
        <v>0</v>
      </c>
      <c r="FT60">
        <v>0</v>
      </c>
      <c r="FW60">
        <v>0</v>
      </c>
      <c r="FX60">
        <v>0</v>
      </c>
      <c r="FY60">
        <v>0</v>
      </c>
      <c r="GA60">
        <v>558894</v>
      </c>
    </row>
    <row r="61" spans="1:183" x14ac:dyDescent="0.3">
      <c r="A61">
        <v>11067</v>
      </c>
      <c r="B61">
        <v>60</v>
      </c>
      <c r="C61" t="s">
        <v>871</v>
      </c>
      <c r="D61" t="s">
        <v>871</v>
      </c>
      <c r="E61" t="s">
        <v>872</v>
      </c>
      <c r="F61">
        <v>2457114448</v>
      </c>
      <c r="G61">
        <v>2457114448</v>
      </c>
      <c r="H61" t="s">
        <v>873</v>
      </c>
      <c r="I61" t="s">
        <v>198</v>
      </c>
      <c r="J61" t="s">
        <v>199</v>
      </c>
      <c r="L61" t="s">
        <v>874</v>
      </c>
      <c r="O61">
        <v>9098123933</v>
      </c>
      <c r="P61" t="s">
        <v>875</v>
      </c>
      <c r="Q61" s="1">
        <v>45447</v>
      </c>
      <c r="R61" s="1">
        <v>45447</v>
      </c>
      <c r="S61" s="1">
        <v>45446</v>
      </c>
      <c r="U61" t="s">
        <v>875</v>
      </c>
      <c r="W61" t="s">
        <v>202</v>
      </c>
      <c r="AB61" t="s">
        <v>876</v>
      </c>
      <c r="AD61" t="s">
        <v>310</v>
      </c>
      <c r="AE61">
        <v>4765</v>
      </c>
      <c r="AF61" t="s">
        <v>367</v>
      </c>
      <c r="AG61" t="s">
        <v>232</v>
      </c>
      <c r="AH61" t="s">
        <v>207</v>
      </c>
      <c r="AI61">
        <v>440309.992248</v>
      </c>
      <c r="AJ61">
        <v>568000</v>
      </c>
      <c r="AK61">
        <v>29</v>
      </c>
      <c r="AL61">
        <v>10000</v>
      </c>
      <c r="AM61">
        <v>0</v>
      </c>
      <c r="AN61">
        <v>0</v>
      </c>
      <c r="AO61">
        <v>3100</v>
      </c>
      <c r="AP61">
        <v>0</v>
      </c>
      <c r="AQ61">
        <v>15000</v>
      </c>
      <c r="AR61">
        <v>0</v>
      </c>
      <c r="AS61">
        <v>0</v>
      </c>
      <c r="AT61">
        <v>0</v>
      </c>
      <c r="AU61">
        <v>0</v>
      </c>
      <c r="AV61">
        <v>15000</v>
      </c>
      <c r="AW61">
        <v>0</v>
      </c>
      <c r="AX61">
        <v>0</v>
      </c>
      <c r="AY61">
        <v>43100</v>
      </c>
      <c r="AZ61">
        <v>524900</v>
      </c>
      <c r="BA61">
        <v>30000</v>
      </c>
      <c r="BB61">
        <v>0</v>
      </c>
      <c r="BC61">
        <v>0</v>
      </c>
      <c r="BD61">
        <v>53911</v>
      </c>
      <c r="BE61" t="s">
        <v>208</v>
      </c>
      <c r="BF61">
        <v>0</v>
      </c>
      <c r="BG61">
        <v>0</v>
      </c>
      <c r="BH61" t="s">
        <v>209</v>
      </c>
      <c r="BI61">
        <v>25500</v>
      </c>
      <c r="BJ61">
        <v>885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635196</v>
      </c>
      <c r="BY61">
        <v>0</v>
      </c>
      <c r="BZ61">
        <v>1100</v>
      </c>
      <c r="CA61">
        <v>0</v>
      </c>
      <c r="CB61">
        <v>148900</v>
      </c>
      <c r="CC61">
        <v>0</v>
      </c>
      <c r="CD61">
        <v>0</v>
      </c>
      <c r="CE61">
        <v>150000</v>
      </c>
      <c r="CF61">
        <v>0</v>
      </c>
      <c r="CG61">
        <v>0</v>
      </c>
      <c r="CH61">
        <v>485000</v>
      </c>
      <c r="CJ61" t="s">
        <v>210</v>
      </c>
      <c r="CL61" t="s">
        <v>211</v>
      </c>
      <c r="CM61">
        <v>0</v>
      </c>
      <c r="CN61">
        <v>0</v>
      </c>
      <c r="CO61">
        <v>0</v>
      </c>
      <c r="CP61">
        <v>0</v>
      </c>
      <c r="CU61">
        <v>196</v>
      </c>
      <c r="CV61" t="s">
        <v>877</v>
      </c>
      <c r="CW61" t="s">
        <v>878</v>
      </c>
      <c r="CX61" t="s">
        <v>879</v>
      </c>
      <c r="CY61" t="s">
        <v>880</v>
      </c>
      <c r="CZ61" t="s">
        <v>217</v>
      </c>
      <c r="DB61" t="s">
        <v>881</v>
      </c>
      <c r="DD61" t="s">
        <v>882</v>
      </c>
      <c r="DF61" t="s">
        <v>220</v>
      </c>
      <c r="DG61">
        <v>461331</v>
      </c>
      <c r="DL61">
        <v>0</v>
      </c>
      <c r="DN61">
        <v>0</v>
      </c>
      <c r="DP61" t="s">
        <v>883</v>
      </c>
      <c r="DQ61">
        <v>4243421</v>
      </c>
      <c r="DR61" t="s">
        <v>223</v>
      </c>
      <c r="DS61">
        <v>0</v>
      </c>
      <c r="DV61">
        <v>0</v>
      </c>
      <c r="DW61">
        <v>1.5</v>
      </c>
      <c r="DX61">
        <v>7275</v>
      </c>
      <c r="DY61">
        <v>1309.5</v>
      </c>
      <c r="DZ61">
        <v>8584.5</v>
      </c>
      <c r="EC61">
        <v>0</v>
      </c>
      <c r="EQ61" t="s">
        <v>884</v>
      </c>
      <c r="ER61" s="1">
        <v>45401</v>
      </c>
      <c r="ES61">
        <v>3000</v>
      </c>
      <c r="ET61">
        <v>410408.86</v>
      </c>
      <c r="EU61">
        <v>5426.4</v>
      </c>
      <c r="EV61">
        <v>250201</v>
      </c>
      <c r="EW61" t="s">
        <v>885</v>
      </c>
      <c r="EX61">
        <v>0</v>
      </c>
      <c r="EY61" t="s">
        <v>226</v>
      </c>
      <c r="EZ61" t="s">
        <v>202</v>
      </c>
      <c r="FA61" t="s">
        <v>226</v>
      </c>
      <c r="FB61" t="s">
        <v>202</v>
      </c>
      <c r="FC61" t="s">
        <v>202</v>
      </c>
      <c r="FD61" t="s">
        <v>202</v>
      </c>
      <c r="FE61" t="s">
        <v>202</v>
      </c>
      <c r="FF61" t="s">
        <v>202</v>
      </c>
      <c r="FG61" t="s">
        <v>202</v>
      </c>
      <c r="FH61" t="s">
        <v>202</v>
      </c>
      <c r="FI61" t="s">
        <v>202</v>
      </c>
      <c r="FJ61" t="s">
        <v>202</v>
      </c>
      <c r="FK61" t="s">
        <v>202</v>
      </c>
      <c r="FL61" t="s">
        <v>202</v>
      </c>
      <c r="FM61" t="s">
        <v>202</v>
      </c>
      <c r="FN61" t="s">
        <v>202</v>
      </c>
      <c r="FO61">
        <v>30004</v>
      </c>
      <c r="FP61">
        <v>-4</v>
      </c>
      <c r="FQ61">
        <v>0</v>
      </c>
      <c r="FR61">
        <v>4765</v>
      </c>
      <c r="FS61">
        <v>0</v>
      </c>
      <c r="FT61">
        <v>0</v>
      </c>
      <c r="FW61">
        <v>0</v>
      </c>
      <c r="FX61">
        <v>0</v>
      </c>
      <c r="FY61">
        <v>0</v>
      </c>
      <c r="GA61">
        <v>-885</v>
      </c>
    </row>
    <row r="62" spans="1:183" x14ac:dyDescent="0.3">
      <c r="A62">
        <v>11092</v>
      </c>
      <c r="B62">
        <v>61</v>
      </c>
      <c r="C62" t="s">
        <v>871</v>
      </c>
      <c r="D62" t="s">
        <v>871</v>
      </c>
      <c r="E62" t="s">
        <v>886</v>
      </c>
      <c r="F62">
        <v>2457124505</v>
      </c>
      <c r="G62">
        <v>2457124505</v>
      </c>
      <c r="H62" t="s">
        <v>887</v>
      </c>
      <c r="I62" t="s">
        <v>198</v>
      </c>
      <c r="J62" t="s">
        <v>199</v>
      </c>
      <c r="L62" t="s">
        <v>333</v>
      </c>
      <c r="O62">
        <v>8889668933</v>
      </c>
      <c r="P62" t="s">
        <v>888</v>
      </c>
      <c r="Q62" s="1">
        <v>45451</v>
      </c>
      <c r="R62" s="1">
        <v>45451</v>
      </c>
      <c r="S62" s="1">
        <v>45450</v>
      </c>
      <c r="U62" t="s">
        <v>888</v>
      </c>
      <c r="W62" t="s">
        <v>202</v>
      </c>
      <c r="AB62">
        <v>362662</v>
      </c>
      <c r="AD62" t="s">
        <v>323</v>
      </c>
      <c r="AE62">
        <v>4715</v>
      </c>
      <c r="AF62" t="s">
        <v>324</v>
      </c>
      <c r="AG62" t="s">
        <v>232</v>
      </c>
      <c r="AH62" t="s">
        <v>233</v>
      </c>
      <c r="AI62">
        <v>668620.68965499999</v>
      </c>
      <c r="AJ62">
        <v>969500</v>
      </c>
      <c r="AK62">
        <v>45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5335</v>
      </c>
      <c r="AW62">
        <v>0</v>
      </c>
      <c r="AX62">
        <v>0</v>
      </c>
      <c r="AY62">
        <v>5335</v>
      </c>
      <c r="AZ62">
        <v>964165</v>
      </c>
      <c r="BA62">
        <v>48000</v>
      </c>
      <c r="BB62">
        <v>0</v>
      </c>
      <c r="BC62">
        <v>0</v>
      </c>
      <c r="BD62">
        <v>85331</v>
      </c>
      <c r="BE62" t="s">
        <v>208</v>
      </c>
      <c r="BF62">
        <v>0</v>
      </c>
      <c r="BG62">
        <v>0</v>
      </c>
      <c r="BH62" t="s">
        <v>209</v>
      </c>
      <c r="BI62">
        <v>32120</v>
      </c>
      <c r="BJ62">
        <v>885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500</v>
      </c>
      <c r="BT62">
        <v>0</v>
      </c>
      <c r="BU62">
        <v>0</v>
      </c>
      <c r="BV62">
        <v>0</v>
      </c>
      <c r="BW62">
        <v>0</v>
      </c>
      <c r="BX62">
        <v>1131001</v>
      </c>
      <c r="BY62">
        <v>0</v>
      </c>
      <c r="BZ62">
        <v>30641</v>
      </c>
      <c r="CA62">
        <v>0</v>
      </c>
      <c r="CB62">
        <v>505244</v>
      </c>
      <c r="CC62">
        <v>0</v>
      </c>
      <c r="CD62">
        <v>0</v>
      </c>
      <c r="CE62">
        <v>535885</v>
      </c>
      <c r="CF62">
        <v>0</v>
      </c>
      <c r="CG62">
        <v>0</v>
      </c>
      <c r="CH62">
        <v>595900</v>
      </c>
      <c r="CJ62" t="s">
        <v>380</v>
      </c>
      <c r="CL62" t="s">
        <v>211</v>
      </c>
      <c r="CM62">
        <v>0</v>
      </c>
      <c r="CN62">
        <v>0</v>
      </c>
      <c r="CO62">
        <v>0</v>
      </c>
      <c r="CP62">
        <v>0</v>
      </c>
      <c r="CU62">
        <v>-784</v>
      </c>
      <c r="CV62" t="s">
        <v>889</v>
      </c>
      <c r="CW62" t="s">
        <v>890</v>
      </c>
      <c r="CX62" t="s">
        <v>879</v>
      </c>
      <c r="CY62" t="s">
        <v>880</v>
      </c>
      <c r="CZ62" t="s">
        <v>217</v>
      </c>
      <c r="DB62" t="s">
        <v>891</v>
      </c>
      <c r="DD62" t="s">
        <v>892</v>
      </c>
      <c r="DF62" t="s">
        <v>220</v>
      </c>
      <c r="DG62">
        <v>450001</v>
      </c>
      <c r="DL62">
        <v>0</v>
      </c>
      <c r="DN62">
        <v>0</v>
      </c>
      <c r="DP62" t="s">
        <v>893</v>
      </c>
      <c r="DQ62">
        <v>9418671</v>
      </c>
      <c r="DR62" t="s">
        <v>223</v>
      </c>
      <c r="DS62">
        <v>0</v>
      </c>
      <c r="DV62">
        <v>0</v>
      </c>
      <c r="DW62">
        <v>1.5</v>
      </c>
      <c r="DX62">
        <v>8938.5</v>
      </c>
      <c r="DY62">
        <v>1608.93</v>
      </c>
      <c r="DZ62">
        <v>10547.43</v>
      </c>
      <c r="EC62">
        <v>0</v>
      </c>
      <c r="EQ62" t="s">
        <v>894</v>
      </c>
      <c r="ER62" s="1">
        <v>45311</v>
      </c>
      <c r="ES62">
        <v>6000</v>
      </c>
      <c r="ET62">
        <v>623495.68000000005</v>
      </c>
      <c r="EU62">
        <v>0</v>
      </c>
      <c r="EV62">
        <v>250661</v>
      </c>
      <c r="EW62" t="s">
        <v>895</v>
      </c>
      <c r="EX62">
        <v>0</v>
      </c>
      <c r="EY62" t="s">
        <v>226</v>
      </c>
      <c r="EZ62" t="s">
        <v>202</v>
      </c>
      <c r="FA62" t="s">
        <v>226</v>
      </c>
      <c r="FB62" t="s">
        <v>226</v>
      </c>
      <c r="FC62" t="s">
        <v>202</v>
      </c>
      <c r="FD62" t="s">
        <v>202</v>
      </c>
      <c r="FE62" t="s">
        <v>202</v>
      </c>
      <c r="FF62" t="s">
        <v>202</v>
      </c>
      <c r="FG62" t="s">
        <v>202</v>
      </c>
      <c r="FH62" t="s">
        <v>202</v>
      </c>
      <c r="FI62" t="s">
        <v>202</v>
      </c>
      <c r="FJ62" t="s">
        <v>202</v>
      </c>
      <c r="FK62" t="s">
        <v>202</v>
      </c>
      <c r="FL62" t="s">
        <v>202</v>
      </c>
      <c r="FM62" t="s">
        <v>202</v>
      </c>
      <c r="FN62" t="s">
        <v>202</v>
      </c>
      <c r="FO62">
        <v>48050</v>
      </c>
      <c r="FP62">
        <v>-50</v>
      </c>
      <c r="FQ62">
        <v>1363.66</v>
      </c>
      <c r="FR62">
        <v>4715</v>
      </c>
      <c r="FS62">
        <v>0</v>
      </c>
      <c r="FT62">
        <v>0</v>
      </c>
      <c r="FW62">
        <v>0</v>
      </c>
      <c r="FX62">
        <v>0</v>
      </c>
      <c r="FY62">
        <v>0</v>
      </c>
      <c r="GA62">
        <v>-885</v>
      </c>
    </row>
    <row r="63" spans="1:183" x14ac:dyDescent="0.3">
      <c r="A63">
        <v>11162</v>
      </c>
      <c r="B63">
        <v>62</v>
      </c>
      <c r="C63" t="s">
        <v>871</v>
      </c>
      <c r="D63" t="s">
        <v>871</v>
      </c>
      <c r="E63" t="s">
        <v>896</v>
      </c>
      <c r="F63">
        <v>2457246069</v>
      </c>
      <c r="G63">
        <v>2457246069</v>
      </c>
      <c r="H63" t="s">
        <v>897</v>
      </c>
      <c r="I63" t="s">
        <v>198</v>
      </c>
      <c r="J63" t="s">
        <v>199</v>
      </c>
      <c r="L63" t="s">
        <v>874</v>
      </c>
      <c r="O63">
        <v>9754135369</v>
      </c>
      <c r="P63" t="s">
        <v>898</v>
      </c>
      <c r="Q63" s="1">
        <v>45457</v>
      </c>
      <c r="R63" s="1">
        <v>45457</v>
      </c>
      <c r="S63" s="1">
        <v>45459</v>
      </c>
      <c r="U63" t="s">
        <v>898</v>
      </c>
      <c r="W63" t="s">
        <v>202</v>
      </c>
      <c r="AB63">
        <v>501203</v>
      </c>
      <c r="AD63" t="s">
        <v>899</v>
      </c>
      <c r="AE63">
        <v>4701</v>
      </c>
      <c r="AF63" t="s">
        <v>900</v>
      </c>
      <c r="AG63" t="s">
        <v>232</v>
      </c>
      <c r="AH63" t="s">
        <v>207</v>
      </c>
      <c r="AI63">
        <v>426744.19379799999</v>
      </c>
      <c r="AJ63">
        <v>550500</v>
      </c>
      <c r="AK63">
        <v>29</v>
      </c>
      <c r="AL63">
        <v>18000</v>
      </c>
      <c r="AM63">
        <v>0</v>
      </c>
      <c r="AN63">
        <v>0</v>
      </c>
      <c r="AO63">
        <v>3100</v>
      </c>
      <c r="AP63">
        <v>15000</v>
      </c>
      <c r="AQ63">
        <v>17000</v>
      </c>
      <c r="AR63">
        <v>0</v>
      </c>
      <c r="AS63">
        <v>0</v>
      </c>
      <c r="AT63">
        <v>0</v>
      </c>
      <c r="AU63">
        <v>0</v>
      </c>
      <c r="AV63">
        <v>13000</v>
      </c>
      <c r="AW63">
        <v>0</v>
      </c>
      <c r="AX63">
        <v>0</v>
      </c>
      <c r="AY63">
        <v>66100</v>
      </c>
      <c r="AZ63">
        <v>484400</v>
      </c>
      <c r="BA63">
        <v>34000</v>
      </c>
      <c r="BB63">
        <v>0</v>
      </c>
      <c r="BC63">
        <v>0</v>
      </c>
      <c r="BD63">
        <v>51711</v>
      </c>
      <c r="BE63" t="s">
        <v>208</v>
      </c>
      <c r="BF63">
        <v>0</v>
      </c>
      <c r="BG63">
        <v>0</v>
      </c>
      <c r="BH63" t="s">
        <v>209</v>
      </c>
      <c r="BI63">
        <v>20500</v>
      </c>
      <c r="BJ63">
        <v>885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591496</v>
      </c>
      <c r="BY63">
        <v>0</v>
      </c>
      <c r="BZ63">
        <v>195000</v>
      </c>
      <c r="CA63">
        <v>0</v>
      </c>
      <c r="CB63">
        <v>403551</v>
      </c>
      <c r="CC63">
        <v>5100</v>
      </c>
      <c r="CD63">
        <v>0</v>
      </c>
      <c r="CE63">
        <v>598551</v>
      </c>
      <c r="CF63">
        <v>0</v>
      </c>
      <c r="CG63">
        <v>0</v>
      </c>
      <c r="CH63">
        <v>0</v>
      </c>
      <c r="CJ63" t="s">
        <v>77</v>
      </c>
      <c r="CL63" t="s">
        <v>77</v>
      </c>
      <c r="CM63">
        <v>0</v>
      </c>
      <c r="CN63">
        <v>0</v>
      </c>
      <c r="CO63">
        <v>0</v>
      </c>
      <c r="CP63">
        <v>0</v>
      </c>
      <c r="CU63">
        <v>-7055</v>
      </c>
      <c r="CV63" t="s">
        <v>877</v>
      </c>
      <c r="CW63" t="s">
        <v>878</v>
      </c>
      <c r="CX63" t="s">
        <v>879</v>
      </c>
      <c r="CY63" t="s">
        <v>880</v>
      </c>
      <c r="CZ63" t="s">
        <v>217</v>
      </c>
      <c r="DB63" t="s">
        <v>901</v>
      </c>
      <c r="DD63" t="s">
        <v>902</v>
      </c>
      <c r="DF63" t="s">
        <v>220</v>
      </c>
      <c r="DG63">
        <v>461331</v>
      </c>
      <c r="DL63">
        <v>0</v>
      </c>
      <c r="DN63">
        <v>0</v>
      </c>
      <c r="DP63" t="s">
        <v>903</v>
      </c>
      <c r="DQ63" t="s">
        <v>904</v>
      </c>
      <c r="DR63" t="s">
        <v>223</v>
      </c>
      <c r="DS63">
        <v>0</v>
      </c>
      <c r="DV63">
        <v>0</v>
      </c>
      <c r="EQ63" t="s">
        <v>905</v>
      </c>
      <c r="ER63" s="1">
        <v>45414</v>
      </c>
      <c r="ES63">
        <v>4500</v>
      </c>
      <c r="ET63">
        <v>390616.94</v>
      </c>
      <c r="EU63">
        <v>10852.7</v>
      </c>
      <c r="EV63">
        <v>251415</v>
      </c>
      <c r="EW63" t="s">
        <v>906</v>
      </c>
      <c r="EX63">
        <v>0</v>
      </c>
      <c r="EY63" t="s">
        <v>226</v>
      </c>
      <c r="EZ63" t="s">
        <v>202</v>
      </c>
      <c r="FA63" t="s">
        <v>226</v>
      </c>
      <c r="FB63" t="s">
        <v>202</v>
      </c>
      <c r="FC63" t="s">
        <v>202</v>
      </c>
      <c r="FD63" t="s">
        <v>202</v>
      </c>
      <c r="FE63" t="s">
        <v>202</v>
      </c>
      <c r="FF63" t="s">
        <v>202</v>
      </c>
      <c r="FG63" t="s">
        <v>202</v>
      </c>
      <c r="FH63" t="s">
        <v>202</v>
      </c>
      <c r="FI63" t="s">
        <v>202</v>
      </c>
      <c r="FJ63" t="s">
        <v>202</v>
      </c>
      <c r="FK63" t="s">
        <v>202</v>
      </c>
      <c r="FL63" t="s">
        <v>202</v>
      </c>
      <c r="FM63" t="s">
        <v>202</v>
      </c>
      <c r="FN63" t="s">
        <v>202</v>
      </c>
      <c r="FO63">
        <v>34004</v>
      </c>
      <c r="FP63">
        <v>-4</v>
      </c>
      <c r="FQ63">
        <v>801.27</v>
      </c>
      <c r="FR63">
        <v>4701</v>
      </c>
      <c r="FS63">
        <v>0</v>
      </c>
      <c r="FT63">
        <v>0</v>
      </c>
      <c r="FW63">
        <v>0</v>
      </c>
      <c r="FX63">
        <v>0</v>
      </c>
      <c r="FY63">
        <v>0</v>
      </c>
      <c r="GA63">
        <v>-7286</v>
      </c>
    </row>
    <row r="64" spans="1:183" x14ac:dyDescent="0.3">
      <c r="A64">
        <v>11170</v>
      </c>
      <c r="B64">
        <v>63</v>
      </c>
      <c r="C64" t="s">
        <v>871</v>
      </c>
      <c r="D64" t="s">
        <v>871</v>
      </c>
      <c r="E64" t="s">
        <v>907</v>
      </c>
      <c r="F64">
        <v>2456962651</v>
      </c>
      <c r="G64">
        <v>2456962651</v>
      </c>
      <c r="H64" t="s">
        <v>908</v>
      </c>
      <c r="I64" t="s">
        <v>198</v>
      </c>
      <c r="J64" t="s">
        <v>488</v>
      </c>
      <c r="L64" t="s">
        <v>613</v>
      </c>
      <c r="O64">
        <v>7878346280</v>
      </c>
      <c r="P64" t="s">
        <v>909</v>
      </c>
      <c r="Q64" s="1">
        <v>45461</v>
      </c>
      <c r="R64" s="1">
        <v>45461</v>
      </c>
      <c r="S64" s="1">
        <v>45461</v>
      </c>
      <c r="U64" t="s">
        <v>909</v>
      </c>
      <c r="W64" t="s">
        <v>202</v>
      </c>
      <c r="AB64" t="s">
        <v>910</v>
      </c>
      <c r="AD64" t="s">
        <v>310</v>
      </c>
      <c r="AE64">
        <v>4765</v>
      </c>
      <c r="AF64" t="s">
        <v>367</v>
      </c>
      <c r="AG64" t="s">
        <v>232</v>
      </c>
      <c r="AH64" t="s">
        <v>207</v>
      </c>
      <c r="AI64">
        <v>440309.992248</v>
      </c>
      <c r="AJ64">
        <v>568000</v>
      </c>
      <c r="AK64">
        <v>29</v>
      </c>
      <c r="AL64">
        <v>10000</v>
      </c>
      <c r="AM64">
        <v>0</v>
      </c>
      <c r="AN64">
        <v>0</v>
      </c>
      <c r="AO64">
        <v>3100</v>
      </c>
      <c r="AP64">
        <v>0</v>
      </c>
      <c r="AQ64">
        <v>15000</v>
      </c>
      <c r="AR64">
        <v>0</v>
      </c>
      <c r="AS64">
        <v>0</v>
      </c>
      <c r="AT64">
        <v>0</v>
      </c>
      <c r="AU64">
        <v>0</v>
      </c>
      <c r="AV64">
        <v>5500</v>
      </c>
      <c r="AW64">
        <v>0</v>
      </c>
      <c r="AX64">
        <v>0</v>
      </c>
      <c r="AY64">
        <v>33600</v>
      </c>
      <c r="AZ64">
        <v>534400</v>
      </c>
      <c r="BA64">
        <v>1200</v>
      </c>
      <c r="BB64">
        <v>0</v>
      </c>
      <c r="BC64">
        <v>0</v>
      </c>
      <c r="BD64">
        <v>4500</v>
      </c>
      <c r="BE64" t="s">
        <v>208</v>
      </c>
      <c r="BF64">
        <v>0</v>
      </c>
      <c r="BG64">
        <v>0</v>
      </c>
      <c r="BH64" t="s">
        <v>209</v>
      </c>
      <c r="BI64">
        <v>26483</v>
      </c>
      <c r="BJ64">
        <v>885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500</v>
      </c>
      <c r="BT64">
        <v>0</v>
      </c>
      <c r="BU64">
        <v>0</v>
      </c>
      <c r="BV64">
        <v>0</v>
      </c>
      <c r="BW64">
        <v>0</v>
      </c>
      <c r="BX64">
        <v>567968</v>
      </c>
      <c r="BY64">
        <v>0</v>
      </c>
      <c r="BZ64">
        <v>0</v>
      </c>
      <c r="CA64">
        <v>0</v>
      </c>
      <c r="CB64">
        <v>103200</v>
      </c>
      <c r="CC64">
        <v>0</v>
      </c>
      <c r="CD64">
        <v>0</v>
      </c>
      <c r="CE64">
        <v>103200</v>
      </c>
      <c r="CF64">
        <v>0</v>
      </c>
      <c r="CG64">
        <v>0</v>
      </c>
      <c r="CH64">
        <v>464768</v>
      </c>
      <c r="CJ64" t="s">
        <v>380</v>
      </c>
      <c r="CL64" t="s">
        <v>211</v>
      </c>
      <c r="CM64">
        <v>0</v>
      </c>
      <c r="CN64">
        <v>0</v>
      </c>
      <c r="CO64">
        <v>0</v>
      </c>
      <c r="CP64">
        <v>0</v>
      </c>
      <c r="CU64">
        <v>0</v>
      </c>
      <c r="CV64">
        <v>2298</v>
      </c>
      <c r="CW64" t="s">
        <v>911</v>
      </c>
      <c r="CX64" t="s">
        <v>879</v>
      </c>
      <c r="CY64" t="s">
        <v>880</v>
      </c>
      <c r="CZ64" t="s">
        <v>217</v>
      </c>
      <c r="DB64" t="s">
        <v>912</v>
      </c>
      <c r="DD64" t="s">
        <v>913</v>
      </c>
      <c r="DF64" t="s">
        <v>220</v>
      </c>
      <c r="DG64">
        <v>425001</v>
      </c>
      <c r="DL64">
        <v>0</v>
      </c>
      <c r="DN64">
        <v>0</v>
      </c>
      <c r="DP64" t="s">
        <v>914</v>
      </c>
      <c r="DQ64">
        <v>4236016</v>
      </c>
      <c r="DR64" t="s">
        <v>223</v>
      </c>
      <c r="DS64">
        <v>0</v>
      </c>
      <c r="DV64">
        <v>0</v>
      </c>
      <c r="DW64">
        <v>1.5</v>
      </c>
      <c r="DX64">
        <v>6971.52</v>
      </c>
      <c r="DY64">
        <v>1254.8699999999999</v>
      </c>
      <c r="DZ64">
        <v>8226.39</v>
      </c>
      <c r="EC64">
        <v>0</v>
      </c>
      <c r="EQ64" t="s">
        <v>915</v>
      </c>
      <c r="ER64" s="1">
        <v>45388</v>
      </c>
      <c r="ES64">
        <v>3000</v>
      </c>
      <c r="ET64">
        <v>410408.86</v>
      </c>
      <c r="EU64">
        <v>0</v>
      </c>
      <c r="EV64">
        <v>252108</v>
      </c>
      <c r="EW64" t="s">
        <v>916</v>
      </c>
      <c r="EX64">
        <v>0</v>
      </c>
      <c r="EY64" t="s">
        <v>226</v>
      </c>
      <c r="EZ64" t="s">
        <v>202</v>
      </c>
      <c r="FA64" t="s">
        <v>226</v>
      </c>
      <c r="FB64" t="s">
        <v>226</v>
      </c>
      <c r="FC64" t="s">
        <v>202</v>
      </c>
      <c r="FD64" t="s">
        <v>202</v>
      </c>
      <c r="FE64" t="s">
        <v>202</v>
      </c>
      <c r="FF64" t="s">
        <v>202</v>
      </c>
      <c r="FG64" t="s">
        <v>202</v>
      </c>
      <c r="FH64" t="s">
        <v>202</v>
      </c>
      <c r="FI64" t="s">
        <v>202</v>
      </c>
      <c r="FJ64" t="s">
        <v>202</v>
      </c>
      <c r="FK64" t="s">
        <v>202</v>
      </c>
      <c r="FL64" t="s">
        <v>202</v>
      </c>
      <c r="FM64" t="s">
        <v>202</v>
      </c>
      <c r="FN64" t="s">
        <v>202</v>
      </c>
      <c r="FO64">
        <v>0</v>
      </c>
      <c r="FP64">
        <v>1200</v>
      </c>
      <c r="FQ64">
        <v>0</v>
      </c>
      <c r="FR64">
        <v>4765</v>
      </c>
      <c r="FS64">
        <v>0</v>
      </c>
      <c r="FT64">
        <v>0</v>
      </c>
      <c r="FW64">
        <v>0</v>
      </c>
      <c r="FX64">
        <v>0</v>
      </c>
      <c r="FY64">
        <v>0</v>
      </c>
      <c r="GA64">
        <v>-2085</v>
      </c>
    </row>
    <row r="65" spans="1:183" x14ac:dyDescent="0.3">
      <c r="A65">
        <v>11261</v>
      </c>
      <c r="B65">
        <v>64</v>
      </c>
      <c r="C65" t="s">
        <v>871</v>
      </c>
      <c r="D65" t="s">
        <v>871</v>
      </c>
      <c r="E65" t="s">
        <v>917</v>
      </c>
      <c r="F65">
        <v>2457450869</v>
      </c>
      <c r="G65">
        <v>2457450869</v>
      </c>
      <c r="H65" t="s">
        <v>918</v>
      </c>
      <c r="I65" t="s">
        <v>198</v>
      </c>
      <c r="J65" t="s">
        <v>488</v>
      </c>
      <c r="L65" t="s">
        <v>919</v>
      </c>
      <c r="O65">
        <v>9767651875</v>
      </c>
      <c r="P65" t="s">
        <v>920</v>
      </c>
      <c r="Q65" s="1">
        <v>45470</v>
      </c>
      <c r="R65" s="1">
        <v>45470</v>
      </c>
      <c r="S65" s="1">
        <v>45470</v>
      </c>
      <c r="U65" t="s">
        <v>920</v>
      </c>
      <c r="W65" t="s">
        <v>202</v>
      </c>
      <c r="AB65" t="s">
        <v>921</v>
      </c>
      <c r="AD65" t="s">
        <v>310</v>
      </c>
      <c r="AE65">
        <v>4763</v>
      </c>
      <c r="AF65" t="s">
        <v>355</v>
      </c>
      <c r="AG65" t="s">
        <v>232</v>
      </c>
      <c r="AH65" t="s">
        <v>207</v>
      </c>
      <c r="AI65">
        <v>434883.62790700002</v>
      </c>
      <c r="AJ65">
        <v>561000</v>
      </c>
      <c r="AK65">
        <v>29</v>
      </c>
      <c r="AL65">
        <v>10000</v>
      </c>
      <c r="AM65">
        <v>0</v>
      </c>
      <c r="AN65">
        <v>0</v>
      </c>
      <c r="AO65">
        <v>3100</v>
      </c>
      <c r="AP65">
        <v>0</v>
      </c>
      <c r="AQ65">
        <v>15000</v>
      </c>
      <c r="AR65">
        <v>0</v>
      </c>
      <c r="AS65">
        <v>0</v>
      </c>
      <c r="AT65">
        <v>0</v>
      </c>
      <c r="AU65">
        <v>0</v>
      </c>
      <c r="AV65">
        <v>8000</v>
      </c>
      <c r="AW65">
        <v>0</v>
      </c>
      <c r="AX65">
        <v>0</v>
      </c>
      <c r="AY65">
        <v>36100</v>
      </c>
      <c r="AZ65">
        <v>524900</v>
      </c>
      <c r="BA65">
        <v>2300</v>
      </c>
      <c r="BB65">
        <v>0</v>
      </c>
      <c r="BC65">
        <v>0</v>
      </c>
      <c r="BD65">
        <v>5000</v>
      </c>
      <c r="BE65" t="s">
        <v>208</v>
      </c>
      <c r="BF65">
        <v>0</v>
      </c>
      <c r="BG65">
        <v>0</v>
      </c>
      <c r="BH65" t="s">
        <v>209</v>
      </c>
      <c r="BI65">
        <v>26500</v>
      </c>
      <c r="BJ65">
        <v>885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500</v>
      </c>
      <c r="BT65">
        <v>0</v>
      </c>
      <c r="BU65">
        <v>0</v>
      </c>
      <c r="BV65">
        <v>0</v>
      </c>
      <c r="BW65">
        <v>0</v>
      </c>
      <c r="BX65">
        <v>560085</v>
      </c>
      <c r="BY65">
        <v>0</v>
      </c>
      <c r="BZ65">
        <v>104885</v>
      </c>
      <c r="CA65">
        <v>0</v>
      </c>
      <c r="CB65">
        <v>70340</v>
      </c>
      <c r="CC65">
        <v>0</v>
      </c>
      <c r="CD65">
        <v>0</v>
      </c>
      <c r="CE65">
        <v>175225</v>
      </c>
      <c r="CF65">
        <v>0</v>
      </c>
      <c r="CG65">
        <v>0</v>
      </c>
      <c r="CH65">
        <v>384860</v>
      </c>
      <c r="CJ65" t="s">
        <v>299</v>
      </c>
      <c r="CL65" t="s">
        <v>211</v>
      </c>
      <c r="CM65">
        <v>0</v>
      </c>
      <c r="CN65">
        <v>0</v>
      </c>
      <c r="CO65">
        <v>0</v>
      </c>
      <c r="CP65">
        <v>0</v>
      </c>
      <c r="CU65">
        <v>0</v>
      </c>
      <c r="CV65" t="s">
        <v>889</v>
      </c>
      <c r="CW65" t="s">
        <v>890</v>
      </c>
      <c r="CX65">
        <v>2298</v>
      </c>
      <c r="CY65" t="s">
        <v>911</v>
      </c>
      <c r="CZ65" t="s">
        <v>217</v>
      </c>
      <c r="DB65" t="s">
        <v>922</v>
      </c>
      <c r="DD65" t="s">
        <v>923</v>
      </c>
      <c r="DF65" t="s">
        <v>220</v>
      </c>
      <c r="DG65">
        <v>444303</v>
      </c>
      <c r="DL65">
        <v>0</v>
      </c>
      <c r="DN65">
        <v>0</v>
      </c>
      <c r="DP65" t="s">
        <v>924</v>
      </c>
      <c r="DQ65">
        <v>4270084</v>
      </c>
      <c r="DR65" t="s">
        <v>223</v>
      </c>
      <c r="DS65">
        <v>0</v>
      </c>
      <c r="DV65">
        <v>0</v>
      </c>
      <c r="DW65">
        <v>1.5</v>
      </c>
      <c r="DX65">
        <v>5772.9</v>
      </c>
      <c r="DY65">
        <v>1039.1199999999999</v>
      </c>
      <c r="DZ65">
        <v>6812.02</v>
      </c>
      <c r="EC65">
        <v>0</v>
      </c>
      <c r="EQ65" t="s">
        <v>925</v>
      </c>
      <c r="ER65" s="1">
        <v>45462</v>
      </c>
      <c r="ES65">
        <v>3000</v>
      </c>
      <c r="ET65">
        <v>404981.86</v>
      </c>
      <c r="EU65">
        <v>5426.4</v>
      </c>
      <c r="EV65">
        <v>253958</v>
      </c>
      <c r="EW65" t="s">
        <v>926</v>
      </c>
      <c r="EX65">
        <v>0</v>
      </c>
      <c r="EY65" t="s">
        <v>226</v>
      </c>
      <c r="EZ65" t="s">
        <v>202</v>
      </c>
      <c r="FA65" t="s">
        <v>226</v>
      </c>
      <c r="FB65" t="s">
        <v>226</v>
      </c>
      <c r="FC65" t="s">
        <v>202</v>
      </c>
      <c r="FD65" t="s">
        <v>202</v>
      </c>
      <c r="FE65" t="s">
        <v>202</v>
      </c>
      <c r="FF65" t="s">
        <v>202</v>
      </c>
      <c r="FG65" t="s">
        <v>202</v>
      </c>
      <c r="FH65" t="s">
        <v>202</v>
      </c>
      <c r="FI65" t="s">
        <v>202</v>
      </c>
      <c r="FJ65" t="s">
        <v>202</v>
      </c>
      <c r="FK65" t="s">
        <v>202</v>
      </c>
      <c r="FL65" t="s">
        <v>202</v>
      </c>
      <c r="FM65" t="s">
        <v>202</v>
      </c>
      <c r="FN65" t="s">
        <v>202</v>
      </c>
      <c r="FO65">
        <v>0</v>
      </c>
      <c r="FP65">
        <v>2300</v>
      </c>
      <c r="FQ65">
        <v>0</v>
      </c>
      <c r="FR65">
        <v>4763</v>
      </c>
      <c r="FS65">
        <v>0</v>
      </c>
      <c r="FT65">
        <v>0</v>
      </c>
      <c r="FW65">
        <v>0</v>
      </c>
      <c r="FX65">
        <v>0</v>
      </c>
      <c r="FY65">
        <v>0</v>
      </c>
      <c r="GA65">
        <v>-3184</v>
      </c>
    </row>
    <row r="66" spans="1:183" x14ac:dyDescent="0.3">
      <c r="A66">
        <v>11293</v>
      </c>
      <c r="B66">
        <v>65</v>
      </c>
      <c r="C66" t="s">
        <v>871</v>
      </c>
      <c r="D66" t="s">
        <v>871</v>
      </c>
      <c r="E66" t="s">
        <v>927</v>
      </c>
      <c r="F66">
        <v>2457513825</v>
      </c>
      <c r="G66">
        <v>2457513825</v>
      </c>
      <c r="H66" t="s">
        <v>928</v>
      </c>
      <c r="I66" t="s">
        <v>198</v>
      </c>
      <c r="J66" t="s">
        <v>199</v>
      </c>
      <c r="L66" t="s">
        <v>260</v>
      </c>
      <c r="O66">
        <v>8319181168</v>
      </c>
      <c r="P66" t="s">
        <v>929</v>
      </c>
      <c r="Q66" s="1">
        <v>45473</v>
      </c>
      <c r="R66" s="1">
        <v>45473</v>
      </c>
      <c r="S66" s="1">
        <v>45473</v>
      </c>
      <c r="U66" t="s">
        <v>929</v>
      </c>
      <c r="W66" t="s">
        <v>202</v>
      </c>
      <c r="AB66" t="s">
        <v>930</v>
      </c>
      <c r="AD66" t="s">
        <v>204</v>
      </c>
      <c r="AE66">
        <v>4804</v>
      </c>
      <c r="AF66" t="s">
        <v>205</v>
      </c>
      <c r="AG66" t="s">
        <v>206</v>
      </c>
      <c r="AH66" t="s">
        <v>207</v>
      </c>
      <c r="AI66">
        <v>534495.68992200005</v>
      </c>
      <c r="AJ66">
        <v>689499</v>
      </c>
      <c r="AK66">
        <v>29</v>
      </c>
      <c r="AL66">
        <v>15000</v>
      </c>
      <c r="AM66">
        <v>0</v>
      </c>
      <c r="AN66">
        <v>0</v>
      </c>
      <c r="AO66">
        <v>3100</v>
      </c>
      <c r="AP66">
        <v>0</v>
      </c>
      <c r="AQ66">
        <v>5000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23100</v>
      </c>
      <c r="AZ66">
        <v>666399</v>
      </c>
      <c r="BA66">
        <v>4870</v>
      </c>
      <c r="BB66">
        <v>0</v>
      </c>
      <c r="BC66">
        <v>0</v>
      </c>
      <c r="BD66">
        <v>63731</v>
      </c>
      <c r="BE66" t="s">
        <v>234</v>
      </c>
      <c r="BF66">
        <v>10750</v>
      </c>
      <c r="BG66">
        <v>0</v>
      </c>
      <c r="BH66" t="s">
        <v>209</v>
      </c>
      <c r="BI66">
        <v>22900</v>
      </c>
      <c r="BJ66">
        <v>885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500</v>
      </c>
      <c r="BT66">
        <v>0</v>
      </c>
      <c r="BU66">
        <v>0</v>
      </c>
      <c r="BV66">
        <v>0</v>
      </c>
      <c r="BW66">
        <v>0</v>
      </c>
      <c r="BX66">
        <v>770035</v>
      </c>
      <c r="BY66">
        <v>0</v>
      </c>
      <c r="BZ66">
        <v>0</v>
      </c>
      <c r="CA66">
        <v>0</v>
      </c>
      <c r="CB66">
        <v>620000</v>
      </c>
      <c r="CC66">
        <v>0</v>
      </c>
      <c r="CD66">
        <v>0</v>
      </c>
      <c r="CE66">
        <v>620000</v>
      </c>
      <c r="CF66">
        <v>0</v>
      </c>
      <c r="CG66">
        <v>0</v>
      </c>
      <c r="CH66">
        <v>620000</v>
      </c>
      <c r="CJ66" t="s">
        <v>251</v>
      </c>
      <c r="CL66" t="s">
        <v>236</v>
      </c>
      <c r="CM66">
        <v>0</v>
      </c>
      <c r="CN66">
        <v>0</v>
      </c>
      <c r="CO66">
        <v>0</v>
      </c>
      <c r="CP66">
        <v>0</v>
      </c>
      <c r="CU66">
        <v>-469965</v>
      </c>
      <c r="CV66">
        <v>2298</v>
      </c>
      <c r="CW66" t="s">
        <v>911</v>
      </c>
      <c r="CX66">
        <v>2298</v>
      </c>
      <c r="CY66" t="s">
        <v>911</v>
      </c>
      <c r="CZ66" t="s">
        <v>217</v>
      </c>
      <c r="DB66" t="s">
        <v>931</v>
      </c>
      <c r="DD66" t="s">
        <v>932</v>
      </c>
      <c r="DF66" t="s">
        <v>220</v>
      </c>
      <c r="DG66">
        <v>451335</v>
      </c>
      <c r="DL66">
        <v>0</v>
      </c>
      <c r="DN66">
        <v>0</v>
      </c>
      <c r="DP66" t="s">
        <v>933</v>
      </c>
      <c r="DQ66" t="s">
        <v>934</v>
      </c>
      <c r="DR66" t="s">
        <v>223</v>
      </c>
      <c r="DS66">
        <v>10749.8</v>
      </c>
      <c r="DT66" s="1">
        <v>45473</v>
      </c>
      <c r="DU66" t="s">
        <v>935</v>
      </c>
      <c r="DV66">
        <v>0</v>
      </c>
      <c r="DW66">
        <v>1.27</v>
      </c>
      <c r="DX66">
        <v>7874</v>
      </c>
      <c r="DY66">
        <v>1417.32</v>
      </c>
      <c r="DZ66">
        <v>9291.32</v>
      </c>
      <c r="EC66">
        <v>0</v>
      </c>
      <c r="EQ66" t="s">
        <v>936</v>
      </c>
      <c r="ER66" s="1">
        <v>45449</v>
      </c>
      <c r="ES66">
        <v>4000</v>
      </c>
      <c r="ET66">
        <v>498744.29</v>
      </c>
      <c r="EU66">
        <v>5426.4</v>
      </c>
      <c r="EV66">
        <v>254809</v>
      </c>
      <c r="EW66" t="s">
        <v>937</v>
      </c>
      <c r="EX66">
        <v>0</v>
      </c>
      <c r="EY66" t="s">
        <v>226</v>
      </c>
      <c r="EZ66" t="s">
        <v>226</v>
      </c>
      <c r="FA66" t="s">
        <v>226</v>
      </c>
      <c r="FB66" t="s">
        <v>226</v>
      </c>
      <c r="FC66" t="s">
        <v>202</v>
      </c>
      <c r="FD66" t="s">
        <v>202</v>
      </c>
      <c r="FE66" t="s">
        <v>202</v>
      </c>
      <c r="FF66" t="s">
        <v>202</v>
      </c>
      <c r="FG66" t="s">
        <v>202</v>
      </c>
      <c r="FH66" t="s">
        <v>202</v>
      </c>
      <c r="FI66" t="s">
        <v>202</v>
      </c>
      <c r="FJ66" t="s">
        <v>202</v>
      </c>
      <c r="FK66" t="s">
        <v>202</v>
      </c>
      <c r="FL66" t="s">
        <v>202</v>
      </c>
      <c r="FM66" t="s">
        <v>202</v>
      </c>
      <c r="FN66" t="s">
        <v>202</v>
      </c>
      <c r="FO66">
        <v>0</v>
      </c>
      <c r="FP66">
        <v>4870</v>
      </c>
      <c r="FQ66">
        <v>0</v>
      </c>
      <c r="FR66">
        <v>4804</v>
      </c>
      <c r="FS66">
        <v>0</v>
      </c>
      <c r="FT66">
        <v>0</v>
      </c>
      <c r="FW66">
        <v>0</v>
      </c>
      <c r="FX66">
        <v>0</v>
      </c>
      <c r="FY66">
        <v>0</v>
      </c>
      <c r="GA66">
        <v>144280</v>
      </c>
    </row>
    <row r="67" spans="1:183" x14ac:dyDescent="0.3">
      <c r="A67">
        <v>11073</v>
      </c>
      <c r="B67">
        <v>66</v>
      </c>
      <c r="C67" t="s">
        <v>938</v>
      </c>
      <c r="D67" t="s">
        <v>938</v>
      </c>
      <c r="E67" t="s">
        <v>939</v>
      </c>
      <c r="F67">
        <v>2456891497</v>
      </c>
      <c r="G67">
        <v>2456891497</v>
      </c>
      <c r="H67" t="s">
        <v>940</v>
      </c>
      <c r="I67" t="s">
        <v>198</v>
      </c>
      <c r="J67" t="s">
        <v>199</v>
      </c>
      <c r="L67" t="s">
        <v>333</v>
      </c>
      <c r="O67">
        <v>6261702797</v>
      </c>
      <c r="P67" t="s">
        <v>941</v>
      </c>
      <c r="Q67" s="1">
        <v>45441</v>
      </c>
      <c r="R67" s="1">
        <v>45441</v>
      </c>
      <c r="S67" s="1">
        <v>45445</v>
      </c>
      <c r="U67" t="s">
        <v>941</v>
      </c>
      <c r="W67" t="s">
        <v>202</v>
      </c>
      <c r="AB67">
        <v>414857</v>
      </c>
      <c r="AD67" t="s">
        <v>323</v>
      </c>
      <c r="AE67">
        <v>4809</v>
      </c>
      <c r="AF67" t="s">
        <v>942</v>
      </c>
      <c r="AG67" t="s">
        <v>232</v>
      </c>
      <c r="AH67" t="s">
        <v>250</v>
      </c>
      <c r="AI67">
        <v>575172.4</v>
      </c>
      <c r="AJ67">
        <v>834000</v>
      </c>
      <c r="AK67">
        <v>45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10000</v>
      </c>
      <c r="AW67">
        <v>0</v>
      </c>
      <c r="AX67">
        <v>0</v>
      </c>
      <c r="AY67">
        <v>10000</v>
      </c>
      <c r="AZ67">
        <v>824000</v>
      </c>
      <c r="BA67">
        <v>53000</v>
      </c>
      <c r="BB67">
        <v>0</v>
      </c>
      <c r="BC67">
        <v>0</v>
      </c>
      <c r="BD67">
        <v>74491</v>
      </c>
      <c r="BE67" t="s">
        <v>234</v>
      </c>
      <c r="BF67">
        <v>14172</v>
      </c>
      <c r="BG67">
        <v>0</v>
      </c>
      <c r="BH67" t="s">
        <v>209</v>
      </c>
      <c r="BI67">
        <v>30500</v>
      </c>
      <c r="BJ67">
        <v>885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500</v>
      </c>
      <c r="BT67">
        <v>0</v>
      </c>
      <c r="BU67">
        <v>0</v>
      </c>
      <c r="BV67">
        <v>0</v>
      </c>
      <c r="BW67">
        <v>0</v>
      </c>
      <c r="BX67">
        <v>997548</v>
      </c>
      <c r="BY67">
        <v>0</v>
      </c>
      <c r="BZ67">
        <v>163548</v>
      </c>
      <c r="CA67">
        <v>0</v>
      </c>
      <c r="CB67">
        <v>834000</v>
      </c>
      <c r="CC67">
        <v>0</v>
      </c>
      <c r="CD67">
        <v>0</v>
      </c>
      <c r="CE67">
        <v>997548</v>
      </c>
      <c r="CF67">
        <v>0</v>
      </c>
      <c r="CG67">
        <v>0</v>
      </c>
      <c r="CH67">
        <v>834000</v>
      </c>
      <c r="CI67">
        <v>834000</v>
      </c>
      <c r="CJ67" t="s">
        <v>251</v>
      </c>
      <c r="CL67" t="s">
        <v>236</v>
      </c>
      <c r="CM67">
        <v>0</v>
      </c>
      <c r="CN67">
        <v>0</v>
      </c>
      <c r="CO67">
        <v>0</v>
      </c>
      <c r="CP67">
        <v>0</v>
      </c>
      <c r="CU67">
        <v>0</v>
      </c>
      <c r="CV67" t="s">
        <v>943</v>
      </c>
      <c r="CW67" t="s">
        <v>944</v>
      </c>
      <c r="CX67" t="s">
        <v>879</v>
      </c>
      <c r="CY67" t="s">
        <v>880</v>
      </c>
      <c r="CZ67" t="s">
        <v>217</v>
      </c>
      <c r="DB67" t="s">
        <v>945</v>
      </c>
      <c r="DD67" t="s">
        <v>946</v>
      </c>
      <c r="DF67" t="s">
        <v>220</v>
      </c>
      <c r="DG67">
        <v>450001</v>
      </c>
      <c r="DL67">
        <v>0</v>
      </c>
      <c r="DN67">
        <v>0</v>
      </c>
      <c r="DP67" t="s">
        <v>947</v>
      </c>
      <c r="DQ67">
        <v>9436051</v>
      </c>
      <c r="DR67" t="s">
        <v>223</v>
      </c>
      <c r="DS67">
        <v>14171.8</v>
      </c>
      <c r="DT67" s="1">
        <v>45448</v>
      </c>
      <c r="DU67" t="s">
        <v>948</v>
      </c>
      <c r="DV67">
        <v>0</v>
      </c>
      <c r="DW67">
        <v>1.27</v>
      </c>
      <c r="DX67">
        <v>10591.8</v>
      </c>
      <c r="DY67">
        <v>1906.52</v>
      </c>
      <c r="DZ67">
        <v>12498.32</v>
      </c>
      <c r="EC67">
        <v>0</v>
      </c>
      <c r="EQ67" t="s">
        <v>949</v>
      </c>
      <c r="ER67" s="1">
        <v>45419</v>
      </c>
      <c r="ES67">
        <v>6000</v>
      </c>
      <c r="ET67">
        <v>537297.4</v>
      </c>
      <c r="EU67">
        <v>0</v>
      </c>
      <c r="EV67">
        <v>247451</v>
      </c>
      <c r="EW67" t="s">
        <v>950</v>
      </c>
      <c r="EX67">
        <v>0</v>
      </c>
      <c r="EY67" t="s">
        <v>226</v>
      </c>
      <c r="EZ67" t="s">
        <v>226</v>
      </c>
      <c r="FA67" t="s">
        <v>226</v>
      </c>
      <c r="FB67" t="s">
        <v>226</v>
      </c>
      <c r="FC67" t="s">
        <v>202</v>
      </c>
      <c r="FD67" t="s">
        <v>202</v>
      </c>
      <c r="FE67" t="s">
        <v>202</v>
      </c>
      <c r="FF67" t="s">
        <v>202</v>
      </c>
      <c r="FG67" t="s">
        <v>202</v>
      </c>
      <c r="FH67" t="s">
        <v>202</v>
      </c>
      <c r="FI67" t="s">
        <v>202</v>
      </c>
      <c r="FJ67" t="s">
        <v>202</v>
      </c>
      <c r="FK67" t="s">
        <v>202</v>
      </c>
      <c r="FL67" t="s">
        <v>202</v>
      </c>
      <c r="FM67" t="s">
        <v>202</v>
      </c>
      <c r="FN67" t="s">
        <v>202</v>
      </c>
      <c r="FO67">
        <v>53011</v>
      </c>
      <c r="FP67">
        <v>-11</v>
      </c>
      <c r="FQ67">
        <v>634.44000000000005</v>
      </c>
      <c r="FR67">
        <v>4809</v>
      </c>
      <c r="FS67">
        <v>0</v>
      </c>
      <c r="FT67">
        <v>0</v>
      </c>
      <c r="FW67">
        <v>0</v>
      </c>
      <c r="FX67">
        <v>0</v>
      </c>
      <c r="FY67">
        <v>0</v>
      </c>
      <c r="GA67">
        <v>-885</v>
      </c>
    </row>
    <row r="68" spans="1:183" x14ac:dyDescent="0.3">
      <c r="A68">
        <v>11075</v>
      </c>
      <c r="B68">
        <v>67</v>
      </c>
      <c r="C68" t="s">
        <v>938</v>
      </c>
      <c r="D68" t="s">
        <v>938</v>
      </c>
      <c r="E68" t="s">
        <v>951</v>
      </c>
      <c r="F68">
        <v>2457106693</v>
      </c>
      <c r="G68">
        <v>2457106693</v>
      </c>
      <c r="H68" t="s">
        <v>952</v>
      </c>
      <c r="I68" t="s">
        <v>198</v>
      </c>
      <c r="J68" t="s">
        <v>199</v>
      </c>
      <c r="L68" t="s">
        <v>333</v>
      </c>
      <c r="O68">
        <v>9407325797</v>
      </c>
      <c r="P68" t="s">
        <v>953</v>
      </c>
      <c r="Q68" s="1">
        <v>45448</v>
      </c>
      <c r="R68" s="1">
        <v>45448</v>
      </c>
      <c r="S68" s="1">
        <v>45448</v>
      </c>
      <c r="U68" t="s">
        <v>953</v>
      </c>
      <c r="W68" t="s">
        <v>202</v>
      </c>
      <c r="AB68" t="s">
        <v>954</v>
      </c>
      <c r="AD68" t="s">
        <v>310</v>
      </c>
      <c r="AE68">
        <v>4763</v>
      </c>
      <c r="AF68" t="s">
        <v>355</v>
      </c>
      <c r="AG68" t="s">
        <v>232</v>
      </c>
      <c r="AH68" t="s">
        <v>356</v>
      </c>
      <c r="AI68">
        <v>434883.62790700002</v>
      </c>
      <c r="AJ68">
        <v>561000</v>
      </c>
      <c r="AK68">
        <v>29</v>
      </c>
      <c r="AL68">
        <v>10000</v>
      </c>
      <c r="AM68">
        <v>0</v>
      </c>
      <c r="AN68">
        <v>0</v>
      </c>
      <c r="AO68">
        <v>0</v>
      </c>
      <c r="AP68">
        <v>0</v>
      </c>
      <c r="AQ68">
        <v>15000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25000</v>
      </c>
      <c r="AZ68">
        <v>536000</v>
      </c>
      <c r="BA68">
        <v>7000</v>
      </c>
      <c r="BB68">
        <v>0</v>
      </c>
      <c r="BC68">
        <v>0</v>
      </c>
      <c r="BD68">
        <v>53351</v>
      </c>
      <c r="BE68" t="s">
        <v>234</v>
      </c>
      <c r="BF68">
        <v>8850</v>
      </c>
      <c r="BG68">
        <v>0</v>
      </c>
      <c r="BH68" t="s">
        <v>209</v>
      </c>
      <c r="BI68">
        <v>26015</v>
      </c>
      <c r="BJ68">
        <v>885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632101</v>
      </c>
      <c r="BY68">
        <v>0</v>
      </c>
      <c r="BZ68">
        <v>100101</v>
      </c>
      <c r="CA68">
        <v>0</v>
      </c>
      <c r="CB68">
        <v>0</v>
      </c>
      <c r="CC68">
        <v>0</v>
      </c>
      <c r="CD68">
        <v>0</v>
      </c>
      <c r="CE68">
        <v>100101</v>
      </c>
      <c r="CF68">
        <v>0</v>
      </c>
      <c r="CG68">
        <v>0</v>
      </c>
      <c r="CH68">
        <v>532000</v>
      </c>
      <c r="CJ68" t="s">
        <v>210</v>
      </c>
      <c r="CL68" t="s">
        <v>211</v>
      </c>
      <c r="CM68">
        <v>0</v>
      </c>
      <c r="CN68">
        <v>0</v>
      </c>
      <c r="CO68">
        <v>0</v>
      </c>
      <c r="CP68">
        <v>0</v>
      </c>
      <c r="CU68">
        <v>0</v>
      </c>
      <c r="CV68" t="s">
        <v>879</v>
      </c>
      <c r="CW68" t="s">
        <v>880</v>
      </c>
      <c r="CX68" t="s">
        <v>879</v>
      </c>
      <c r="CY68" t="s">
        <v>880</v>
      </c>
      <c r="CZ68" t="s">
        <v>217</v>
      </c>
      <c r="DB68" t="s">
        <v>955</v>
      </c>
      <c r="DD68" t="s">
        <v>956</v>
      </c>
      <c r="DF68" t="s">
        <v>220</v>
      </c>
      <c r="DG68">
        <v>450001</v>
      </c>
      <c r="DL68">
        <v>0</v>
      </c>
      <c r="DN68">
        <v>0</v>
      </c>
      <c r="DP68" t="s">
        <v>957</v>
      </c>
      <c r="DQ68">
        <v>4254214</v>
      </c>
      <c r="DR68" t="s">
        <v>223</v>
      </c>
      <c r="DS68">
        <v>8743.7999999999993</v>
      </c>
      <c r="DT68" s="1">
        <v>45448</v>
      </c>
      <c r="DU68" t="s">
        <v>958</v>
      </c>
      <c r="DV68">
        <v>0</v>
      </c>
      <c r="DW68">
        <v>1.5</v>
      </c>
      <c r="DX68">
        <v>7980</v>
      </c>
      <c r="DY68">
        <v>1436.4</v>
      </c>
      <c r="DZ68">
        <v>9416.4</v>
      </c>
      <c r="EC68">
        <v>0</v>
      </c>
      <c r="EQ68" t="s">
        <v>959</v>
      </c>
      <c r="ER68" s="1">
        <v>45425</v>
      </c>
      <c r="ES68">
        <v>3000</v>
      </c>
      <c r="ET68">
        <v>404981.86</v>
      </c>
      <c r="EU68">
        <v>5426.4</v>
      </c>
      <c r="EV68">
        <v>250077</v>
      </c>
      <c r="EW68" t="s">
        <v>960</v>
      </c>
      <c r="EX68">
        <v>0</v>
      </c>
      <c r="EY68" t="s">
        <v>226</v>
      </c>
      <c r="EZ68" t="s">
        <v>226</v>
      </c>
      <c r="FA68" t="s">
        <v>226</v>
      </c>
      <c r="FB68" t="s">
        <v>202</v>
      </c>
      <c r="FC68" t="s">
        <v>202</v>
      </c>
      <c r="FD68" t="s">
        <v>202</v>
      </c>
      <c r="FE68" t="s">
        <v>202</v>
      </c>
      <c r="FF68" t="s">
        <v>202</v>
      </c>
      <c r="FG68" t="s">
        <v>202</v>
      </c>
      <c r="FH68" t="s">
        <v>202</v>
      </c>
      <c r="FI68" t="s">
        <v>202</v>
      </c>
      <c r="FJ68" t="s">
        <v>202</v>
      </c>
      <c r="FK68" t="s">
        <v>202</v>
      </c>
      <c r="FL68" t="s">
        <v>202</v>
      </c>
      <c r="FM68" t="s">
        <v>202</v>
      </c>
      <c r="FN68" t="s">
        <v>202</v>
      </c>
      <c r="FO68">
        <v>7001</v>
      </c>
      <c r="FP68">
        <v>-1</v>
      </c>
      <c r="FQ68">
        <v>63.82</v>
      </c>
      <c r="FR68">
        <v>4763</v>
      </c>
      <c r="FS68">
        <v>0</v>
      </c>
      <c r="FT68">
        <v>0</v>
      </c>
      <c r="FW68">
        <v>0</v>
      </c>
      <c r="FX68">
        <v>0</v>
      </c>
      <c r="FY68">
        <v>0</v>
      </c>
      <c r="GA68">
        <v>-885</v>
      </c>
    </row>
    <row r="69" spans="1:183" x14ac:dyDescent="0.3">
      <c r="A69">
        <v>11101</v>
      </c>
      <c r="B69">
        <v>68</v>
      </c>
      <c r="C69" t="s">
        <v>938</v>
      </c>
      <c r="D69" t="s">
        <v>938</v>
      </c>
      <c r="E69" t="s">
        <v>961</v>
      </c>
      <c r="F69">
        <v>2456657723</v>
      </c>
      <c r="G69">
        <v>2456657723</v>
      </c>
      <c r="H69" t="s">
        <v>962</v>
      </c>
      <c r="I69" t="s">
        <v>198</v>
      </c>
      <c r="J69" t="s">
        <v>199</v>
      </c>
      <c r="L69" t="s">
        <v>333</v>
      </c>
      <c r="O69">
        <v>8982099455</v>
      </c>
      <c r="P69" t="s">
        <v>963</v>
      </c>
      <c r="Q69" s="1">
        <v>45443</v>
      </c>
      <c r="R69" s="1">
        <v>45443</v>
      </c>
      <c r="S69" s="1">
        <v>45453</v>
      </c>
      <c r="U69" t="s">
        <v>963</v>
      </c>
      <c r="W69" t="s">
        <v>202</v>
      </c>
      <c r="AB69">
        <v>114747</v>
      </c>
      <c r="AD69" t="s">
        <v>230</v>
      </c>
      <c r="AE69">
        <v>4812</v>
      </c>
      <c r="AF69" t="s">
        <v>231</v>
      </c>
      <c r="AG69" t="s">
        <v>232</v>
      </c>
      <c r="AH69" t="s">
        <v>233</v>
      </c>
      <c r="AI69">
        <v>565304</v>
      </c>
      <c r="AJ69">
        <v>729242</v>
      </c>
      <c r="AK69">
        <v>29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729242</v>
      </c>
      <c r="BA69">
        <v>31000</v>
      </c>
      <c r="BB69">
        <v>0</v>
      </c>
      <c r="BC69">
        <v>0</v>
      </c>
      <c r="BD69">
        <v>66010</v>
      </c>
      <c r="BE69" t="s">
        <v>234</v>
      </c>
      <c r="BF69">
        <v>12402</v>
      </c>
      <c r="BG69">
        <v>3540</v>
      </c>
      <c r="BH69" t="s">
        <v>209</v>
      </c>
      <c r="BI69">
        <v>30002</v>
      </c>
      <c r="BJ69">
        <v>885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500</v>
      </c>
      <c r="BT69">
        <v>0</v>
      </c>
      <c r="BU69">
        <v>0</v>
      </c>
      <c r="BV69">
        <v>0</v>
      </c>
      <c r="BW69">
        <v>0</v>
      </c>
      <c r="BX69">
        <v>873581</v>
      </c>
      <c r="BY69">
        <v>0</v>
      </c>
      <c r="BZ69">
        <v>0</v>
      </c>
      <c r="CA69">
        <v>0</v>
      </c>
      <c r="CB69">
        <v>748580</v>
      </c>
      <c r="CC69">
        <v>500</v>
      </c>
      <c r="CD69">
        <v>0</v>
      </c>
      <c r="CE69">
        <v>748580</v>
      </c>
      <c r="CF69">
        <v>0</v>
      </c>
      <c r="CG69">
        <v>0</v>
      </c>
      <c r="CH69">
        <v>0</v>
      </c>
      <c r="CJ69" t="s">
        <v>77</v>
      </c>
      <c r="CL69" t="s">
        <v>77</v>
      </c>
      <c r="CM69">
        <v>125000</v>
      </c>
      <c r="CN69">
        <v>0</v>
      </c>
      <c r="CO69">
        <v>0</v>
      </c>
      <c r="CP69">
        <v>125000</v>
      </c>
      <c r="CQ69" t="s">
        <v>964</v>
      </c>
      <c r="CT69" t="s">
        <v>965</v>
      </c>
      <c r="CU69">
        <v>1</v>
      </c>
      <c r="CV69" t="s">
        <v>966</v>
      </c>
      <c r="CW69" t="s">
        <v>967</v>
      </c>
      <c r="CX69" t="s">
        <v>879</v>
      </c>
      <c r="CY69" t="s">
        <v>880</v>
      </c>
      <c r="CZ69" t="s">
        <v>217</v>
      </c>
      <c r="DB69" t="s">
        <v>968</v>
      </c>
      <c r="DD69" t="s">
        <v>969</v>
      </c>
      <c r="DF69" t="s">
        <v>220</v>
      </c>
      <c r="DG69">
        <v>450001</v>
      </c>
      <c r="DL69">
        <v>0</v>
      </c>
      <c r="DN69">
        <v>0</v>
      </c>
      <c r="DP69" t="s">
        <v>970</v>
      </c>
      <c r="DQ69">
        <v>1014502</v>
      </c>
      <c r="DR69" t="s">
        <v>223</v>
      </c>
      <c r="DS69">
        <v>12401.8</v>
      </c>
      <c r="DT69" s="1">
        <v>45453</v>
      </c>
      <c r="DU69" t="s">
        <v>971</v>
      </c>
      <c r="DV69">
        <v>0</v>
      </c>
      <c r="EQ69" t="s">
        <v>972</v>
      </c>
      <c r="ER69" s="1">
        <v>45440</v>
      </c>
      <c r="ES69">
        <v>6000</v>
      </c>
      <c r="ET69">
        <v>531529</v>
      </c>
      <c r="EU69">
        <v>0</v>
      </c>
      <c r="EV69">
        <v>249603</v>
      </c>
      <c r="EW69" t="s">
        <v>973</v>
      </c>
      <c r="EX69">
        <v>0</v>
      </c>
      <c r="EY69" t="s">
        <v>226</v>
      </c>
      <c r="EZ69" t="s">
        <v>226</v>
      </c>
      <c r="FA69" t="s">
        <v>226</v>
      </c>
      <c r="FB69" t="s">
        <v>226</v>
      </c>
      <c r="FC69" t="s">
        <v>202</v>
      </c>
      <c r="FD69" t="s">
        <v>202</v>
      </c>
      <c r="FE69" t="s">
        <v>202</v>
      </c>
      <c r="FF69" t="s">
        <v>202</v>
      </c>
      <c r="FG69" t="s">
        <v>202</v>
      </c>
      <c r="FH69" t="s">
        <v>202</v>
      </c>
      <c r="FI69" t="s">
        <v>202</v>
      </c>
      <c r="FJ69" t="s">
        <v>202</v>
      </c>
      <c r="FK69" t="s">
        <v>202</v>
      </c>
      <c r="FL69" t="s">
        <v>202</v>
      </c>
      <c r="FM69" t="s">
        <v>202</v>
      </c>
      <c r="FN69" t="s">
        <v>202</v>
      </c>
      <c r="FO69">
        <v>31010</v>
      </c>
      <c r="FP69">
        <v>-10</v>
      </c>
      <c r="FQ69">
        <v>1654.88</v>
      </c>
      <c r="FR69">
        <v>4812</v>
      </c>
      <c r="FS69">
        <v>0</v>
      </c>
      <c r="FT69">
        <v>0</v>
      </c>
      <c r="FW69">
        <v>0</v>
      </c>
      <c r="FX69">
        <v>0</v>
      </c>
      <c r="FY69">
        <v>0</v>
      </c>
      <c r="GA69">
        <v>-885</v>
      </c>
    </row>
    <row r="70" spans="1:183" x14ac:dyDescent="0.3">
      <c r="A70">
        <v>11102</v>
      </c>
      <c r="B70">
        <v>69</v>
      </c>
      <c r="C70" t="s">
        <v>938</v>
      </c>
      <c r="D70" t="s">
        <v>938</v>
      </c>
      <c r="E70" t="s">
        <v>974</v>
      </c>
      <c r="F70">
        <v>2457112437</v>
      </c>
      <c r="G70">
        <v>2457112437</v>
      </c>
      <c r="H70" t="s">
        <v>975</v>
      </c>
      <c r="I70" t="s">
        <v>198</v>
      </c>
      <c r="J70" t="s">
        <v>199</v>
      </c>
      <c r="L70" t="s">
        <v>333</v>
      </c>
      <c r="O70">
        <v>7869084835</v>
      </c>
      <c r="P70" t="s">
        <v>976</v>
      </c>
      <c r="Q70" s="1">
        <v>45453</v>
      </c>
      <c r="R70" s="1">
        <v>45453</v>
      </c>
      <c r="S70" s="1">
        <v>45453</v>
      </c>
      <c r="U70" t="s">
        <v>976</v>
      </c>
      <c r="W70" t="s">
        <v>202</v>
      </c>
      <c r="AB70">
        <v>801830</v>
      </c>
      <c r="AD70" t="s">
        <v>287</v>
      </c>
      <c r="AE70">
        <v>4725</v>
      </c>
      <c r="AF70" t="s">
        <v>405</v>
      </c>
      <c r="AG70" t="s">
        <v>232</v>
      </c>
      <c r="AH70" t="s">
        <v>250</v>
      </c>
      <c r="AI70">
        <v>677931.02069000003</v>
      </c>
      <c r="AJ70">
        <v>983000</v>
      </c>
      <c r="AK70">
        <v>45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983000</v>
      </c>
      <c r="BA70">
        <v>40000</v>
      </c>
      <c r="BB70">
        <v>0</v>
      </c>
      <c r="BC70">
        <v>0</v>
      </c>
      <c r="BD70">
        <v>86811</v>
      </c>
      <c r="BE70" t="s">
        <v>234</v>
      </c>
      <c r="BF70">
        <v>16709</v>
      </c>
      <c r="BG70">
        <v>4933</v>
      </c>
      <c r="BH70" t="s">
        <v>209</v>
      </c>
      <c r="BI70">
        <v>36163</v>
      </c>
      <c r="BJ70">
        <v>885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500</v>
      </c>
      <c r="BT70">
        <v>0</v>
      </c>
      <c r="BU70">
        <v>0</v>
      </c>
      <c r="BV70">
        <v>0</v>
      </c>
      <c r="BW70">
        <v>0</v>
      </c>
      <c r="BX70">
        <v>1169001</v>
      </c>
      <c r="BY70">
        <v>0</v>
      </c>
      <c r="BZ70">
        <v>199000</v>
      </c>
      <c r="CA70">
        <v>0</v>
      </c>
      <c r="CB70">
        <v>970000</v>
      </c>
      <c r="CC70">
        <v>21000</v>
      </c>
      <c r="CD70">
        <v>0</v>
      </c>
      <c r="CE70">
        <v>1169000</v>
      </c>
      <c r="CF70">
        <v>0</v>
      </c>
      <c r="CG70">
        <v>0</v>
      </c>
      <c r="CH70">
        <v>900000</v>
      </c>
      <c r="CI70">
        <v>900000</v>
      </c>
      <c r="CJ70" t="s">
        <v>251</v>
      </c>
      <c r="CL70" t="s">
        <v>236</v>
      </c>
      <c r="CM70">
        <v>0</v>
      </c>
      <c r="CN70">
        <v>0</v>
      </c>
      <c r="CO70">
        <v>0</v>
      </c>
      <c r="CP70">
        <v>0</v>
      </c>
      <c r="CU70">
        <v>1</v>
      </c>
      <c r="CV70" t="s">
        <v>966</v>
      </c>
      <c r="CW70" t="s">
        <v>967</v>
      </c>
      <c r="CX70" t="s">
        <v>879</v>
      </c>
      <c r="CY70" t="s">
        <v>880</v>
      </c>
      <c r="CZ70" t="s">
        <v>217</v>
      </c>
      <c r="DB70" t="s">
        <v>977</v>
      </c>
      <c r="DD70" t="s">
        <v>978</v>
      </c>
      <c r="DF70" t="s">
        <v>220</v>
      </c>
      <c r="DG70">
        <v>450001</v>
      </c>
      <c r="DL70">
        <v>0</v>
      </c>
      <c r="DN70">
        <v>0</v>
      </c>
      <c r="DP70" t="s">
        <v>979</v>
      </c>
      <c r="DQ70">
        <v>9509827</v>
      </c>
      <c r="DR70" t="s">
        <v>223</v>
      </c>
      <c r="DS70">
        <v>16708.8</v>
      </c>
      <c r="DT70" s="1">
        <v>45453</v>
      </c>
      <c r="DU70" t="s">
        <v>980</v>
      </c>
      <c r="DV70">
        <v>0</v>
      </c>
      <c r="DW70">
        <v>1.27</v>
      </c>
      <c r="DX70">
        <v>11430</v>
      </c>
      <c r="DY70">
        <v>2057.4</v>
      </c>
      <c r="DZ70">
        <v>13487.4</v>
      </c>
      <c r="EC70">
        <v>0</v>
      </c>
      <c r="EQ70" t="s">
        <v>981</v>
      </c>
      <c r="ER70" s="1">
        <v>45424</v>
      </c>
      <c r="ES70">
        <v>8500</v>
      </c>
      <c r="ET70">
        <v>632556.03</v>
      </c>
      <c r="EU70">
        <v>0</v>
      </c>
      <c r="EV70">
        <v>250194</v>
      </c>
      <c r="EW70" t="s">
        <v>982</v>
      </c>
      <c r="EX70">
        <v>0</v>
      </c>
      <c r="EY70" t="s">
        <v>226</v>
      </c>
      <c r="EZ70" t="s">
        <v>226</v>
      </c>
      <c r="FA70" t="s">
        <v>226</v>
      </c>
      <c r="FB70" t="s">
        <v>226</v>
      </c>
      <c r="FC70" t="s">
        <v>202</v>
      </c>
      <c r="FD70" t="s">
        <v>202</v>
      </c>
      <c r="FE70" t="s">
        <v>202</v>
      </c>
      <c r="FF70" t="s">
        <v>202</v>
      </c>
      <c r="FG70" t="s">
        <v>202</v>
      </c>
      <c r="FH70" t="s">
        <v>202</v>
      </c>
      <c r="FI70" t="s">
        <v>202</v>
      </c>
      <c r="FJ70" t="s">
        <v>202</v>
      </c>
      <c r="FK70" t="s">
        <v>202</v>
      </c>
      <c r="FL70" t="s">
        <v>202</v>
      </c>
      <c r="FM70" t="s">
        <v>202</v>
      </c>
      <c r="FN70" t="s">
        <v>202</v>
      </c>
      <c r="FO70">
        <v>40014</v>
      </c>
      <c r="FP70">
        <v>-14</v>
      </c>
      <c r="FQ70">
        <v>1053.3499999999999</v>
      </c>
      <c r="FR70">
        <v>4725</v>
      </c>
      <c r="FS70">
        <v>0</v>
      </c>
      <c r="FT70">
        <v>0</v>
      </c>
      <c r="FW70">
        <v>0</v>
      </c>
      <c r="FX70">
        <v>0</v>
      </c>
      <c r="FY70">
        <v>0</v>
      </c>
      <c r="GA70">
        <v>-885</v>
      </c>
    </row>
    <row r="71" spans="1:183" x14ac:dyDescent="0.3">
      <c r="A71">
        <v>11108</v>
      </c>
      <c r="B71">
        <v>70</v>
      </c>
      <c r="C71" t="s">
        <v>938</v>
      </c>
      <c r="D71" t="s">
        <v>938</v>
      </c>
      <c r="E71" t="s">
        <v>983</v>
      </c>
      <c r="F71">
        <v>2457200846</v>
      </c>
      <c r="G71">
        <v>2457200846</v>
      </c>
      <c r="H71" t="s">
        <v>984</v>
      </c>
      <c r="I71" t="s">
        <v>198</v>
      </c>
      <c r="J71" t="s">
        <v>199</v>
      </c>
      <c r="L71" t="s">
        <v>333</v>
      </c>
      <c r="O71">
        <v>9926690190</v>
      </c>
      <c r="P71" t="s">
        <v>985</v>
      </c>
      <c r="Q71" s="1">
        <v>45454</v>
      </c>
      <c r="R71" s="1">
        <v>45454</v>
      </c>
      <c r="S71" s="1">
        <v>45453</v>
      </c>
      <c r="U71" t="s">
        <v>985</v>
      </c>
      <c r="W71" t="s">
        <v>202</v>
      </c>
      <c r="AB71">
        <v>809984</v>
      </c>
      <c r="AD71" t="s">
        <v>287</v>
      </c>
      <c r="AE71">
        <v>4725</v>
      </c>
      <c r="AF71" t="s">
        <v>405</v>
      </c>
      <c r="AG71" t="s">
        <v>232</v>
      </c>
      <c r="AH71" t="s">
        <v>250</v>
      </c>
      <c r="AI71">
        <v>677931.02069000003</v>
      </c>
      <c r="AJ71">
        <v>983000</v>
      </c>
      <c r="AK71">
        <v>45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983000</v>
      </c>
      <c r="BA71">
        <v>37000</v>
      </c>
      <c r="BB71">
        <v>0</v>
      </c>
      <c r="BC71">
        <v>0</v>
      </c>
      <c r="BD71">
        <v>86811</v>
      </c>
      <c r="BE71" t="s">
        <v>234</v>
      </c>
      <c r="BF71">
        <v>16709</v>
      </c>
      <c r="BG71">
        <v>0</v>
      </c>
      <c r="BH71" t="s">
        <v>209</v>
      </c>
      <c r="BI71">
        <v>35000</v>
      </c>
      <c r="BJ71">
        <v>885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500</v>
      </c>
      <c r="BT71">
        <v>0</v>
      </c>
      <c r="BU71">
        <v>0</v>
      </c>
      <c r="BV71">
        <v>0</v>
      </c>
      <c r="BW71">
        <v>0</v>
      </c>
      <c r="BX71">
        <v>1159905</v>
      </c>
      <c r="BY71">
        <v>0</v>
      </c>
      <c r="BZ71">
        <v>190000</v>
      </c>
      <c r="CA71">
        <v>0</v>
      </c>
      <c r="CB71">
        <v>70000</v>
      </c>
      <c r="CC71">
        <v>0</v>
      </c>
      <c r="CD71">
        <v>0</v>
      </c>
      <c r="CE71">
        <v>260000</v>
      </c>
      <c r="CF71">
        <v>0</v>
      </c>
      <c r="CG71">
        <v>0</v>
      </c>
      <c r="CH71">
        <v>900000</v>
      </c>
      <c r="CJ71" t="s">
        <v>522</v>
      </c>
      <c r="CL71" t="s">
        <v>211</v>
      </c>
      <c r="CM71">
        <v>0</v>
      </c>
      <c r="CN71">
        <v>0</v>
      </c>
      <c r="CO71">
        <v>0</v>
      </c>
      <c r="CP71">
        <v>0</v>
      </c>
      <c r="CU71">
        <v>-95</v>
      </c>
      <c r="CV71">
        <v>694</v>
      </c>
      <c r="CW71" t="s">
        <v>986</v>
      </c>
      <c r="CX71">
        <v>694</v>
      </c>
      <c r="CY71" t="s">
        <v>986</v>
      </c>
      <c r="CZ71" t="s">
        <v>217</v>
      </c>
      <c r="DB71" t="s">
        <v>987</v>
      </c>
      <c r="DD71" t="s">
        <v>988</v>
      </c>
      <c r="DF71" t="s">
        <v>220</v>
      </c>
      <c r="DG71">
        <v>450001</v>
      </c>
      <c r="DL71">
        <v>0</v>
      </c>
      <c r="DN71">
        <v>0</v>
      </c>
      <c r="DP71" t="s">
        <v>989</v>
      </c>
      <c r="DQ71">
        <v>7445622</v>
      </c>
      <c r="DR71" t="s">
        <v>223</v>
      </c>
      <c r="DS71">
        <v>16708.8</v>
      </c>
      <c r="DT71" s="1">
        <v>45454</v>
      </c>
      <c r="DU71" t="s">
        <v>990</v>
      </c>
      <c r="DV71">
        <v>0</v>
      </c>
      <c r="DW71">
        <v>1</v>
      </c>
      <c r="DX71">
        <v>9000</v>
      </c>
      <c r="DY71">
        <v>1620</v>
      </c>
      <c r="DZ71">
        <v>10620</v>
      </c>
      <c r="EC71">
        <v>0</v>
      </c>
      <c r="EQ71" t="s">
        <v>991</v>
      </c>
      <c r="ER71" s="1">
        <v>45443</v>
      </c>
      <c r="ES71">
        <v>8500</v>
      </c>
      <c r="ET71">
        <v>632556.03</v>
      </c>
      <c r="EU71">
        <v>0</v>
      </c>
      <c r="EV71">
        <v>251030</v>
      </c>
      <c r="EW71" t="s">
        <v>992</v>
      </c>
      <c r="EX71">
        <v>0</v>
      </c>
      <c r="EY71" t="s">
        <v>226</v>
      </c>
      <c r="EZ71" t="s">
        <v>226</v>
      </c>
      <c r="FA71" t="s">
        <v>226</v>
      </c>
      <c r="FB71" t="s">
        <v>226</v>
      </c>
      <c r="FC71" t="s">
        <v>202</v>
      </c>
      <c r="FD71" t="s">
        <v>202</v>
      </c>
      <c r="FE71" t="s">
        <v>202</v>
      </c>
      <c r="FF71" t="s">
        <v>202</v>
      </c>
      <c r="FG71" t="s">
        <v>202</v>
      </c>
      <c r="FH71" t="s">
        <v>202</v>
      </c>
      <c r="FI71" t="s">
        <v>202</v>
      </c>
      <c r="FJ71" t="s">
        <v>202</v>
      </c>
      <c r="FK71" t="s">
        <v>202</v>
      </c>
      <c r="FL71" t="s">
        <v>202</v>
      </c>
      <c r="FM71" t="s">
        <v>202</v>
      </c>
      <c r="FN71" t="s">
        <v>202</v>
      </c>
      <c r="FO71">
        <v>36967</v>
      </c>
      <c r="FP71">
        <v>33</v>
      </c>
      <c r="FQ71">
        <v>0</v>
      </c>
      <c r="FR71">
        <v>4725</v>
      </c>
      <c r="FS71">
        <v>0</v>
      </c>
      <c r="FT71">
        <v>0</v>
      </c>
      <c r="FW71">
        <v>0</v>
      </c>
      <c r="FX71">
        <v>0</v>
      </c>
      <c r="FY71">
        <v>0</v>
      </c>
      <c r="GA71">
        <v>-885</v>
      </c>
    </row>
    <row r="72" spans="1:183" x14ac:dyDescent="0.3">
      <c r="A72">
        <v>11113</v>
      </c>
      <c r="B72">
        <v>71</v>
      </c>
      <c r="C72" t="s">
        <v>938</v>
      </c>
      <c r="D72" t="s">
        <v>938</v>
      </c>
      <c r="E72" t="s">
        <v>993</v>
      </c>
      <c r="F72">
        <v>2457158065</v>
      </c>
      <c r="G72">
        <v>2457158065</v>
      </c>
      <c r="H72" t="s">
        <v>994</v>
      </c>
      <c r="I72" t="s">
        <v>198</v>
      </c>
      <c r="J72" t="s">
        <v>199</v>
      </c>
      <c r="L72" t="s">
        <v>333</v>
      </c>
      <c r="O72">
        <v>8815871991</v>
      </c>
      <c r="P72" t="s">
        <v>995</v>
      </c>
      <c r="Q72" s="1">
        <v>45453</v>
      </c>
      <c r="R72" s="1">
        <v>45453</v>
      </c>
      <c r="S72" s="1">
        <v>45453</v>
      </c>
      <c r="U72" t="s">
        <v>995</v>
      </c>
      <c r="W72" t="s">
        <v>202</v>
      </c>
      <c r="AB72" t="s">
        <v>996</v>
      </c>
      <c r="AD72" t="s">
        <v>310</v>
      </c>
      <c r="AE72">
        <v>4763</v>
      </c>
      <c r="AF72" t="s">
        <v>355</v>
      </c>
      <c r="AG72" t="s">
        <v>232</v>
      </c>
      <c r="AH72" t="s">
        <v>207</v>
      </c>
      <c r="AI72">
        <v>434883.62790700002</v>
      </c>
      <c r="AJ72">
        <v>561000</v>
      </c>
      <c r="AK72">
        <v>29</v>
      </c>
      <c r="AL72">
        <v>10000</v>
      </c>
      <c r="AM72">
        <v>0</v>
      </c>
      <c r="AN72">
        <v>0</v>
      </c>
      <c r="AO72">
        <v>0</v>
      </c>
      <c r="AP72">
        <v>0</v>
      </c>
      <c r="AQ72">
        <v>15000</v>
      </c>
      <c r="AR72">
        <v>0</v>
      </c>
      <c r="AS72">
        <v>0</v>
      </c>
      <c r="AT72">
        <v>0</v>
      </c>
      <c r="AU72">
        <v>0</v>
      </c>
      <c r="AV72">
        <v>14951</v>
      </c>
      <c r="AW72">
        <v>0</v>
      </c>
      <c r="AX72">
        <v>0</v>
      </c>
      <c r="AY72">
        <v>39951</v>
      </c>
      <c r="AZ72">
        <v>521049</v>
      </c>
      <c r="BA72">
        <v>28600</v>
      </c>
      <c r="BB72">
        <v>0</v>
      </c>
      <c r="BC72">
        <v>0</v>
      </c>
      <c r="BD72">
        <v>53351</v>
      </c>
      <c r="BE72" t="s">
        <v>208</v>
      </c>
      <c r="BF72">
        <v>0</v>
      </c>
      <c r="BG72">
        <v>0</v>
      </c>
      <c r="BH72" t="s">
        <v>209</v>
      </c>
      <c r="BI72">
        <v>25509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500</v>
      </c>
      <c r="BT72">
        <v>0</v>
      </c>
      <c r="BU72">
        <v>0</v>
      </c>
      <c r="BV72">
        <v>0</v>
      </c>
      <c r="BW72">
        <v>0</v>
      </c>
      <c r="BX72">
        <v>629009</v>
      </c>
      <c r="BY72">
        <v>0</v>
      </c>
      <c r="BZ72">
        <v>199000</v>
      </c>
      <c r="CA72">
        <v>0</v>
      </c>
      <c r="CB72">
        <v>80000</v>
      </c>
      <c r="CC72">
        <v>0</v>
      </c>
      <c r="CD72">
        <v>0</v>
      </c>
      <c r="CE72">
        <v>279000</v>
      </c>
      <c r="CF72">
        <v>0</v>
      </c>
      <c r="CG72">
        <v>0</v>
      </c>
      <c r="CH72">
        <v>350000</v>
      </c>
      <c r="CJ72" t="s">
        <v>210</v>
      </c>
      <c r="CL72" t="s">
        <v>211</v>
      </c>
      <c r="CM72">
        <v>0</v>
      </c>
      <c r="CN72">
        <v>0</v>
      </c>
      <c r="CO72">
        <v>0</v>
      </c>
      <c r="CP72">
        <v>0</v>
      </c>
      <c r="CU72">
        <v>9</v>
      </c>
      <c r="CV72" t="s">
        <v>997</v>
      </c>
      <c r="CW72" t="s">
        <v>998</v>
      </c>
      <c r="CX72">
        <v>694</v>
      </c>
      <c r="CY72" t="s">
        <v>986</v>
      </c>
      <c r="CZ72" t="s">
        <v>217</v>
      </c>
      <c r="DB72" t="s">
        <v>999</v>
      </c>
      <c r="DD72" t="s">
        <v>1000</v>
      </c>
      <c r="DF72" t="s">
        <v>220</v>
      </c>
      <c r="DG72">
        <v>450001</v>
      </c>
      <c r="DL72">
        <v>0</v>
      </c>
      <c r="DN72">
        <v>0</v>
      </c>
      <c r="DP72" t="s">
        <v>1001</v>
      </c>
      <c r="DQ72">
        <v>4258934</v>
      </c>
      <c r="DR72" t="s">
        <v>223</v>
      </c>
      <c r="DS72">
        <v>0</v>
      </c>
      <c r="DV72">
        <v>0</v>
      </c>
      <c r="DW72">
        <v>1.5</v>
      </c>
      <c r="DX72">
        <v>5250</v>
      </c>
      <c r="DY72">
        <v>945</v>
      </c>
      <c r="DZ72">
        <v>6195</v>
      </c>
      <c r="EC72">
        <v>0</v>
      </c>
      <c r="EQ72" t="s">
        <v>1002</v>
      </c>
      <c r="ER72" s="1">
        <v>45434</v>
      </c>
      <c r="ES72">
        <v>3000</v>
      </c>
      <c r="ET72">
        <v>404981.86</v>
      </c>
      <c r="EU72">
        <v>5426.4</v>
      </c>
      <c r="EV72">
        <v>250540</v>
      </c>
      <c r="EW72" t="s">
        <v>1003</v>
      </c>
      <c r="EX72">
        <v>0</v>
      </c>
      <c r="EY72" t="s">
        <v>226</v>
      </c>
      <c r="EZ72" t="s">
        <v>202</v>
      </c>
      <c r="FA72" t="s">
        <v>226</v>
      </c>
      <c r="FB72" t="s">
        <v>226</v>
      </c>
      <c r="FC72" t="s">
        <v>202</v>
      </c>
      <c r="FD72" t="s">
        <v>202</v>
      </c>
      <c r="FE72" t="s">
        <v>202</v>
      </c>
      <c r="FF72" t="s">
        <v>202</v>
      </c>
      <c r="FG72" t="s">
        <v>202</v>
      </c>
      <c r="FH72" t="s">
        <v>202</v>
      </c>
      <c r="FI72" t="s">
        <v>202</v>
      </c>
      <c r="FJ72" t="s">
        <v>202</v>
      </c>
      <c r="FK72" t="s">
        <v>202</v>
      </c>
      <c r="FL72" t="s">
        <v>202</v>
      </c>
      <c r="FM72" t="s">
        <v>202</v>
      </c>
      <c r="FN72" t="s">
        <v>202</v>
      </c>
      <c r="FO72">
        <v>28591</v>
      </c>
      <c r="FP72">
        <v>9</v>
      </c>
      <c r="FQ72">
        <v>746.39</v>
      </c>
      <c r="FR72">
        <v>4763</v>
      </c>
      <c r="FS72">
        <v>0</v>
      </c>
      <c r="FT72">
        <v>0</v>
      </c>
      <c r="FW72">
        <v>0</v>
      </c>
      <c r="FX72">
        <v>0</v>
      </c>
      <c r="FY72">
        <v>0</v>
      </c>
      <c r="GA72">
        <v>0</v>
      </c>
    </row>
    <row r="73" spans="1:183" x14ac:dyDescent="0.3">
      <c r="A73">
        <v>11121</v>
      </c>
      <c r="B73">
        <v>72</v>
      </c>
      <c r="C73" t="s">
        <v>938</v>
      </c>
      <c r="D73" t="s">
        <v>938</v>
      </c>
      <c r="E73" t="s">
        <v>1004</v>
      </c>
      <c r="F73">
        <v>2457204629</v>
      </c>
      <c r="G73">
        <v>2457204629</v>
      </c>
      <c r="H73" t="s">
        <v>1005</v>
      </c>
      <c r="I73" t="s">
        <v>198</v>
      </c>
      <c r="J73" t="s">
        <v>199</v>
      </c>
      <c r="L73" t="s">
        <v>333</v>
      </c>
      <c r="O73">
        <v>8878833238</v>
      </c>
      <c r="P73" t="s">
        <v>1006</v>
      </c>
      <c r="Q73" s="1">
        <v>45454</v>
      </c>
      <c r="R73" s="1">
        <v>45454</v>
      </c>
      <c r="S73" s="1">
        <v>45454</v>
      </c>
      <c r="U73" t="s">
        <v>1006</v>
      </c>
      <c r="W73" t="s">
        <v>202</v>
      </c>
      <c r="AB73" t="s">
        <v>1007</v>
      </c>
      <c r="AD73" t="s">
        <v>204</v>
      </c>
      <c r="AE73">
        <v>4687</v>
      </c>
      <c r="AF73" t="s">
        <v>263</v>
      </c>
      <c r="AG73" t="s">
        <v>232</v>
      </c>
      <c r="AH73" t="s">
        <v>207</v>
      </c>
      <c r="AI73">
        <v>464728.68217099999</v>
      </c>
      <c r="AJ73">
        <v>599500</v>
      </c>
      <c r="AK73">
        <v>29</v>
      </c>
      <c r="AL73">
        <v>10000</v>
      </c>
      <c r="AM73">
        <v>0</v>
      </c>
      <c r="AN73">
        <v>0</v>
      </c>
      <c r="AO73">
        <v>3500</v>
      </c>
      <c r="AP73">
        <v>0</v>
      </c>
      <c r="AQ73">
        <v>25000</v>
      </c>
      <c r="AR73">
        <v>0</v>
      </c>
      <c r="AS73">
        <v>0</v>
      </c>
      <c r="AT73">
        <v>0</v>
      </c>
      <c r="AU73">
        <v>0</v>
      </c>
      <c r="AV73">
        <v>5000</v>
      </c>
      <c r="AW73">
        <v>0</v>
      </c>
      <c r="AX73">
        <v>0</v>
      </c>
      <c r="AY73">
        <v>43500</v>
      </c>
      <c r="AZ73">
        <v>556000</v>
      </c>
      <c r="BA73">
        <v>35000</v>
      </c>
      <c r="BB73">
        <v>0</v>
      </c>
      <c r="BC73">
        <v>0</v>
      </c>
      <c r="BD73">
        <v>56531</v>
      </c>
      <c r="BE73" t="s">
        <v>208</v>
      </c>
      <c r="BF73">
        <v>0</v>
      </c>
      <c r="BG73">
        <v>0</v>
      </c>
      <c r="BH73" t="s">
        <v>209</v>
      </c>
      <c r="BI73">
        <v>22000</v>
      </c>
      <c r="BJ73">
        <v>885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500</v>
      </c>
      <c r="BT73">
        <v>0</v>
      </c>
      <c r="BU73">
        <v>0</v>
      </c>
      <c r="BV73">
        <v>0</v>
      </c>
      <c r="BW73">
        <v>0</v>
      </c>
      <c r="BX73">
        <v>670916</v>
      </c>
      <c r="BY73">
        <v>0</v>
      </c>
      <c r="BZ73">
        <v>198000</v>
      </c>
      <c r="CA73">
        <v>0</v>
      </c>
      <c r="CB73">
        <v>53000</v>
      </c>
      <c r="CC73">
        <v>0</v>
      </c>
      <c r="CD73">
        <v>0</v>
      </c>
      <c r="CE73">
        <v>251000</v>
      </c>
      <c r="CF73">
        <v>0</v>
      </c>
      <c r="CG73">
        <v>0</v>
      </c>
      <c r="CH73">
        <v>420000</v>
      </c>
      <c r="CJ73" t="s">
        <v>522</v>
      </c>
      <c r="CL73" t="s">
        <v>211</v>
      </c>
      <c r="CM73">
        <v>0</v>
      </c>
      <c r="CN73">
        <v>0</v>
      </c>
      <c r="CO73">
        <v>0</v>
      </c>
      <c r="CP73">
        <v>0</v>
      </c>
      <c r="CU73">
        <v>-84</v>
      </c>
      <c r="CV73" t="s">
        <v>997</v>
      </c>
      <c r="CW73" t="s">
        <v>998</v>
      </c>
      <c r="CX73">
        <v>694</v>
      </c>
      <c r="CY73" t="s">
        <v>986</v>
      </c>
      <c r="CZ73" t="s">
        <v>217</v>
      </c>
      <c r="DB73" t="s">
        <v>1008</v>
      </c>
      <c r="DD73" t="s">
        <v>1009</v>
      </c>
      <c r="DF73" t="s">
        <v>220</v>
      </c>
      <c r="DG73">
        <v>450001</v>
      </c>
      <c r="DL73">
        <v>0</v>
      </c>
      <c r="DN73">
        <v>0</v>
      </c>
      <c r="DP73" t="s">
        <v>1010</v>
      </c>
      <c r="DQ73" t="s">
        <v>1011</v>
      </c>
      <c r="DR73" t="s">
        <v>223</v>
      </c>
      <c r="DS73">
        <v>0</v>
      </c>
      <c r="DV73">
        <v>0</v>
      </c>
      <c r="DW73">
        <v>1</v>
      </c>
      <c r="DX73">
        <v>4200</v>
      </c>
      <c r="DY73">
        <v>756</v>
      </c>
      <c r="DZ73">
        <v>4956</v>
      </c>
      <c r="EC73">
        <v>0</v>
      </c>
      <c r="EQ73" t="s">
        <v>1012</v>
      </c>
      <c r="ER73" s="1">
        <v>45401</v>
      </c>
      <c r="ES73">
        <v>4000</v>
      </c>
      <c r="ET73">
        <v>429977.29</v>
      </c>
      <c r="EU73">
        <v>5426.4</v>
      </c>
      <c r="EV73">
        <v>251086</v>
      </c>
      <c r="EW73" t="s">
        <v>1013</v>
      </c>
      <c r="EX73">
        <v>0</v>
      </c>
      <c r="EY73" t="s">
        <v>226</v>
      </c>
      <c r="EZ73" t="s">
        <v>202</v>
      </c>
      <c r="FA73" t="s">
        <v>226</v>
      </c>
      <c r="FB73" t="s">
        <v>226</v>
      </c>
      <c r="FC73" t="s">
        <v>202</v>
      </c>
      <c r="FD73" t="s">
        <v>202</v>
      </c>
      <c r="FE73" t="s">
        <v>202</v>
      </c>
      <c r="FF73" t="s">
        <v>202</v>
      </c>
      <c r="FG73" t="s">
        <v>202</v>
      </c>
      <c r="FH73" t="s">
        <v>202</v>
      </c>
      <c r="FI73" t="s">
        <v>202</v>
      </c>
      <c r="FJ73" t="s">
        <v>202</v>
      </c>
      <c r="FK73" t="s">
        <v>202</v>
      </c>
      <c r="FL73" t="s">
        <v>202</v>
      </c>
      <c r="FM73" t="s">
        <v>202</v>
      </c>
      <c r="FN73" t="s">
        <v>202</v>
      </c>
      <c r="FO73">
        <v>35000</v>
      </c>
      <c r="FP73">
        <v>0</v>
      </c>
      <c r="FQ73">
        <v>726.32</v>
      </c>
      <c r="FR73">
        <v>4687</v>
      </c>
      <c r="FS73">
        <v>0</v>
      </c>
      <c r="FT73">
        <v>0</v>
      </c>
      <c r="FW73">
        <v>0</v>
      </c>
      <c r="FX73">
        <v>0</v>
      </c>
      <c r="FY73">
        <v>0</v>
      </c>
      <c r="GA73">
        <v>-885</v>
      </c>
    </row>
    <row r="74" spans="1:183" x14ac:dyDescent="0.3">
      <c r="A74">
        <v>11127</v>
      </c>
      <c r="B74">
        <v>73</v>
      </c>
      <c r="C74" t="s">
        <v>938</v>
      </c>
      <c r="D74" t="s">
        <v>938</v>
      </c>
      <c r="E74" t="s">
        <v>1014</v>
      </c>
      <c r="F74">
        <v>2457232956</v>
      </c>
      <c r="G74">
        <v>2457232956</v>
      </c>
      <c r="H74" t="s">
        <v>1015</v>
      </c>
      <c r="I74" t="s">
        <v>198</v>
      </c>
      <c r="J74" t="s">
        <v>199</v>
      </c>
      <c r="L74" t="s">
        <v>333</v>
      </c>
      <c r="O74">
        <v>9826561004</v>
      </c>
      <c r="P74" t="s">
        <v>1016</v>
      </c>
      <c r="Q74" s="1">
        <v>45456</v>
      </c>
      <c r="R74" s="1">
        <v>45456</v>
      </c>
      <c r="S74" s="1">
        <v>45455</v>
      </c>
      <c r="U74" t="s">
        <v>1016</v>
      </c>
      <c r="W74" t="s">
        <v>202</v>
      </c>
      <c r="AB74" t="s">
        <v>1017</v>
      </c>
      <c r="AD74" t="s">
        <v>204</v>
      </c>
      <c r="AE74">
        <v>4687</v>
      </c>
      <c r="AF74" t="s">
        <v>263</v>
      </c>
      <c r="AG74" t="s">
        <v>232</v>
      </c>
      <c r="AH74" t="s">
        <v>207</v>
      </c>
      <c r="AI74">
        <v>464728.68217099999</v>
      </c>
      <c r="AJ74">
        <v>599500</v>
      </c>
      <c r="AK74">
        <v>29</v>
      </c>
      <c r="AL74">
        <v>10000</v>
      </c>
      <c r="AM74">
        <v>0</v>
      </c>
      <c r="AN74">
        <v>0</v>
      </c>
      <c r="AO74">
        <v>2100</v>
      </c>
      <c r="AP74">
        <v>0</v>
      </c>
      <c r="AQ74">
        <v>25000</v>
      </c>
      <c r="AR74">
        <v>0</v>
      </c>
      <c r="AS74">
        <v>0</v>
      </c>
      <c r="AT74">
        <v>0</v>
      </c>
      <c r="AU74">
        <v>0</v>
      </c>
      <c r="AV74">
        <v>12662</v>
      </c>
      <c r="AW74">
        <v>0</v>
      </c>
      <c r="AX74">
        <v>0</v>
      </c>
      <c r="AY74">
        <v>49762</v>
      </c>
      <c r="AZ74">
        <v>549738</v>
      </c>
      <c r="BA74">
        <v>37000</v>
      </c>
      <c r="BB74">
        <v>0</v>
      </c>
      <c r="BC74">
        <v>0</v>
      </c>
      <c r="BD74">
        <v>56531</v>
      </c>
      <c r="BE74" t="s">
        <v>234</v>
      </c>
      <c r="BF74">
        <v>9346</v>
      </c>
      <c r="BG74">
        <v>0</v>
      </c>
      <c r="BH74" t="s">
        <v>209</v>
      </c>
      <c r="BI74">
        <v>22000</v>
      </c>
      <c r="BJ74">
        <v>885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500</v>
      </c>
      <c r="BT74">
        <v>0</v>
      </c>
      <c r="BU74">
        <v>0</v>
      </c>
      <c r="BV74">
        <v>0</v>
      </c>
      <c r="BW74">
        <v>0</v>
      </c>
      <c r="BX74">
        <v>676000</v>
      </c>
      <c r="BY74">
        <v>0</v>
      </c>
      <c r="BZ74">
        <v>199000</v>
      </c>
      <c r="CA74">
        <v>0</v>
      </c>
      <c r="CB74">
        <v>101000</v>
      </c>
      <c r="CC74">
        <v>0</v>
      </c>
      <c r="CD74">
        <v>0</v>
      </c>
      <c r="CE74">
        <v>300000</v>
      </c>
      <c r="CF74">
        <v>0</v>
      </c>
      <c r="CG74">
        <v>0</v>
      </c>
      <c r="CH74">
        <v>376000</v>
      </c>
      <c r="CJ74" t="s">
        <v>210</v>
      </c>
      <c r="CL74" t="s">
        <v>211</v>
      </c>
      <c r="CM74">
        <v>0</v>
      </c>
      <c r="CN74">
        <v>0</v>
      </c>
      <c r="CO74">
        <v>0</v>
      </c>
      <c r="CP74">
        <v>0</v>
      </c>
      <c r="CU74">
        <v>0</v>
      </c>
      <c r="CV74" t="s">
        <v>966</v>
      </c>
      <c r="CW74" t="s">
        <v>967</v>
      </c>
      <c r="CX74" t="s">
        <v>879</v>
      </c>
      <c r="CY74" t="s">
        <v>880</v>
      </c>
      <c r="CZ74" t="s">
        <v>217</v>
      </c>
      <c r="DB74" t="s">
        <v>1018</v>
      </c>
      <c r="DD74" t="s">
        <v>1019</v>
      </c>
      <c r="DF74" t="s">
        <v>220</v>
      </c>
      <c r="DG74">
        <v>450661</v>
      </c>
      <c r="DL74">
        <v>0</v>
      </c>
      <c r="DN74">
        <v>0</v>
      </c>
      <c r="DP74" t="s">
        <v>1020</v>
      </c>
      <c r="DQ74" t="s">
        <v>1021</v>
      </c>
      <c r="DR74" t="s">
        <v>223</v>
      </c>
      <c r="DS74">
        <v>9345.6</v>
      </c>
      <c r="DT74" s="1">
        <v>45456</v>
      </c>
      <c r="DU74" t="s">
        <v>1022</v>
      </c>
      <c r="DV74">
        <v>0</v>
      </c>
      <c r="DW74">
        <v>1.5</v>
      </c>
      <c r="DX74">
        <v>5640</v>
      </c>
      <c r="DY74">
        <v>1015.2</v>
      </c>
      <c r="DZ74">
        <v>6655.2</v>
      </c>
      <c r="EC74">
        <v>0</v>
      </c>
      <c r="EQ74" t="s">
        <v>1023</v>
      </c>
      <c r="ER74" s="1">
        <v>45419</v>
      </c>
      <c r="ES74">
        <v>4000</v>
      </c>
      <c r="ET74">
        <v>429977.29</v>
      </c>
      <c r="EU74">
        <v>5426.4</v>
      </c>
      <c r="EV74">
        <v>251309</v>
      </c>
      <c r="EW74" t="s">
        <v>1024</v>
      </c>
      <c r="EX74">
        <v>0</v>
      </c>
      <c r="EY74" t="s">
        <v>226</v>
      </c>
      <c r="EZ74" t="s">
        <v>226</v>
      </c>
      <c r="FA74" t="s">
        <v>226</v>
      </c>
      <c r="FB74" t="s">
        <v>226</v>
      </c>
      <c r="FC74" t="s">
        <v>202</v>
      </c>
      <c r="FD74" t="s">
        <v>202</v>
      </c>
      <c r="FE74" t="s">
        <v>202</v>
      </c>
      <c r="FF74" t="s">
        <v>202</v>
      </c>
      <c r="FG74" t="s">
        <v>202</v>
      </c>
      <c r="FH74" t="s">
        <v>202</v>
      </c>
      <c r="FI74" t="s">
        <v>202</v>
      </c>
      <c r="FJ74" t="s">
        <v>202</v>
      </c>
      <c r="FK74" t="s">
        <v>202</v>
      </c>
      <c r="FL74" t="s">
        <v>202</v>
      </c>
      <c r="FM74" t="s">
        <v>202</v>
      </c>
      <c r="FN74" t="s">
        <v>202</v>
      </c>
      <c r="FO74">
        <v>37022</v>
      </c>
      <c r="FP74">
        <v>-22</v>
      </c>
      <c r="FQ74">
        <v>44.92</v>
      </c>
      <c r="FR74">
        <v>4687</v>
      </c>
      <c r="FS74">
        <v>0</v>
      </c>
      <c r="FT74">
        <v>0</v>
      </c>
      <c r="FW74">
        <v>0</v>
      </c>
      <c r="FX74">
        <v>0</v>
      </c>
      <c r="FY74">
        <v>0</v>
      </c>
      <c r="GA74">
        <v>1237</v>
      </c>
    </row>
    <row r="75" spans="1:183" x14ac:dyDescent="0.3">
      <c r="A75">
        <v>11145</v>
      </c>
      <c r="B75">
        <v>74</v>
      </c>
      <c r="C75" t="s">
        <v>938</v>
      </c>
      <c r="D75" t="s">
        <v>938</v>
      </c>
      <c r="E75" t="s">
        <v>1025</v>
      </c>
      <c r="F75">
        <v>2457239684</v>
      </c>
      <c r="G75">
        <v>2457239684</v>
      </c>
      <c r="H75" t="s">
        <v>1026</v>
      </c>
      <c r="I75" t="s">
        <v>198</v>
      </c>
      <c r="J75" t="s">
        <v>199</v>
      </c>
      <c r="L75" t="s">
        <v>333</v>
      </c>
      <c r="O75">
        <v>8224971014</v>
      </c>
      <c r="P75" t="s">
        <v>1027</v>
      </c>
      <c r="Q75" s="1">
        <v>45458</v>
      </c>
      <c r="R75" s="1">
        <v>45458</v>
      </c>
      <c r="S75" s="1">
        <v>45457</v>
      </c>
      <c r="U75" t="s">
        <v>1027</v>
      </c>
      <c r="W75" t="s">
        <v>202</v>
      </c>
      <c r="AB75" t="s">
        <v>1028</v>
      </c>
      <c r="AD75" t="s">
        <v>204</v>
      </c>
      <c r="AE75">
        <v>4804</v>
      </c>
      <c r="AF75" t="s">
        <v>205</v>
      </c>
      <c r="AG75" t="s">
        <v>206</v>
      </c>
      <c r="AH75" t="s">
        <v>356</v>
      </c>
      <c r="AI75">
        <v>534495.68992200005</v>
      </c>
      <c r="AJ75">
        <v>689500</v>
      </c>
      <c r="AK75">
        <v>29</v>
      </c>
      <c r="AL75">
        <v>10000</v>
      </c>
      <c r="AM75">
        <v>0</v>
      </c>
      <c r="AN75">
        <v>0</v>
      </c>
      <c r="AO75">
        <v>3500</v>
      </c>
      <c r="AP75">
        <v>0</v>
      </c>
      <c r="AQ75">
        <v>5000</v>
      </c>
      <c r="AR75">
        <v>0</v>
      </c>
      <c r="AS75">
        <v>0</v>
      </c>
      <c r="AT75">
        <v>0</v>
      </c>
      <c r="AU75">
        <v>0</v>
      </c>
      <c r="AV75">
        <v>32366</v>
      </c>
      <c r="AW75">
        <v>0</v>
      </c>
      <c r="AX75">
        <v>0</v>
      </c>
      <c r="AY75">
        <v>50866</v>
      </c>
      <c r="AZ75">
        <v>638634</v>
      </c>
      <c r="BA75">
        <v>34000</v>
      </c>
      <c r="BB75">
        <v>0</v>
      </c>
      <c r="BC75">
        <v>0</v>
      </c>
      <c r="BD75">
        <v>63731</v>
      </c>
      <c r="BE75" t="s">
        <v>234</v>
      </c>
      <c r="BF75">
        <v>10750</v>
      </c>
      <c r="BG75">
        <v>0</v>
      </c>
      <c r="BH75" t="s">
        <v>209</v>
      </c>
      <c r="BI75">
        <v>22000</v>
      </c>
      <c r="BJ75">
        <v>885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770000</v>
      </c>
      <c r="BY75">
        <v>0</v>
      </c>
      <c r="BZ75">
        <v>0</v>
      </c>
      <c r="CA75">
        <v>0</v>
      </c>
      <c r="CB75">
        <v>770000</v>
      </c>
      <c r="CC75">
        <v>10000</v>
      </c>
      <c r="CD75">
        <v>0</v>
      </c>
      <c r="CE75">
        <v>770000</v>
      </c>
      <c r="CF75">
        <v>0</v>
      </c>
      <c r="CG75">
        <v>0</v>
      </c>
      <c r="CH75">
        <v>500000</v>
      </c>
      <c r="CJ75" t="s">
        <v>251</v>
      </c>
      <c r="CL75" t="s">
        <v>236</v>
      </c>
      <c r="CM75">
        <v>0</v>
      </c>
      <c r="CN75">
        <v>0</v>
      </c>
      <c r="CO75">
        <v>0</v>
      </c>
      <c r="CP75">
        <v>0</v>
      </c>
      <c r="CU75">
        <v>-500000</v>
      </c>
      <c r="CV75" t="s">
        <v>943</v>
      </c>
      <c r="CW75" t="s">
        <v>944</v>
      </c>
      <c r="CX75" t="s">
        <v>879</v>
      </c>
      <c r="CY75" t="s">
        <v>880</v>
      </c>
      <c r="CZ75" t="s">
        <v>217</v>
      </c>
      <c r="DB75" t="s">
        <v>1029</v>
      </c>
      <c r="DD75" t="s">
        <v>1030</v>
      </c>
      <c r="DF75" t="s">
        <v>220</v>
      </c>
      <c r="DG75">
        <v>450001</v>
      </c>
      <c r="DL75">
        <v>0</v>
      </c>
      <c r="DN75">
        <v>0</v>
      </c>
      <c r="DP75" t="s">
        <v>1031</v>
      </c>
      <c r="DQ75" t="s">
        <v>1032</v>
      </c>
      <c r="DR75" t="s">
        <v>223</v>
      </c>
      <c r="DS75">
        <v>10749.8</v>
      </c>
      <c r="DT75" s="1">
        <v>45458</v>
      </c>
      <c r="DU75" t="s">
        <v>1033</v>
      </c>
      <c r="DV75">
        <v>0</v>
      </c>
      <c r="DW75">
        <v>1.27</v>
      </c>
      <c r="DX75">
        <v>6350</v>
      </c>
      <c r="DY75">
        <v>1143</v>
      </c>
      <c r="DZ75">
        <v>7493</v>
      </c>
      <c r="EC75">
        <v>0</v>
      </c>
      <c r="EQ75" t="s">
        <v>1034</v>
      </c>
      <c r="ER75" s="1">
        <v>45414</v>
      </c>
      <c r="ES75">
        <v>4000</v>
      </c>
      <c r="ET75">
        <v>498744.29</v>
      </c>
      <c r="EU75">
        <v>5426.4</v>
      </c>
      <c r="EV75">
        <v>251399</v>
      </c>
      <c r="EW75" t="s">
        <v>1035</v>
      </c>
      <c r="EX75">
        <v>0</v>
      </c>
      <c r="EY75" t="s">
        <v>226</v>
      </c>
      <c r="EZ75" t="s">
        <v>226</v>
      </c>
      <c r="FA75" t="s">
        <v>226</v>
      </c>
      <c r="FB75" t="s">
        <v>202</v>
      </c>
      <c r="FC75" t="s">
        <v>202</v>
      </c>
      <c r="FD75" t="s">
        <v>202</v>
      </c>
      <c r="FE75" t="s">
        <v>202</v>
      </c>
      <c r="FF75" t="s">
        <v>202</v>
      </c>
      <c r="FG75" t="s">
        <v>202</v>
      </c>
      <c r="FH75" t="s">
        <v>202</v>
      </c>
      <c r="FI75" t="s">
        <v>202</v>
      </c>
      <c r="FJ75" t="s">
        <v>202</v>
      </c>
      <c r="FK75" t="s">
        <v>202</v>
      </c>
      <c r="FL75" t="s">
        <v>202</v>
      </c>
      <c r="FM75" t="s">
        <v>202</v>
      </c>
      <c r="FN75" t="s">
        <v>202</v>
      </c>
      <c r="FO75">
        <v>34009</v>
      </c>
      <c r="FP75">
        <v>-9</v>
      </c>
      <c r="FQ75">
        <v>492.02</v>
      </c>
      <c r="FR75">
        <v>4804</v>
      </c>
      <c r="FS75">
        <v>0</v>
      </c>
      <c r="FT75">
        <v>0</v>
      </c>
      <c r="FW75">
        <v>0</v>
      </c>
      <c r="FX75">
        <v>0</v>
      </c>
      <c r="FY75">
        <v>0</v>
      </c>
      <c r="GA75">
        <v>-876</v>
      </c>
    </row>
    <row r="76" spans="1:183" x14ac:dyDescent="0.3">
      <c r="A76">
        <v>11146</v>
      </c>
      <c r="B76">
        <v>75</v>
      </c>
      <c r="C76" t="s">
        <v>938</v>
      </c>
      <c r="D76" t="s">
        <v>938</v>
      </c>
      <c r="E76" t="s">
        <v>1036</v>
      </c>
      <c r="F76">
        <v>2457124271</v>
      </c>
      <c r="G76">
        <v>2457124271</v>
      </c>
      <c r="H76" t="s">
        <v>1037</v>
      </c>
      <c r="I76" t="s">
        <v>198</v>
      </c>
      <c r="J76" t="s">
        <v>199</v>
      </c>
      <c r="L76" t="s">
        <v>333</v>
      </c>
      <c r="O76">
        <v>7970159277</v>
      </c>
      <c r="P76" t="s">
        <v>1038</v>
      </c>
      <c r="Q76" s="1">
        <v>45457</v>
      </c>
      <c r="R76" s="1">
        <v>45457</v>
      </c>
      <c r="S76" s="1">
        <v>45457</v>
      </c>
      <c r="U76" t="s">
        <v>1038</v>
      </c>
      <c r="W76" t="s">
        <v>202</v>
      </c>
      <c r="AB76">
        <v>894893</v>
      </c>
      <c r="AD76" t="s">
        <v>248</v>
      </c>
      <c r="AE76">
        <v>4747</v>
      </c>
      <c r="AF76" t="s">
        <v>1039</v>
      </c>
      <c r="AG76" t="s">
        <v>232</v>
      </c>
      <c r="AH76" t="s">
        <v>1040</v>
      </c>
      <c r="AI76">
        <v>508714.72868200002</v>
      </c>
      <c r="AJ76">
        <v>656242</v>
      </c>
      <c r="AK76">
        <v>29</v>
      </c>
      <c r="AL76">
        <v>10000</v>
      </c>
      <c r="AM76">
        <v>0</v>
      </c>
      <c r="AN76">
        <v>0</v>
      </c>
      <c r="AO76">
        <v>0</v>
      </c>
      <c r="AP76">
        <v>0</v>
      </c>
      <c r="AQ76">
        <v>5000</v>
      </c>
      <c r="AR76">
        <v>0</v>
      </c>
      <c r="AS76">
        <v>0</v>
      </c>
      <c r="AT76">
        <v>0</v>
      </c>
      <c r="AU76">
        <v>0</v>
      </c>
      <c r="AV76">
        <v>7946</v>
      </c>
      <c r="AW76">
        <v>0</v>
      </c>
      <c r="AX76">
        <v>0</v>
      </c>
      <c r="AY76">
        <v>22946</v>
      </c>
      <c r="AZ76">
        <v>633296</v>
      </c>
      <c r="BA76">
        <v>10000</v>
      </c>
      <c r="BB76">
        <v>0</v>
      </c>
      <c r="BC76">
        <v>0</v>
      </c>
      <c r="BD76">
        <v>60170</v>
      </c>
      <c r="BE76" t="s">
        <v>234</v>
      </c>
      <c r="BF76">
        <v>11164</v>
      </c>
      <c r="BG76">
        <v>3186</v>
      </c>
      <c r="BH76" t="s">
        <v>209</v>
      </c>
      <c r="BI76">
        <v>26500</v>
      </c>
      <c r="BJ76">
        <v>885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745201</v>
      </c>
      <c r="BY76">
        <v>0</v>
      </c>
      <c r="BZ76">
        <v>175000</v>
      </c>
      <c r="CA76">
        <v>0</v>
      </c>
      <c r="CB76">
        <v>32000</v>
      </c>
      <c r="CC76">
        <v>0</v>
      </c>
      <c r="CD76">
        <v>0</v>
      </c>
      <c r="CE76">
        <v>207000</v>
      </c>
      <c r="CF76">
        <v>0</v>
      </c>
      <c r="CG76">
        <v>0</v>
      </c>
      <c r="CH76">
        <v>538200</v>
      </c>
      <c r="CJ76" t="s">
        <v>276</v>
      </c>
      <c r="CL76" t="s">
        <v>211</v>
      </c>
      <c r="CM76">
        <v>0</v>
      </c>
      <c r="CN76">
        <v>0</v>
      </c>
      <c r="CO76">
        <v>0</v>
      </c>
      <c r="CP76">
        <v>0</v>
      </c>
      <c r="CU76">
        <v>1</v>
      </c>
      <c r="CV76" t="s">
        <v>1041</v>
      </c>
      <c r="CW76" t="s">
        <v>1042</v>
      </c>
      <c r="CX76" t="s">
        <v>879</v>
      </c>
      <c r="CY76" t="s">
        <v>880</v>
      </c>
      <c r="CZ76" t="s">
        <v>217</v>
      </c>
      <c r="DB76" t="s">
        <v>1043</v>
      </c>
      <c r="DD76" t="s">
        <v>1044</v>
      </c>
      <c r="DF76" t="s">
        <v>220</v>
      </c>
      <c r="DG76">
        <v>450001</v>
      </c>
      <c r="DL76">
        <v>0</v>
      </c>
      <c r="DN76">
        <v>0</v>
      </c>
      <c r="DP76" t="s">
        <v>1045</v>
      </c>
      <c r="DQ76">
        <v>1085925</v>
      </c>
      <c r="DR76" t="s">
        <v>223</v>
      </c>
      <c r="DS76">
        <v>11162.8</v>
      </c>
      <c r="DT76" s="1">
        <v>45457</v>
      </c>
      <c r="DU76" t="s">
        <v>1046</v>
      </c>
      <c r="DV76">
        <v>0</v>
      </c>
      <c r="DW76">
        <v>1</v>
      </c>
      <c r="DX76">
        <v>5382</v>
      </c>
      <c r="DY76">
        <v>968.76</v>
      </c>
      <c r="DZ76">
        <v>6350.76</v>
      </c>
      <c r="EC76">
        <v>0</v>
      </c>
      <c r="EQ76" t="s">
        <v>1047</v>
      </c>
      <c r="ER76" s="1">
        <v>45440</v>
      </c>
      <c r="ES76">
        <v>6000</v>
      </c>
      <c r="ET76">
        <v>469913.3</v>
      </c>
      <c r="EU76">
        <v>5426.4</v>
      </c>
      <c r="EV76">
        <v>250331</v>
      </c>
      <c r="EW76" t="s">
        <v>1048</v>
      </c>
      <c r="EX76">
        <v>0</v>
      </c>
      <c r="EY76" t="s">
        <v>226</v>
      </c>
      <c r="EZ76" t="s">
        <v>226</v>
      </c>
      <c r="FA76" t="s">
        <v>226</v>
      </c>
      <c r="FB76" t="s">
        <v>202</v>
      </c>
      <c r="FC76" t="s">
        <v>202</v>
      </c>
      <c r="FD76" t="s">
        <v>202</v>
      </c>
      <c r="FE76" t="s">
        <v>202</v>
      </c>
      <c r="FF76" t="s">
        <v>202</v>
      </c>
      <c r="FG76" t="s">
        <v>202</v>
      </c>
      <c r="FH76" t="s">
        <v>202</v>
      </c>
      <c r="FI76" t="s">
        <v>202</v>
      </c>
      <c r="FJ76" t="s">
        <v>202</v>
      </c>
      <c r="FK76" t="s">
        <v>202</v>
      </c>
      <c r="FL76" t="s">
        <v>202</v>
      </c>
      <c r="FM76" t="s">
        <v>202</v>
      </c>
      <c r="FN76" t="s">
        <v>202</v>
      </c>
      <c r="FO76">
        <v>10001</v>
      </c>
      <c r="FP76">
        <v>-1</v>
      </c>
      <c r="FQ76">
        <v>178.83</v>
      </c>
      <c r="FR76">
        <v>4747</v>
      </c>
      <c r="FS76">
        <v>0</v>
      </c>
      <c r="FT76">
        <v>0</v>
      </c>
      <c r="FW76">
        <v>0</v>
      </c>
      <c r="FX76">
        <v>0</v>
      </c>
      <c r="FY76">
        <v>0</v>
      </c>
      <c r="GA76">
        <v>-885</v>
      </c>
    </row>
    <row r="77" spans="1:183" x14ac:dyDescent="0.3">
      <c r="A77">
        <v>11152</v>
      </c>
      <c r="B77">
        <v>76</v>
      </c>
      <c r="C77" t="s">
        <v>938</v>
      </c>
      <c r="D77" t="s">
        <v>938</v>
      </c>
      <c r="E77" t="s">
        <v>1049</v>
      </c>
      <c r="F77">
        <v>2457262724</v>
      </c>
      <c r="G77">
        <v>2457262724</v>
      </c>
      <c r="H77" t="s">
        <v>1050</v>
      </c>
      <c r="I77" t="s">
        <v>198</v>
      </c>
      <c r="J77" t="s">
        <v>199</v>
      </c>
      <c r="L77" t="s">
        <v>333</v>
      </c>
      <c r="O77">
        <v>9340225196</v>
      </c>
      <c r="P77" t="s">
        <v>1051</v>
      </c>
      <c r="Q77" s="1">
        <v>45458</v>
      </c>
      <c r="R77" s="1">
        <v>45458</v>
      </c>
      <c r="S77" s="1">
        <v>45458</v>
      </c>
      <c r="U77" t="s">
        <v>1051</v>
      </c>
      <c r="W77" t="s">
        <v>202</v>
      </c>
      <c r="AB77">
        <v>505547</v>
      </c>
      <c r="AD77" t="s">
        <v>899</v>
      </c>
      <c r="AE77">
        <v>4700</v>
      </c>
      <c r="AF77" t="s">
        <v>900</v>
      </c>
      <c r="AG77" t="s">
        <v>232</v>
      </c>
      <c r="AH77" t="s">
        <v>356</v>
      </c>
      <c r="AI77">
        <v>404263.57364299998</v>
      </c>
      <c r="AJ77">
        <v>521500</v>
      </c>
      <c r="AK77">
        <v>29</v>
      </c>
      <c r="AL77">
        <v>18000</v>
      </c>
      <c r="AM77">
        <v>0</v>
      </c>
      <c r="AN77">
        <v>0</v>
      </c>
      <c r="AO77">
        <v>0</v>
      </c>
      <c r="AP77">
        <v>15000</v>
      </c>
      <c r="AQ77">
        <v>31853</v>
      </c>
      <c r="AR77">
        <v>0</v>
      </c>
      <c r="AS77">
        <v>0</v>
      </c>
      <c r="AT77">
        <v>0</v>
      </c>
      <c r="AU77">
        <v>0</v>
      </c>
      <c r="AV77">
        <v>17401</v>
      </c>
      <c r="AW77">
        <v>0</v>
      </c>
      <c r="AX77">
        <v>0</v>
      </c>
      <c r="AY77">
        <v>82254</v>
      </c>
      <c r="AZ77">
        <v>439246</v>
      </c>
      <c r="BA77">
        <v>39980</v>
      </c>
      <c r="BB77">
        <v>0</v>
      </c>
      <c r="BC77">
        <v>0</v>
      </c>
      <c r="BD77">
        <v>49391</v>
      </c>
      <c r="BE77" t="s">
        <v>234</v>
      </c>
      <c r="BF77">
        <v>8131</v>
      </c>
      <c r="BG77">
        <v>0</v>
      </c>
      <c r="BH77" t="s">
        <v>209</v>
      </c>
      <c r="BI77">
        <v>22899</v>
      </c>
      <c r="BJ77">
        <v>885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560532</v>
      </c>
      <c r="BY77">
        <v>0</v>
      </c>
      <c r="BZ77">
        <v>2100</v>
      </c>
      <c r="CA77">
        <v>0</v>
      </c>
      <c r="CB77">
        <v>0</v>
      </c>
      <c r="CC77">
        <v>0</v>
      </c>
      <c r="CD77">
        <v>0</v>
      </c>
      <c r="CE77">
        <v>2100</v>
      </c>
      <c r="CF77">
        <v>0</v>
      </c>
      <c r="CG77">
        <v>0</v>
      </c>
      <c r="CH77">
        <v>507000</v>
      </c>
      <c r="CJ77" t="s">
        <v>210</v>
      </c>
      <c r="CL77" t="s">
        <v>211</v>
      </c>
      <c r="CM77">
        <v>310000</v>
      </c>
      <c r="CN77">
        <v>268542</v>
      </c>
      <c r="CO77">
        <v>0</v>
      </c>
      <c r="CP77">
        <v>41458</v>
      </c>
      <c r="CQ77" t="s">
        <v>1052</v>
      </c>
      <c r="CT77" t="s">
        <v>965</v>
      </c>
      <c r="CU77">
        <v>9974</v>
      </c>
      <c r="CV77" t="s">
        <v>966</v>
      </c>
      <c r="CW77" t="s">
        <v>967</v>
      </c>
      <c r="CX77" t="s">
        <v>879</v>
      </c>
      <c r="CY77" t="s">
        <v>880</v>
      </c>
      <c r="CZ77" t="s">
        <v>217</v>
      </c>
      <c r="DB77" t="s">
        <v>1053</v>
      </c>
      <c r="DD77" t="s">
        <v>1054</v>
      </c>
      <c r="DF77" t="s">
        <v>220</v>
      </c>
      <c r="DG77">
        <v>450001</v>
      </c>
      <c r="DL77">
        <v>0</v>
      </c>
      <c r="DN77">
        <v>0</v>
      </c>
      <c r="DP77" t="s">
        <v>1055</v>
      </c>
      <c r="DQ77" t="s">
        <v>1056</v>
      </c>
      <c r="DR77" t="s">
        <v>223</v>
      </c>
      <c r="DS77">
        <v>8130.2</v>
      </c>
      <c r="DT77" s="1">
        <v>45458</v>
      </c>
      <c r="DU77" t="s">
        <v>1057</v>
      </c>
      <c r="DV77">
        <v>0</v>
      </c>
      <c r="EQ77" t="s">
        <v>1058</v>
      </c>
      <c r="ER77" s="1">
        <v>45440</v>
      </c>
      <c r="ES77">
        <v>4500</v>
      </c>
      <c r="ET77">
        <v>368135.94</v>
      </c>
      <c r="EU77">
        <v>10852.7</v>
      </c>
      <c r="EV77">
        <v>251779</v>
      </c>
      <c r="EW77" t="s">
        <v>1059</v>
      </c>
      <c r="EX77">
        <v>0</v>
      </c>
      <c r="EY77" t="s">
        <v>226</v>
      </c>
      <c r="EZ77" t="s">
        <v>226</v>
      </c>
      <c r="FA77" t="s">
        <v>226</v>
      </c>
      <c r="FB77" t="s">
        <v>202</v>
      </c>
      <c r="FC77" t="s">
        <v>202</v>
      </c>
      <c r="FD77" t="s">
        <v>202</v>
      </c>
      <c r="FE77" t="s">
        <v>202</v>
      </c>
      <c r="FF77" t="s">
        <v>202</v>
      </c>
      <c r="FG77" t="s">
        <v>202</v>
      </c>
      <c r="FH77" t="s">
        <v>202</v>
      </c>
      <c r="FI77" t="s">
        <v>202</v>
      </c>
      <c r="FJ77" t="s">
        <v>202</v>
      </c>
      <c r="FK77" t="s">
        <v>202</v>
      </c>
      <c r="FL77" t="s">
        <v>202</v>
      </c>
      <c r="FM77" t="s">
        <v>202</v>
      </c>
      <c r="FN77" t="s">
        <v>202</v>
      </c>
      <c r="FO77">
        <v>40006</v>
      </c>
      <c r="FP77">
        <v>-26</v>
      </c>
      <c r="FQ77">
        <v>741</v>
      </c>
      <c r="FR77">
        <v>4700</v>
      </c>
      <c r="FS77">
        <v>0</v>
      </c>
      <c r="FT77">
        <v>0</v>
      </c>
      <c r="FW77">
        <v>0</v>
      </c>
      <c r="FX77">
        <v>0</v>
      </c>
      <c r="FY77">
        <v>0</v>
      </c>
      <c r="GA77">
        <v>8747</v>
      </c>
    </row>
    <row r="78" spans="1:183" x14ac:dyDescent="0.3">
      <c r="A78">
        <v>11154</v>
      </c>
      <c r="B78">
        <v>77</v>
      </c>
      <c r="C78" t="s">
        <v>938</v>
      </c>
      <c r="D78" t="s">
        <v>938</v>
      </c>
      <c r="E78" t="s">
        <v>1060</v>
      </c>
      <c r="F78">
        <v>2457186556</v>
      </c>
      <c r="G78">
        <v>2457186556</v>
      </c>
      <c r="H78" t="s">
        <v>1061</v>
      </c>
      <c r="I78" t="s">
        <v>198</v>
      </c>
      <c r="J78" t="s">
        <v>199</v>
      </c>
      <c r="L78" t="s">
        <v>1062</v>
      </c>
      <c r="O78">
        <v>7000281653</v>
      </c>
      <c r="P78" t="s">
        <v>1063</v>
      </c>
      <c r="Q78" s="1">
        <v>45458</v>
      </c>
      <c r="R78" s="1">
        <v>45458</v>
      </c>
      <c r="S78" s="1">
        <v>45458</v>
      </c>
      <c r="U78" t="s">
        <v>1063</v>
      </c>
      <c r="W78" t="s">
        <v>202</v>
      </c>
      <c r="AB78">
        <v>790285</v>
      </c>
      <c r="AD78" t="s">
        <v>287</v>
      </c>
      <c r="AE78">
        <v>4749</v>
      </c>
      <c r="AF78" t="s">
        <v>1064</v>
      </c>
      <c r="AG78" t="s">
        <v>232</v>
      </c>
      <c r="AH78" t="s">
        <v>1065</v>
      </c>
      <c r="AI78">
        <v>802068.95862100006</v>
      </c>
      <c r="AJ78">
        <v>1163000</v>
      </c>
      <c r="AK78">
        <v>45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1163000</v>
      </c>
      <c r="BA78">
        <v>37000</v>
      </c>
      <c r="BB78">
        <v>0</v>
      </c>
      <c r="BC78">
        <v>0</v>
      </c>
      <c r="BD78">
        <v>124488</v>
      </c>
      <c r="BE78" t="s">
        <v>208</v>
      </c>
      <c r="BF78">
        <v>0</v>
      </c>
      <c r="BG78">
        <v>0</v>
      </c>
      <c r="BH78" t="s">
        <v>209</v>
      </c>
      <c r="BI78">
        <v>35500</v>
      </c>
      <c r="BJ78">
        <v>885</v>
      </c>
      <c r="BK78">
        <v>0</v>
      </c>
      <c r="BL78">
        <v>0</v>
      </c>
      <c r="BM78">
        <v>0</v>
      </c>
      <c r="BN78">
        <v>11639</v>
      </c>
      <c r="BO78">
        <v>0</v>
      </c>
      <c r="BP78">
        <v>0</v>
      </c>
      <c r="BQ78">
        <v>0</v>
      </c>
      <c r="BR78">
        <v>0</v>
      </c>
      <c r="BS78">
        <v>500</v>
      </c>
      <c r="BT78">
        <v>0</v>
      </c>
      <c r="BU78">
        <v>0</v>
      </c>
      <c r="BV78">
        <v>0</v>
      </c>
      <c r="BW78">
        <v>0</v>
      </c>
      <c r="BX78">
        <v>1373012</v>
      </c>
      <c r="BY78">
        <v>0</v>
      </c>
      <c r="BZ78">
        <v>4500</v>
      </c>
      <c r="CA78">
        <v>0</v>
      </c>
      <c r="CB78">
        <v>1368512</v>
      </c>
      <c r="CC78">
        <v>11000</v>
      </c>
      <c r="CD78">
        <v>0</v>
      </c>
      <c r="CE78">
        <v>1373012</v>
      </c>
      <c r="CF78">
        <v>0</v>
      </c>
      <c r="CG78">
        <v>0</v>
      </c>
      <c r="CH78">
        <v>1328512</v>
      </c>
      <c r="CJ78" t="s">
        <v>235</v>
      </c>
      <c r="CL78" t="s">
        <v>236</v>
      </c>
      <c r="CM78">
        <v>0</v>
      </c>
      <c r="CN78">
        <v>0</v>
      </c>
      <c r="CO78">
        <v>0</v>
      </c>
      <c r="CP78">
        <v>0</v>
      </c>
      <c r="CU78">
        <v>-1328512</v>
      </c>
      <c r="CV78" t="s">
        <v>1041</v>
      </c>
      <c r="CW78" t="s">
        <v>1042</v>
      </c>
      <c r="CX78" t="s">
        <v>879</v>
      </c>
      <c r="CY78" t="s">
        <v>880</v>
      </c>
      <c r="CZ78" t="s">
        <v>217</v>
      </c>
      <c r="DB78" t="s">
        <v>1066</v>
      </c>
      <c r="DD78" t="s">
        <v>1067</v>
      </c>
      <c r="DF78" t="s">
        <v>220</v>
      </c>
      <c r="DG78">
        <v>460001</v>
      </c>
      <c r="DL78">
        <v>0</v>
      </c>
      <c r="DN78">
        <v>0</v>
      </c>
      <c r="DP78" t="s">
        <v>1068</v>
      </c>
      <c r="DQ78">
        <v>7419811</v>
      </c>
      <c r="DR78" t="s">
        <v>223</v>
      </c>
      <c r="DS78">
        <v>0</v>
      </c>
      <c r="DV78">
        <v>0</v>
      </c>
      <c r="DW78">
        <v>0.97</v>
      </c>
      <c r="DX78">
        <v>12886.57</v>
      </c>
      <c r="DY78">
        <v>2319.58</v>
      </c>
      <c r="DZ78">
        <v>15206.15</v>
      </c>
      <c r="EC78">
        <v>0</v>
      </c>
      <c r="EQ78" t="s">
        <v>1069</v>
      </c>
      <c r="ER78" s="1">
        <v>45401</v>
      </c>
      <c r="ES78">
        <v>8500</v>
      </c>
      <c r="ET78">
        <v>754694.03</v>
      </c>
      <c r="EU78">
        <v>0</v>
      </c>
      <c r="EV78">
        <v>250891</v>
      </c>
      <c r="EW78" t="s">
        <v>1070</v>
      </c>
      <c r="EX78">
        <v>0</v>
      </c>
      <c r="EY78" t="s">
        <v>226</v>
      </c>
      <c r="EZ78" t="s">
        <v>202</v>
      </c>
      <c r="FA78" t="s">
        <v>226</v>
      </c>
      <c r="FB78" t="s">
        <v>226</v>
      </c>
      <c r="FC78" t="s">
        <v>202</v>
      </c>
      <c r="FD78" t="s">
        <v>202</v>
      </c>
      <c r="FE78" t="s">
        <v>202</v>
      </c>
      <c r="FF78" t="s">
        <v>202</v>
      </c>
      <c r="FG78" t="s">
        <v>202</v>
      </c>
      <c r="FH78" t="s">
        <v>202</v>
      </c>
      <c r="FI78" t="s">
        <v>202</v>
      </c>
      <c r="FJ78" t="s">
        <v>202</v>
      </c>
      <c r="FK78" t="s">
        <v>202</v>
      </c>
      <c r="FL78" t="s">
        <v>202</v>
      </c>
      <c r="FM78" t="s">
        <v>202</v>
      </c>
      <c r="FN78" t="s">
        <v>202</v>
      </c>
      <c r="FO78">
        <v>37033</v>
      </c>
      <c r="FP78">
        <v>-33</v>
      </c>
      <c r="FQ78">
        <v>246.87</v>
      </c>
      <c r="FR78">
        <v>4749</v>
      </c>
      <c r="FS78">
        <v>0</v>
      </c>
      <c r="FT78">
        <v>0</v>
      </c>
      <c r="FW78">
        <v>0</v>
      </c>
      <c r="FX78">
        <v>0</v>
      </c>
      <c r="FY78">
        <v>0</v>
      </c>
      <c r="GA78">
        <v>-885</v>
      </c>
    </row>
    <row r="79" spans="1:183" x14ac:dyDescent="0.3">
      <c r="A79">
        <v>11183</v>
      </c>
      <c r="B79">
        <v>78</v>
      </c>
      <c r="C79" t="s">
        <v>938</v>
      </c>
      <c r="D79" t="s">
        <v>938</v>
      </c>
      <c r="E79" t="s">
        <v>1071</v>
      </c>
      <c r="F79">
        <v>2457320774</v>
      </c>
      <c r="G79">
        <v>2457320774</v>
      </c>
      <c r="H79" t="s">
        <v>1072</v>
      </c>
      <c r="I79" t="s">
        <v>198</v>
      </c>
      <c r="J79" t="s">
        <v>199</v>
      </c>
      <c r="L79" t="s">
        <v>333</v>
      </c>
      <c r="O79">
        <v>9589999334</v>
      </c>
      <c r="P79" t="s">
        <v>1073</v>
      </c>
      <c r="Q79" s="1">
        <v>45463</v>
      </c>
      <c r="R79" s="1">
        <v>45463</v>
      </c>
      <c r="S79" s="1">
        <v>45462</v>
      </c>
      <c r="U79" t="s">
        <v>1073</v>
      </c>
      <c r="W79" t="s">
        <v>202</v>
      </c>
      <c r="AB79">
        <v>430000</v>
      </c>
      <c r="AD79" t="s">
        <v>323</v>
      </c>
      <c r="AE79">
        <v>4821</v>
      </c>
      <c r="AF79" t="s">
        <v>1074</v>
      </c>
      <c r="AG79" t="s">
        <v>206</v>
      </c>
      <c r="AH79" t="s">
        <v>250</v>
      </c>
      <c r="AI79">
        <v>734137.96551699995</v>
      </c>
      <c r="AJ79">
        <v>1064500</v>
      </c>
      <c r="AK79">
        <v>45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6741</v>
      </c>
      <c r="AW79">
        <v>0</v>
      </c>
      <c r="AX79">
        <v>0</v>
      </c>
      <c r="AY79">
        <v>6741</v>
      </c>
      <c r="AZ79">
        <v>1057759</v>
      </c>
      <c r="BA79">
        <v>38500</v>
      </c>
      <c r="BB79">
        <v>0</v>
      </c>
      <c r="BC79">
        <v>0</v>
      </c>
      <c r="BD79">
        <v>114238</v>
      </c>
      <c r="BE79" t="s">
        <v>234</v>
      </c>
      <c r="BF79">
        <v>18090</v>
      </c>
      <c r="BG79">
        <v>5375</v>
      </c>
      <c r="BH79" t="s">
        <v>209</v>
      </c>
      <c r="BI79">
        <v>35000</v>
      </c>
      <c r="BJ79">
        <v>885</v>
      </c>
      <c r="BK79">
        <v>0</v>
      </c>
      <c r="BL79">
        <v>0</v>
      </c>
      <c r="BM79">
        <v>0</v>
      </c>
      <c r="BN79">
        <v>10587</v>
      </c>
      <c r="BO79">
        <v>0</v>
      </c>
      <c r="BP79">
        <v>0</v>
      </c>
      <c r="BQ79">
        <v>0</v>
      </c>
      <c r="BR79">
        <v>0</v>
      </c>
      <c r="BS79">
        <v>500</v>
      </c>
      <c r="BT79">
        <v>0</v>
      </c>
      <c r="BU79">
        <v>0</v>
      </c>
      <c r="BV79">
        <v>0</v>
      </c>
      <c r="BW79">
        <v>0</v>
      </c>
      <c r="BX79">
        <v>1280934</v>
      </c>
      <c r="BY79">
        <v>0</v>
      </c>
      <c r="BZ79">
        <v>0</v>
      </c>
      <c r="CA79">
        <v>0</v>
      </c>
      <c r="CB79">
        <v>1066000</v>
      </c>
      <c r="CC79">
        <v>950000</v>
      </c>
      <c r="CD79">
        <v>0</v>
      </c>
      <c r="CE79">
        <v>1066000</v>
      </c>
      <c r="CF79">
        <v>0</v>
      </c>
      <c r="CG79">
        <v>0</v>
      </c>
      <c r="CH79">
        <v>950000</v>
      </c>
      <c r="CJ79" t="s">
        <v>406</v>
      </c>
      <c r="CL79" t="s">
        <v>236</v>
      </c>
      <c r="CM79">
        <v>215000</v>
      </c>
      <c r="CN79">
        <v>0</v>
      </c>
      <c r="CO79">
        <v>0</v>
      </c>
      <c r="CP79">
        <v>215000</v>
      </c>
      <c r="CQ79" t="s">
        <v>1075</v>
      </c>
      <c r="CT79" t="s">
        <v>965</v>
      </c>
      <c r="CU79">
        <v>-950066</v>
      </c>
      <c r="CV79" t="s">
        <v>1041</v>
      </c>
      <c r="CW79" t="s">
        <v>1042</v>
      </c>
      <c r="CX79" t="s">
        <v>879</v>
      </c>
      <c r="CY79" t="s">
        <v>880</v>
      </c>
      <c r="CZ79" t="s">
        <v>217</v>
      </c>
      <c r="DB79" t="s">
        <v>1076</v>
      </c>
      <c r="DD79" t="s">
        <v>1077</v>
      </c>
      <c r="DF79" t="s">
        <v>220</v>
      </c>
      <c r="DG79">
        <v>450001</v>
      </c>
      <c r="DL79">
        <v>0</v>
      </c>
      <c r="DN79">
        <v>0</v>
      </c>
      <c r="DP79" t="s">
        <v>1078</v>
      </c>
      <c r="DQ79">
        <v>9526334</v>
      </c>
      <c r="DR79" t="s">
        <v>223</v>
      </c>
      <c r="DS79">
        <v>18089.400000000001</v>
      </c>
      <c r="DT79" s="1">
        <v>45463</v>
      </c>
      <c r="DU79" t="s">
        <v>1079</v>
      </c>
      <c r="DV79">
        <v>0</v>
      </c>
      <c r="DW79">
        <v>1.27</v>
      </c>
      <c r="DX79">
        <v>12065</v>
      </c>
      <c r="DY79">
        <v>2171.6999999999998</v>
      </c>
      <c r="DZ79">
        <v>14236.7</v>
      </c>
      <c r="EC79">
        <v>0</v>
      </c>
      <c r="EQ79" t="s">
        <v>1080</v>
      </c>
      <c r="ER79" s="1">
        <v>45441</v>
      </c>
      <c r="ES79">
        <v>6000</v>
      </c>
      <c r="ET79">
        <v>689012.96</v>
      </c>
      <c r="EU79">
        <v>0</v>
      </c>
      <c r="EV79">
        <v>252252</v>
      </c>
      <c r="EW79" t="s">
        <v>1081</v>
      </c>
      <c r="EX79">
        <v>0</v>
      </c>
      <c r="EY79" t="s">
        <v>226</v>
      </c>
      <c r="EZ79" t="s">
        <v>226</v>
      </c>
      <c r="FA79" t="s">
        <v>226</v>
      </c>
      <c r="FB79" t="s">
        <v>226</v>
      </c>
      <c r="FC79" t="s">
        <v>202</v>
      </c>
      <c r="FD79" t="s">
        <v>202</v>
      </c>
      <c r="FE79" t="s">
        <v>202</v>
      </c>
      <c r="FF79" t="s">
        <v>202</v>
      </c>
      <c r="FG79" t="s">
        <v>202</v>
      </c>
      <c r="FH79" t="s">
        <v>202</v>
      </c>
      <c r="FI79" t="s">
        <v>202</v>
      </c>
      <c r="FJ79" t="s">
        <v>202</v>
      </c>
      <c r="FK79" t="s">
        <v>202</v>
      </c>
      <c r="FL79" t="s">
        <v>202</v>
      </c>
      <c r="FM79" t="s">
        <v>202</v>
      </c>
      <c r="FN79" t="s">
        <v>202</v>
      </c>
      <c r="FO79">
        <v>38511</v>
      </c>
      <c r="FP79">
        <v>-11</v>
      </c>
      <c r="FQ79">
        <v>1045.6199999999999</v>
      </c>
      <c r="FR79">
        <v>4821</v>
      </c>
      <c r="FS79">
        <v>0</v>
      </c>
      <c r="FT79">
        <v>0</v>
      </c>
      <c r="FW79">
        <v>0</v>
      </c>
      <c r="FX79">
        <v>0</v>
      </c>
      <c r="FY79">
        <v>0</v>
      </c>
      <c r="GA79">
        <v>-885</v>
      </c>
    </row>
    <row r="80" spans="1:183" x14ac:dyDescent="0.3">
      <c r="A80">
        <v>11187</v>
      </c>
      <c r="B80">
        <v>79</v>
      </c>
      <c r="C80" t="s">
        <v>938</v>
      </c>
      <c r="D80" t="s">
        <v>938</v>
      </c>
      <c r="E80" t="s">
        <v>1082</v>
      </c>
      <c r="F80">
        <v>2457190449</v>
      </c>
      <c r="G80">
        <v>2457190449</v>
      </c>
      <c r="H80" t="s">
        <v>1083</v>
      </c>
      <c r="I80" t="s">
        <v>198</v>
      </c>
      <c r="J80" t="s">
        <v>199</v>
      </c>
      <c r="L80" t="s">
        <v>333</v>
      </c>
      <c r="O80">
        <v>9424896951</v>
      </c>
      <c r="P80" t="s">
        <v>1084</v>
      </c>
      <c r="Q80" s="1">
        <v>45463</v>
      </c>
      <c r="R80" s="1">
        <v>45463</v>
      </c>
      <c r="S80" s="1">
        <v>45462</v>
      </c>
      <c r="U80" t="s">
        <v>1084</v>
      </c>
      <c r="W80" t="s">
        <v>202</v>
      </c>
      <c r="AB80">
        <v>422994</v>
      </c>
      <c r="AD80" t="s">
        <v>323</v>
      </c>
      <c r="AE80">
        <v>4824</v>
      </c>
      <c r="AF80" t="s">
        <v>324</v>
      </c>
      <c r="AG80" t="s">
        <v>232</v>
      </c>
      <c r="AH80" t="s">
        <v>250</v>
      </c>
      <c r="AI80">
        <v>668620.66896599997</v>
      </c>
      <c r="AJ80">
        <v>969500</v>
      </c>
      <c r="AK80">
        <v>45</v>
      </c>
      <c r="AL80">
        <v>10000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6701</v>
      </c>
      <c r="AW80">
        <v>0</v>
      </c>
      <c r="AX80">
        <v>0</v>
      </c>
      <c r="AY80">
        <v>16701</v>
      </c>
      <c r="AZ80">
        <v>952799</v>
      </c>
      <c r="BA80">
        <v>47320</v>
      </c>
      <c r="BB80">
        <v>0</v>
      </c>
      <c r="BC80">
        <v>0</v>
      </c>
      <c r="BD80">
        <v>85331</v>
      </c>
      <c r="BE80" t="s">
        <v>234</v>
      </c>
      <c r="BF80">
        <v>16485</v>
      </c>
      <c r="BG80">
        <v>0</v>
      </c>
      <c r="BH80" t="s">
        <v>209</v>
      </c>
      <c r="BI80">
        <v>34001</v>
      </c>
      <c r="BJ80">
        <v>885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500</v>
      </c>
      <c r="BT80">
        <v>0</v>
      </c>
      <c r="BU80">
        <v>0</v>
      </c>
      <c r="BV80">
        <v>0</v>
      </c>
      <c r="BW80">
        <v>0</v>
      </c>
      <c r="BX80">
        <v>1137321</v>
      </c>
      <c r="BY80">
        <v>0</v>
      </c>
      <c r="BZ80">
        <v>2100</v>
      </c>
      <c r="CA80">
        <v>0</v>
      </c>
      <c r="CB80">
        <v>1135220</v>
      </c>
      <c r="CC80">
        <v>0</v>
      </c>
      <c r="CD80">
        <v>0</v>
      </c>
      <c r="CE80">
        <v>1137320</v>
      </c>
      <c r="CF80">
        <v>0</v>
      </c>
      <c r="CG80">
        <v>0</v>
      </c>
      <c r="CH80">
        <v>1116308</v>
      </c>
      <c r="CJ80" t="s">
        <v>595</v>
      </c>
      <c r="CL80" t="s">
        <v>236</v>
      </c>
      <c r="CM80">
        <v>0</v>
      </c>
      <c r="CN80">
        <v>0</v>
      </c>
      <c r="CO80">
        <v>0</v>
      </c>
      <c r="CP80">
        <v>0</v>
      </c>
      <c r="CU80">
        <v>-1116307</v>
      </c>
      <c r="CV80">
        <v>694</v>
      </c>
      <c r="CW80" t="s">
        <v>986</v>
      </c>
      <c r="CX80">
        <v>694</v>
      </c>
      <c r="CY80" t="s">
        <v>986</v>
      </c>
      <c r="CZ80" t="s">
        <v>217</v>
      </c>
      <c r="DB80" t="s">
        <v>1085</v>
      </c>
      <c r="DD80" t="s">
        <v>1086</v>
      </c>
      <c r="DF80" t="s">
        <v>220</v>
      </c>
      <c r="DG80">
        <v>450001</v>
      </c>
      <c r="DL80">
        <v>0</v>
      </c>
      <c r="DN80">
        <v>0</v>
      </c>
      <c r="DP80" t="s">
        <v>1087</v>
      </c>
      <c r="DQ80">
        <v>9514592</v>
      </c>
      <c r="DR80" t="s">
        <v>223</v>
      </c>
      <c r="DS80">
        <v>16484.599999999999</v>
      </c>
      <c r="DT80" s="1">
        <v>45463</v>
      </c>
      <c r="DU80" t="s">
        <v>1088</v>
      </c>
      <c r="DV80">
        <v>0</v>
      </c>
      <c r="DW80">
        <v>1</v>
      </c>
      <c r="DX80">
        <v>11163.08</v>
      </c>
      <c r="DY80">
        <v>2009.35</v>
      </c>
      <c r="DZ80">
        <v>13172.43</v>
      </c>
      <c r="EC80">
        <v>0</v>
      </c>
      <c r="EQ80" t="s">
        <v>1089</v>
      </c>
      <c r="ER80" s="1">
        <v>45436</v>
      </c>
      <c r="ES80">
        <v>6000</v>
      </c>
      <c r="ET80">
        <v>623495.66</v>
      </c>
      <c r="EU80">
        <v>0</v>
      </c>
      <c r="EV80">
        <v>250981</v>
      </c>
      <c r="EW80" t="s">
        <v>1090</v>
      </c>
      <c r="EX80">
        <v>0</v>
      </c>
      <c r="EY80" t="s">
        <v>226</v>
      </c>
      <c r="EZ80" t="s">
        <v>226</v>
      </c>
      <c r="FA80" t="s">
        <v>226</v>
      </c>
      <c r="FB80" t="s">
        <v>226</v>
      </c>
      <c r="FC80" t="s">
        <v>202</v>
      </c>
      <c r="FD80" t="s">
        <v>202</v>
      </c>
      <c r="FE80" t="s">
        <v>202</v>
      </c>
      <c r="FF80" t="s">
        <v>202</v>
      </c>
      <c r="FG80" t="s">
        <v>202</v>
      </c>
      <c r="FH80" t="s">
        <v>202</v>
      </c>
      <c r="FI80" t="s">
        <v>202</v>
      </c>
      <c r="FJ80" t="s">
        <v>202</v>
      </c>
      <c r="FK80" t="s">
        <v>202</v>
      </c>
      <c r="FL80" t="s">
        <v>202</v>
      </c>
      <c r="FM80" t="s">
        <v>202</v>
      </c>
      <c r="FN80" t="s">
        <v>202</v>
      </c>
      <c r="FO80">
        <v>47311</v>
      </c>
      <c r="FP80">
        <v>9</v>
      </c>
      <c r="FQ80">
        <v>1729.28</v>
      </c>
      <c r="FR80">
        <v>4824</v>
      </c>
      <c r="FS80">
        <v>0</v>
      </c>
      <c r="FT80">
        <v>0</v>
      </c>
      <c r="FW80">
        <v>0</v>
      </c>
      <c r="FX80">
        <v>0</v>
      </c>
      <c r="FY80">
        <v>0</v>
      </c>
      <c r="GA80">
        <v>-885</v>
      </c>
    </row>
    <row r="81" spans="1:183" x14ac:dyDescent="0.3">
      <c r="A81">
        <v>11189</v>
      </c>
      <c r="B81">
        <v>80</v>
      </c>
      <c r="C81" t="s">
        <v>938</v>
      </c>
      <c r="D81" t="s">
        <v>938</v>
      </c>
      <c r="E81" t="s">
        <v>1091</v>
      </c>
      <c r="F81">
        <v>2457268993</v>
      </c>
      <c r="G81">
        <v>2457268993</v>
      </c>
      <c r="H81" t="s">
        <v>1092</v>
      </c>
      <c r="I81" t="s">
        <v>198</v>
      </c>
      <c r="J81" t="s">
        <v>199</v>
      </c>
      <c r="L81" t="s">
        <v>333</v>
      </c>
      <c r="O81">
        <v>9691717800</v>
      </c>
      <c r="P81" t="s">
        <v>1093</v>
      </c>
      <c r="Q81" s="1">
        <v>45458</v>
      </c>
      <c r="R81" s="1">
        <v>45458</v>
      </c>
      <c r="S81" s="1">
        <v>45463</v>
      </c>
      <c r="U81" t="s">
        <v>1093</v>
      </c>
      <c r="W81" t="s">
        <v>202</v>
      </c>
      <c r="AB81">
        <v>809659</v>
      </c>
      <c r="AD81" t="s">
        <v>287</v>
      </c>
      <c r="AE81">
        <v>4725</v>
      </c>
      <c r="AF81" t="s">
        <v>405</v>
      </c>
      <c r="AG81" t="s">
        <v>232</v>
      </c>
      <c r="AH81" t="s">
        <v>250</v>
      </c>
      <c r="AI81">
        <v>677931.02069000003</v>
      </c>
      <c r="AJ81">
        <v>983000</v>
      </c>
      <c r="AK81">
        <v>45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983000</v>
      </c>
      <c r="BA81">
        <v>29490</v>
      </c>
      <c r="BB81">
        <v>0</v>
      </c>
      <c r="BC81">
        <v>0</v>
      </c>
      <c r="BD81">
        <v>116640</v>
      </c>
      <c r="BE81" t="s">
        <v>234</v>
      </c>
      <c r="BF81">
        <v>16710</v>
      </c>
      <c r="BG81">
        <v>0</v>
      </c>
      <c r="BH81" t="s">
        <v>209</v>
      </c>
      <c r="BI81">
        <v>29000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500</v>
      </c>
      <c r="BT81">
        <v>0</v>
      </c>
      <c r="BU81">
        <v>0</v>
      </c>
      <c r="BV81">
        <v>0</v>
      </c>
      <c r="BW81">
        <v>0</v>
      </c>
      <c r="BX81">
        <v>1175340</v>
      </c>
      <c r="BY81">
        <v>0</v>
      </c>
      <c r="BZ81">
        <v>11000</v>
      </c>
      <c r="CA81">
        <v>0</v>
      </c>
      <c r="CB81">
        <v>1164500</v>
      </c>
      <c r="CC81">
        <v>0</v>
      </c>
      <c r="CD81">
        <v>0</v>
      </c>
      <c r="CE81">
        <v>1175500</v>
      </c>
      <c r="CF81">
        <v>0</v>
      </c>
      <c r="CG81">
        <v>0</v>
      </c>
      <c r="CH81">
        <v>1159000</v>
      </c>
      <c r="CJ81" t="s">
        <v>406</v>
      </c>
      <c r="CL81" t="s">
        <v>236</v>
      </c>
      <c r="CM81">
        <v>0</v>
      </c>
      <c r="CN81">
        <v>0</v>
      </c>
      <c r="CO81">
        <v>0</v>
      </c>
      <c r="CP81">
        <v>0</v>
      </c>
      <c r="CU81">
        <v>-1159160</v>
      </c>
      <c r="CV81" t="s">
        <v>1094</v>
      </c>
      <c r="CW81" t="s">
        <v>1095</v>
      </c>
      <c r="CX81">
        <v>694</v>
      </c>
      <c r="CY81" t="s">
        <v>986</v>
      </c>
      <c r="CZ81" t="s">
        <v>217</v>
      </c>
      <c r="DB81" t="s">
        <v>1096</v>
      </c>
      <c r="DD81" t="s">
        <v>1097</v>
      </c>
      <c r="DF81" t="s">
        <v>220</v>
      </c>
      <c r="DG81">
        <v>450001</v>
      </c>
      <c r="DL81">
        <v>0</v>
      </c>
      <c r="DN81">
        <v>0</v>
      </c>
      <c r="DP81" t="s">
        <v>1098</v>
      </c>
      <c r="DQ81">
        <v>9519704</v>
      </c>
      <c r="DR81" t="s">
        <v>223</v>
      </c>
      <c r="DS81">
        <v>16708.8</v>
      </c>
      <c r="DT81" s="1">
        <v>45463</v>
      </c>
      <c r="DU81" t="s">
        <v>1099</v>
      </c>
      <c r="DV81">
        <v>0</v>
      </c>
      <c r="DW81">
        <v>1.27</v>
      </c>
      <c r="DX81">
        <v>14719.3</v>
      </c>
      <c r="DY81">
        <v>2649.47</v>
      </c>
      <c r="DZ81">
        <v>17368.77</v>
      </c>
      <c r="EC81">
        <v>0</v>
      </c>
      <c r="EQ81" t="s">
        <v>1100</v>
      </c>
      <c r="ER81" s="1">
        <v>45443</v>
      </c>
      <c r="ES81">
        <v>8500</v>
      </c>
      <c r="ET81">
        <v>632556.03</v>
      </c>
      <c r="EU81">
        <v>0</v>
      </c>
      <c r="EV81">
        <v>251700</v>
      </c>
      <c r="EW81" t="s">
        <v>1101</v>
      </c>
      <c r="EX81">
        <v>0</v>
      </c>
      <c r="EY81" t="s">
        <v>226</v>
      </c>
      <c r="EZ81" t="s">
        <v>226</v>
      </c>
      <c r="FA81" t="s">
        <v>226</v>
      </c>
      <c r="FB81" t="s">
        <v>226</v>
      </c>
      <c r="FC81" t="s">
        <v>202</v>
      </c>
      <c r="FD81" t="s">
        <v>202</v>
      </c>
      <c r="FE81" t="s">
        <v>202</v>
      </c>
      <c r="FF81" t="s">
        <v>202</v>
      </c>
      <c r="FG81" t="s">
        <v>202</v>
      </c>
      <c r="FH81" t="s">
        <v>202</v>
      </c>
      <c r="FI81" t="s">
        <v>202</v>
      </c>
      <c r="FJ81" t="s">
        <v>202</v>
      </c>
      <c r="FK81" t="s">
        <v>202</v>
      </c>
      <c r="FL81" t="s">
        <v>202</v>
      </c>
      <c r="FM81" t="s">
        <v>202</v>
      </c>
      <c r="FN81" t="s">
        <v>202</v>
      </c>
      <c r="FO81">
        <v>29494</v>
      </c>
      <c r="FP81">
        <v>-4</v>
      </c>
      <c r="FQ81">
        <v>47.67</v>
      </c>
      <c r="FR81">
        <v>4725</v>
      </c>
      <c r="FS81">
        <v>0</v>
      </c>
      <c r="FT81">
        <v>0</v>
      </c>
      <c r="FW81">
        <v>0</v>
      </c>
      <c r="FX81">
        <v>0</v>
      </c>
      <c r="FY81">
        <v>0</v>
      </c>
      <c r="GA81">
        <v>-157</v>
      </c>
    </row>
    <row r="82" spans="1:183" x14ac:dyDescent="0.3">
      <c r="A82">
        <v>11209</v>
      </c>
      <c r="B82">
        <v>81</v>
      </c>
      <c r="C82" t="s">
        <v>938</v>
      </c>
      <c r="D82" t="s">
        <v>938</v>
      </c>
      <c r="E82" t="s">
        <v>1102</v>
      </c>
      <c r="F82">
        <v>2457336584</v>
      </c>
      <c r="G82">
        <v>2457336584</v>
      </c>
      <c r="H82" t="s">
        <v>1103</v>
      </c>
      <c r="I82" t="s">
        <v>1104</v>
      </c>
      <c r="J82" t="s">
        <v>199</v>
      </c>
      <c r="L82" t="s">
        <v>333</v>
      </c>
      <c r="O82">
        <v>6262156815</v>
      </c>
      <c r="P82" t="s">
        <v>1105</v>
      </c>
      <c r="Q82" s="1">
        <v>45465</v>
      </c>
      <c r="R82" s="1">
        <v>45465</v>
      </c>
      <c r="S82" s="1">
        <v>45464</v>
      </c>
      <c r="U82" t="s">
        <v>1105</v>
      </c>
      <c r="W82" t="s">
        <v>202</v>
      </c>
      <c r="AB82" t="s">
        <v>1106</v>
      </c>
      <c r="AD82" t="s">
        <v>310</v>
      </c>
      <c r="AE82">
        <v>4765</v>
      </c>
      <c r="AF82" t="s">
        <v>367</v>
      </c>
      <c r="AG82" t="s">
        <v>232</v>
      </c>
      <c r="AH82" t="s">
        <v>207</v>
      </c>
      <c r="AI82">
        <v>440309.992248</v>
      </c>
      <c r="AJ82">
        <v>568000</v>
      </c>
      <c r="AK82">
        <v>29</v>
      </c>
      <c r="AL82">
        <v>10000</v>
      </c>
      <c r="AM82">
        <v>0</v>
      </c>
      <c r="AN82">
        <v>0</v>
      </c>
      <c r="AO82">
        <v>2000</v>
      </c>
      <c r="AP82">
        <v>0</v>
      </c>
      <c r="AQ82">
        <v>15000</v>
      </c>
      <c r="AR82">
        <v>0</v>
      </c>
      <c r="AS82">
        <v>0</v>
      </c>
      <c r="AT82">
        <v>0</v>
      </c>
      <c r="AU82">
        <v>0</v>
      </c>
      <c r="AV82">
        <v>14111</v>
      </c>
      <c r="AW82">
        <v>0</v>
      </c>
      <c r="AX82">
        <v>0</v>
      </c>
      <c r="AY82">
        <v>41111</v>
      </c>
      <c r="AZ82">
        <v>526889</v>
      </c>
      <c r="BA82">
        <v>3600</v>
      </c>
      <c r="BB82">
        <v>0</v>
      </c>
      <c r="BC82">
        <v>0</v>
      </c>
      <c r="BD82">
        <v>53911</v>
      </c>
      <c r="BE82" t="s">
        <v>234</v>
      </c>
      <c r="BF82">
        <v>8850</v>
      </c>
      <c r="BG82">
        <v>2750</v>
      </c>
      <c r="BH82" t="s">
        <v>209</v>
      </c>
      <c r="BI82">
        <v>25500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500</v>
      </c>
      <c r="BT82">
        <v>0</v>
      </c>
      <c r="BU82">
        <v>0</v>
      </c>
      <c r="BV82">
        <v>0</v>
      </c>
      <c r="BW82">
        <v>0</v>
      </c>
      <c r="BX82">
        <v>622000</v>
      </c>
      <c r="BY82">
        <v>0</v>
      </c>
      <c r="BZ82">
        <v>62100</v>
      </c>
      <c r="CA82">
        <v>0</v>
      </c>
      <c r="CB82">
        <v>0</v>
      </c>
      <c r="CC82">
        <v>0</v>
      </c>
      <c r="CD82">
        <v>0</v>
      </c>
      <c r="CE82">
        <v>62100</v>
      </c>
      <c r="CF82">
        <v>0</v>
      </c>
      <c r="CG82">
        <v>0</v>
      </c>
      <c r="CH82">
        <v>520000</v>
      </c>
      <c r="CJ82" t="s">
        <v>522</v>
      </c>
      <c r="CL82" t="s">
        <v>211</v>
      </c>
      <c r="CM82">
        <v>0</v>
      </c>
      <c r="CN82">
        <v>0</v>
      </c>
      <c r="CO82">
        <v>0</v>
      </c>
      <c r="CP82">
        <v>0</v>
      </c>
      <c r="CU82">
        <v>39900</v>
      </c>
      <c r="CV82" t="s">
        <v>966</v>
      </c>
      <c r="CW82" t="s">
        <v>967</v>
      </c>
      <c r="CX82" t="s">
        <v>879</v>
      </c>
      <c r="CY82" t="s">
        <v>880</v>
      </c>
      <c r="CZ82" t="s">
        <v>217</v>
      </c>
      <c r="DB82" t="s">
        <v>1107</v>
      </c>
      <c r="DD82" t="s">
        <v>1108</v>
      </c>
      <c r="DF82" t="s">
        <v>220</v>
      </c>
      <c r="DG82">
        <v>450001</v>
      </c>
      <c r="DL82">
        <v>0</v>
      </c>
      <c r="DN82">
        <v>0</v>
      </c>
      <c r="DP82" t="s">
        <v>1109</v>
      </c>
      <c r="DQ82">
        <v>4270152</v>
      </c>
      <c r="DR82" t="s">
        <v>223</v>
      </c>
      <c r="DS82">
        <v>8850</v>
      </c>
      <c r="DT82" s="1">
        <v>45465</v>
      </c>
      <c r="DU82" t="s">
        <v>1110</v>
      </c>
      <c r="DV82">
        <v>0</v>
      </c>
      <c r="DW82">
        <v>1</v>
      </c>
      <c r="DX82">
        <v>5200</v>
      </c>
      <c r="DY82">
        <v>936</v>
      </c>
      <c r="DZ82">
        <v>6136</v>
      </c>
      <c r="EC82">
        <v>0</v>
      </c>
      <c r="EQ82" t="s">
        <v>1111</v>
      </c>
      <c r="ER82" s="1">
        <v>45458</v>
      </c>
      <c r="ES82">
        <v>3000</v>
      </c>
      <c r="ET82">
        <v>410408.86</v>
      </c>
      <c r="EU82">
        <v>5426.4</v>
      </c>
      <c r="EV82">
        <v>252483</v>
      </c>
      <c r="EW82" t="s">
        <v>1112</v>
      </c>
      <c r="EX82">
        <v>0</v>
      </c>
      <c r="EY82" t="s">
        <v>226</v>
      </c>
      <c r="EZ82" t="s">
        <v>226</v>
      </c>
      <c r="FA82" t="s">
        <v>226</v>
      </c>
      <c r="FB82" t="s">
        <v>226</v>
      </c>
      <c r="FC82" t="s">
        <v>202</v>
      </c>
      <c r="FD82" t="s">
        <v>202</v>
      </c>
      <c r="FE82" t="s">
        <v>202</v>
      </c>
      <c r="FF82" t="s">
        <v>202</v>
      </c>
      <c r="FG82" t="s">
        <v>202</v>
      </c>
      <c r="FH82" t="s">
        <v>202</v>
      </c>
      <c r="FI82" t="s">
        <v>202</v>
      </c>
      <c r="FJ82" t="s">
        <v>202</v>
      </c>
      <c r="FK82" t="s">
        <v>202</v>
      </c>
      <c r="FL82" t="s">
        <v>202</v>
      </c>
      <c r="FM82" t="s">
        <v>202</v>
      </c>
      <c r="FN82" t="s">
        <v>202</v>
      </c>
      <c r="FO82">
        <v>3600</v>
      </c>
      <c r="FP82">
        <v>0</v>
      </c>
      <c r="FQ82">
        <v>33.68</v>
      </c>
      <c r="FR82">
        <v>4765</v>
      </c>
      <c r="FS82">
        <v>0</v>
      </c>
      <c r="FT82">
        <v>0</v>
      </c>
      <c r="FW82">
        <v>0</v>
      </c>
      <c r="FX82">
        <v>0</v>
      </c>
      <c r="FY82">
        <v>0</v>
      </c>
      <c r="GA82">
        <v>559900</v>
      </c>
    </row>
    <row r="83" spans="1:183" x14ac:dyDescent="0.3">
      <c r="A83">
        <v>11211</v>
      </c>
      <c r="B83">
        <v>82</v>
      </c>
      <c r="C83" t="s">
        <v>938</v>
      </c>
      <c r="D83" t="s">
        <v>938</v>
      </c>
      <c r="E83" t="s">
        <v>1113</v>
      </c>
      <c r="F83">
        <v>2457349948</v>
      </c>
      <c r="G83">
        <v>2457349948</v>
      </c>
      <c r="H83" t="s">
        <v>1114</v>
      </c>
      <c r="I83" t="s">
        <v>198</v>
      </c>
      <c r="J83" t="s">
        <v>199</v>
      </c>
      <c r="L83" t="s">
        <v>333</v>
      </c>
      <c r="O83">
        <v>9893428614</v>
      </c>
      <c r="P83" t="s">
        <v>1115</v>
      </c>
      <c r="Q83" s="1">
        <v>45465</v>
      </c>
      <c r="R83" s="1">
        <v>45465</v>
      </c>
      <c r="S83" s="1">
        <v>45464</v>
      </c>
      <c r="U83" t="s">
        <v>1115</v>
      </c>
      <c r="W83" t="s">
        <v>202</v>
      </c>
      <c r="AB83" t="s">
        <v>1116</v>
      </c>
      <c r="AD83" t="s">
        <v>310</v>
      </c>
      <c r="AE83">
        <v>4765</v>
      </c>
      <c r="AF83" t="s">
        <v>367</v>
      </c>
      <c r="AG83" t="s">
        <v>232</v>
      </c>
      <c r="AH83" t="s">
        <v>207</v>
      </c>
      <c r="AI83">
        <v>440309.992248</v>
      </c>
      <c r="AJ83">
        <v>568000</v>
      </c>
      <c r="AK83">
        <v>29</v>
      </c>
      <c r="AL83">
        <v>10000</v>
      </c>
      <c r="AM83">
        <v>0</v>
      </c>
      <c r="AN83">
        <v>0</v>
      </c>
      <c r="AO83">
        <v>2000</v>
      </c>
      <c r="AP83">
        <v>10000</v>
      </c>
      <c r="AQ83">
        <v>15000</v>
      </c>
      <c r="AR83">
        <v>0</v>
      </c>
      <c r="AS83">
        <v>0</v>
      </c>
      <c r="AT83">
        <v>0</v>
      </c>
      <c r="AU83">
        <v>0</v>
      </c>
      <c r="AV83">
        <v>4400</v>
      </c>
      <c r="AW83">
        <v>0</v>
      </c>
      <c r="AX83">
        <v>0</v>
      </c>
      <c r="AY83">
        <v>41400</v>
      </c>
      <c r="AZ83">
        <v>526600</v>
      </c>
      <c r="BA83">
        <v>27000</v>
      </c>
      <c r="BB83">
        <v>0</v>
      </c>
      <c r="BC83">
        <v>0</v>
      </c>
      <c r="BD83">
        <v>53911</v>
      </c>
      <c r="BE83" t="s">
        <v>234</v>
      </c>
      <c r="BF83">
        <v>8850</v>
      </c>
      <c r="BG83">
        <v>2750</v>
      </c>
      <c r="BH83" t="s">
        <v>209</v>
      </c>
      <c r="BI83">
        <v>26000</v>
      </c>
      <c r="BJ83">
        <v>885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500</v>
      </c>
      <c r="BT83">
        <v>0</v>
      </c>
      <c r="BU83">
        <v>0</v>
      </c>
      <c r="BV83">
        <v>0</v>
      </c>
      <c r="BW83">
        <v>0</v>
      </c>
      <c r="BX83">
        <v>646496</v>
      </c>
      <c r="BY83">
        <v>0</v>
      </c>
      <c r="BZ83">
        <v>0</v>
      </c>
      <c r="CA83">
        <v>0</v>
      </c>
      <c r="CB83">
        <v>620000</v>
      </c>
      <c r="CC83">
        <v>0</v>
      </c>
      <c r="CD83">
        <v>0</v>
      </c>
      <c r="CE83">
        <v>620000</v>
      </c>
      <c r="CF83">
        <v>0</v>
      </c>
      <c r="CG83">
        <v>0</v>
      </c>
      <c r="CH83">
        <v>568000</v>
      </c>
      <c r="CJ83" t="s">
        <v>251</v>
      </c>
      <c r="CL83" t="s">
        <v>236</v>
      </c>
      <c r="CM83">
        <v>390000</v>
      </c>
      <c r="CN83">
        <v>363504</v>
      </c>
      <c r="CO83">
        <v>0</v>
      </c>
      <c r="CP83">
        <v>26496</v>
      </c>
      <c r="CQ83" t="s">
        <v>1117</v>
      </c>
      <c r="CT83" t="s">
        <v>965</v>
      </c>
      <c r="CU83">
        <v>-568000</v>
      </c>
      <c r="CV83" t="s">
        <v>1041</v>
      </c>
      <c r="CW83" t="s">
        <v>1042</v>
      </c>
      <c r="CX83" t="s">
        <v>879</v>
      </c>
      <c r="CY83" t="s">
        <v>880</v>
      </c>
      <c r="CZ83" t="s">
        <v>217</v>
      </c>
      <c r="DB83" t="s">
        <v>1118</v>
      </c>
      <c r="DD83" t="s">
        <v>1119</v>
      </c>
      <c r="DF83" t="s">
        <v>220</v>
      </c>
      <c r="DG83">
        <v>450001</v>
      </c>
      <c r="DL83">
        <v>0</v>
      </c>
      <c r="DN83">
        <v>0</v>
      </c>
      <c r="DP83" t="s">
        <v>1120</v>
      </c>
      <c r="DQ83">
        <v>4255269</v>
      </c>
      <c r="DR83" t="s">
        <v>223</v>
      </c>
      <c r="DS83">
        <v>8850</v>
      </c>
      <c r="DT83" s="1">
        <v>45465</v>
      </c>
      <c r="DU83" t="s">
        <v>1121</v>
      </c>
      <c r="DV83">
        <v>0</v>
      </c>
      <c r="DW83">
        <v>1.27</v>
      </c>
      <c r="DX83">
        <v>7213.6</v>
      </c>
      <c r="DY83">
        <v>1298.45</v>
      </c>
      <c r="DZ83">
        <v>8512.0499999999993</v>
      </c>
      <c r="EC83">
        <v>0</v>
      </c>
      <c r="EQ83" t="s">
        <v>1122</v>
      </c>
      <c r="ER83" s="1">
        <v>45423</v>
      </c>
      <c r="ES83">
        <v>3000</v>
      </c>
      <c r="ET83">
        <v>410408.86</v>
      </c>
      <c r="EU83">
        <v>5426.4</v>
      </c>
      <c r="EV83">
        <v>252770</v>
      </c>
      <c r="EW83" t="s">
        <v>1123</v>
      </c>
      <c r="EX83">
        <v>0</v>
      </c>
      <c r="EY83" t="s">
        <v>226</v>
      </c>
      <c r="EZ83" t="s">
        <v>226</v>
      </c>
      <c r="FA83" t="s">
        <v>226</v>
      </c>
      <c r="FB83" t="s">
        <v>226</v>
      </c>
      <c r="FC83" t="s">
        <v>202</v>
      </c>
      <c r="FD83" t="s">
        <v>202</v>
      </c>
      <c r="FE83" t="s">
        <v>202</v>
      </c>
      <c r="FF83" t="s">
        <v>202</v>
      </c>
      <c r="FG83" t="s">
        <v>202</v>
      </c>
      <c r="FH83" t="s">
        <v>202</v>
      </c>
      <c r="FI83" t="s">
        <v>202</v>
      </c>
      <c r="FJ83" t="s">
        <v>202</v>
      </c>
      <c r="FK83" t="s">
        <v>202</v>
      </c>
      <c r="FL83" t="s">
        <v>202</v>
      </c>
      <c r="FM83" t="s">
        <v>202</v>
      </c>
      <c r="FN83" t="s">
        <v>202</v>
      </c>
      <c r="FO83">
        <v>27005</v>
      </c>
      <c r="FP83">
        <v>-5</v>
      </c>
      <c r="FQ83">
        <v>955.08</v>
      </c>
      <c r="FR83">
        <v>4765</v>
      </c>
      <c r="FS83">
        <v>0</v>
      </c>
      <c r="FT83">
        <v>0</v>
      </c>
      <c r="FW83">
        <v>0</v>
      </c>
      <c r="FX83">
        <v>0</v>
      </c>
      <c r="FY83">
        <v>0</v>
      </c>
      <c r="GA83">
        <v>-1184</v>
      </c>
    </row>
    <row r="84" spans="1:183" x14ac:dyDescent="0.3">
      <c r="A84">
        <v>11212</v>
      </c>
      <c r="B84">
        <v>83</v>
      </c>
      <c r="C84" t="s">
        <v>938</v>
      </c>
      <c r="D84" t="s">
        <v>938</v>
      </c>
      <c r="E84" t="s">
        <v>1124</v>
      </c>
      <c r="F84">
        <v>2457357607</v>
      </c>
      <c r="G84">
        <v>2457357607</v>
      </c>
      <c r="H84" t="s">
        <v>1125</v>
      </c>
      <c r="I84" t="s">
        <v>1126</v>
      </c>
      <c r="J84" t="s">
        <v>199</v>
      </c>
      <c r="L84" t="s">
        <v>333</v>
      </c>
      <c r="O84">
        <v>9826885889</v>
      </c>
      <c r="P84" t="s">
        <v>1127</v>
      </c>
      <c r="Q84" s="1">
        <v>45464</v>
      </c>
      <c r="R84" s="1">
        <v>45464</v>
      </c>
      <c r="S84" s="1">
        <v>45464</v>
      </c>
      <c r="U84" t="s">
        <v>1127</v>
      </c>
      <c r="W84" t="s">
        <v>202</v>
      </c>
      <c r="AB84">
        <v>883381</v>
      </c>
      <c r="AD84" t="s">
        <v>248</v>
      </c>
      <c r="AE84">
        <v>4734</v>
      </c>
      <c r="AF84" t="s">
        <v>1128</v>
      </c>
      <c r="AG84" t="s">
        <v>232</v>
      </c>
      <c r="AH84" t="s">
        <v>250</v>
      </c>
      <c r="AI84">
        <v>688753.49612400006</v>
      </c>
      <c r="AJ84">
        <v>888492</v>
      </c>
      <c r="AK84">
        <v>29</v>
      </c>
      <c r="AL84">
        <v>10000</v>
      </c>
      <c r="AM84">
        <v>0</v>
      </c>
      <c r="AN84">
        <v>0</v>
      </c>
      <c r="AO84">
        <v>0</v>
      </c>
      <c r="AP84">
        <v>0</v>
      </c>
      <c r="AQ84">
        <v>5000</v>
      </c>
      <c r="AR84">
        <v>0</v>
      </c>
      <c r="AS84">
        <v>0</v>
      </c>
      <c r="AT84">
        <v>0</v>
      </c>
      <c r="AU84">
        <v>0</v>
      </c>
      <c r="AV84">
        <v>20254</v>
      </c>
      <c r="AW84">
        <v>0</v>
      </c>
      <c r="AX84">
        <v>0</v>
      </c>
      <c r="AY84">
        <v>35254</v>
      </c>
      <c r="AZ84">
        <v>853238</v>
      </c>
      <c r="BA84">
        <v>0</v>
      </c>
      <c r="BB84">
        <v>0</v>
      </c>
      <c r="BC84">
        <v>0</v>
      </c>
      <c r="BD84">
        <v>106152</v>
      </c>
      <c r="BE84" t="s">
        <v>208</v>
      </c>
      <c r="BF84">
        <v>0</v>
      </c>
      <c r="BG84">
        <v>0</v>
      </c>
      <c r="BH84" t="s">
        <v>209</v>
      </c>
      <c r="BI84">
        <v>24001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500</v>
      </c>
      <c r="BT84">
        <v>0</v>
      </c>
      <c r="BU84">
        <v>0</v>
      </c>
      <c r="BV84">
        <v>0</v>
      </c>
      <c r="BW84">
        <v>0</v>
      </c>
      <c r="BX84">
        <v>983891</v>
      </c>
      <c r="BY84">
        <v>0</v>
      </c>
      <c r="BZ84">
        <v>100000</v>
      </c>
      <c r="CA84">
        <v>0</v>
      </c>
      <c r="CB84">
        <v>483890</v>
      </c>
      <c r="CC84">
        <v>0</v>
      </c>
      <c r="CD84">
        <v>0</v>
      </c>
      <c r="CE84">
        <v>583890</v>
      </c>
      <c r="CF84">
        <v>0</v>
      </c>
      <c r="CG84">
        <v>0</v>
      </c>
      <c r="CH84">
        <v>400000</v>
      </c>
      <c r="CJ84" t="s">
        <v>522</v>
      </c>
      <c r="CL84" t="s">
        <v>211</v>
      </c>
      <c r="CM84">
        <v>0</v>
      </c>
      <c r="CN84">
        <v>0</v>
      </c>
      <c r="CO84">
        <v>0</v>
      </c>
      <c r="CP84">
        <v>0</v>
      </c>
      <c r="CU84">
        <v>1</v>
      </c>
      <c r="CV84" t="s">
        <v>997</v>
      </c>
      <c r="CW84" t="s">
        <v>998</v>
      </c>
      <c r="CX84">
        <v>694</v>
      </c>
      <c r="CY84" t="s">
        <v>986</v>
      </c>
      <c r="CZ84" t="s">
        <v>217</v>
      </c>
      <c r="DB84" t="s">
        <v>1129</v>
      </c>
      <c r="DD84" t="s">
        <v>1130</v>
      </c>
      <c r="DF84" t="s">
        <v>220</v>
      </c>
      <c r="DG84">
        <v>450001</v>
      </c>
      <c r="DL84">
        <v>0</v>
      </c>
      <c r="DN84">
        <v>0</v>
      </c>
      <c r="DP84" t="s">
        <v>1131</v>
      </c>
      <c r="DQ84">
        <v>1076458</v>
      </c>
      <c r="DR84" t="s">
        <v>223</v>
      </c>
      <c r="DS84">
        <v>0</v>
      </c>
      <c r="DV84">
        <v>0</v>
      </c>
      <c r="DW84">
        <v>1</v>
      </c>
      <c r="DX84">
        <v>4000</v>
      </c>
      <c r="DY84">
        <v>720</v>
      </c>
      <c r="DZ84">
        <v>4720</v>
      </c>
      <c r="EC84">
        <v>0</v>
      </c>
      <c r="EQ84" t="s">
        <v>1132</v>
      </c>
      <c r="ER84" s="1">
        <v>45407</v>
      </c>
      <c r="ES84">
        <v>6000</v>
      </c>
      <c r="ET84">
        <v>644152.05000000005</v>
      </c>
      <c r="EU84">
        <v>5426.4</v>
      </c>
      <c r="EV84">
        <v>252795</v>
      </c>
      <c r="EW84" t="s">
        <v>1133</v>
      </c>
      <c r="EX84">
        <v>0</v>
      </c>
      <c r="EY84" t="s">
        <v>226</v>
      </c>
      <c r="EZ84" t="s">
        <v>202</v>
      </c>
      <c r="FA84" t="s">
        <v>226</v>
      </c>
      <c r="FB84" t="s">
        <v>226</v>
      </c>
      <c r="FC84" t="s">
        <v>202</v>
      </c>
      <c r="FD84" t="s">
        <v>202</v>
      </c>
      <c r="FE84" t="s">
        <v>202</v>
      </c>
      <c r="FF84" t="s">
        <v>202</v>
      </c>
      <c r="FG84" t="s">
        <v>202</v>
      </c>
      <c r="FH84" t="s">
        <v>202</v>
      </c>
      <c r="FI84" t="s">
        <v>202</v>
      </c>
      <c r="FJ84" t="s">
        <v>202</v>
      </c>
      <c r="FK84" t="s">
        <v>202</v>
      </c>
      <c r="FL84" t="s">
        <v>202</v>
      </c>
      <c r="FM84" t="s">
        <v>202</v>
      </c>
      <c r="FN84" t="s">
        <v>202</v>
      </c>
      <c r="FO84">
        <v>0</v>
      </c>
      <c r="FP84">
        <v>0</v>
      </c>
      <c r="FQ84">
        <v>0</v>
      </c>
      <c r="FR84">
        <v>4734</v>
      </c>
      <c r="FS84">
        <v>0</v>
      </c>
      <c r="FT84">
        <v>0</v>
      </c>
      <c r="FW84">
        <v>0</v>
      </c>
      <c r="FX84">
        <v>0</v>
      </c>
      <c r="FY84">
        <v>0</v>
      </c>
      <c r="GA84">
        <v>0</v>
      </c>
    </row>
    <row r="85" spans="1:183" x14ac:dyDescent="0.3">
      <c r="A85">
        <v>11218</v>
      </c>
      <c r="B85">
        <v>84</v>
      </c>
      <c r="C85" t="s">
        <v>938</v>
      </c>
      <c r="D85" t="s">
        <v>938</v>
      </c>
      <c r="E85" t="s">
        <v>1134</v>
      </c>
      <c r="F85">
        <v>2457382092</v>
      </c>
      <c r="G85">
        <v>2457382092</v>
      </c>
      <c r="H85" t="s">
        <v>1135</v>
      </c>
      <c r="I85" t="s">
        <v>198</v>
      </c>
      <c r="J85" t="s">
        <v>199</v>
      </c>
      <c r="L85" t="s">
        <v>333</v>
      </c>
      <c r="O85">
        <v>9977389549</v>
      </c>
      <c r="P85" t="s">
        <v>1136</v>
      </c>
      <c r="Q85" s="1">
        <v>45467</v>
      </c>
      <c r="R85" s="1">
        <v>45467</v>
      </c>
      <c r="S85" s="1">
        <v>45465</v>
      </c>
      <c r="U85" t="s">
        <v>1136</v>
      </c>
      <c r="W85" t="s">
        <v>202</v>
      </c>
      <c r="AB85">
        <v>286767</v>
      </c>
      <c r="AD85" t="s">
        <v>274</v>
      </c>
      <c r="AE85">
        <v>4707</v>
      </c>
      <c r="AF85" t="s">
        <v>275</v>
      </c>
      <c r="AG85" t="s">
        <v>232</v>
      </c>
      <c r="AH85" t="s">
        <v>207</v>
      </c>
      <c r="AI85">
        <v>392248.06201599998</v>
      </c>
      <c r="AJ85">
        <v>506000</v>
      </c>
      <c r="AK85">
        <v>29</v>
      </c>
      <c r="AL85">
        <v>18000</v>
      </c>
      <c r="AM85">
        <v>0</v>
      </c>
      <c r="AN85">
        <v>0</v>
      </c>
      <c r="AO85">
        <v>3100</v>
      </c>
      <c r="AP85">
        <v>0</v>
      </c>
      <c r="AQ85">
        <v>27000</v>
      </c>
      <c r="AR85">
        <v>0</v>
      </c>
      <c r="AS85">
        <v>0</v>
      </c>
      <c r="AT85">
        <v>0</v>
      </c>
      <c r="AU85">
        <v>0</v>
      </c>
      <c r="AV85">
        <v>8500</v>
      </c>
      <c r="AW85">
        <v>0</v>
      </c>
      <c r="AX85">
        <v>0</v>
      </c>
      <c r="AY85">
        <v>56600</v>
      </c>
      <c r="AZ85">
        <v>449400</v>
      </c>
      <c r="BA85">
        <v>30000</v>
      </c>
      <c r="BB85">
        <v>0</v>
      </c>
      <c r="BC85">
        <v>0</v>
      </c>
      <c r="BD85">
        <v>48151</v>
      </c>
      <c r="BE85" t="s">
        <v>208</v>
      </c>
      <c r="BF85">
        <v>0</v>
      </c>
      <c r="BG85">
        <v>0</v>
      </c>
      <c r="BH85" t="s">
        <v>209</v>
      </c>
      <c r="BI85">
        <v>20064</v>
      </c>
      <c r="BJ85">
        <v>885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500</v>
      </c>
      <c r="BT85">
        <v>0</v>
      </c>
      <c r="BU85">
        <v>0</v>
      </c>
      <c r="BV85">
        <v>0</v>
      </c>
      <c r="BW85">
        <v>0</v>
      </c>
      <c r="BX85">
        <v>549000</v>
      </c>
      <c r="BY85">
        <v>0</v>
      </c>
      <c r="BZ85">
        <v>107000</v>
      </c>
      <c r="CA85">
        <v>0</v>
      </c>
      <c r="CB85">
        <v>0</v>
      </c>
      <c r="CC85">
        <v>0</v>
      </c>
      <c r="CD85">
        <v>0</v>
      </c>
      <c r="CE85">
        <v>107000</v>
      </c>
      <c r="CF85">
        <v>0</v>
      </c>
      <c r="CG85">
        <v>0</v>
      </c>
      <c r="CH85">
        <v>442000</v>
      </c>
      <c r="CJ85" t="s">
        <v>522</v>
      </c>
      <c r="CL85" t="s">
        <v>211</v>
      </c>
      <c r="CM85">
        <v>0</v>
      </c>
      <c r="CN85">
        <v>0</v>
      </c>
      <c r="CO85">
        <v>0</v>
      </c>
      <c r="CP85">
        <v>0</v>
      </c>
      <c r="CU85">
        <v>0</v>
      </c>
      <c r="CV85" t="s">
        <v>1137</v>
      </c>
      <c r="CW85" t="s">
        <v>1138</v>
      </c>
      <c r="CX85">
        <v>694</v>
      </c>
      <c r="CY85" t="s">
        <v>986</v>
      </c>
      <c r="CZ85" t="s">
        <v>217</v>
      </c>
      <c r="DB85" t="s">
        <v>1139</v>
      </c>
      <c r="DD85" t="s">
        <v>1140</v>
      </c>
      <c r="DF85" t="s">
        <v>220</v>
      </c>
      <c r="DG85">
        <v>450001</v>
      </c>
      <c r="DL85">
        <v>0</v>
      </c>
      <c r="DN85">
        <v>0</v>
      </c>
      <c r="DP85" t="s">
        <v>1141</v>
      </c>
      <c r="DQ85">
        <v>1267543</v>
      </c>
      <c r="DR85" t="s">
        <v>223</v>
      </c>
      <c r="DS85">
        <v>0</v>
      </c>
      <c r="DV85">
        <v>0</v>
      </c>
      <c r="DW85">
        <v>1</v>
      </c>
      <c r="DX85">
        <v>4420</v>
      </c>
      <c r="DY85">
        <v>795.6</v>
      </c>
      <c r="DZ85">
        <v>5215.6000000000004</v>
      </c>
      <c r="EC85">
        <v>0</v>
      </c>
      <c r="EQ85" t="s">
        <v>1142</v>
      </c>
      <c r="ER85" s="1">
        <v>45440</v>
      </c>
      <c r="ES85">
        <v>4500</v>
      </c>
      <c r="ET85">
        <v>356119.94</v>
      </c>
      <c r="EU85">
        <v>10852.7</v>
      </c>
      <c r="EV85">
        <v>253144</v>
      </c>
      <c r="EW85" t="s">
        <v>1143</v>
      </c>
      <c r="EX85">
        <v>0</v>
      </c>
      <c r="EY85" t="s">
        <v>226</v>
      </c>
      <c r="EZ85" t="s">
        <v>202</v>
      </c>
      <c r="FA85" t="s">
        <v>226</v>
      </c>
      <c r="FB85" t="s">
        <v>226</v>
      </c>
      <c r="FC85" t="s">
        <v>202</v>
      </c>
      <c r="FD85" t="s">
        <v>202</v>
      </c>
      <c r="FE85" t="s">
        <v>202</v>
      </c>
      <c r="FF85" t="s">
        <v>202</v>
      </c>
      <c r="FG85" t="s">
        <v>202</v>
      </c>
      <c r="FH85" t="s">
        <v>202</v>
      </c>
      <c r="FI85" t="s">
        <v>202</v>
      </c>
      <c r="FJ85" t="s">
        <v>202</v>
      </c>
      <c r="FK85" t="s">
        <v>202</v>
      </c>
      <c r="FL85" t="s">
        <v>202</v>
      </c>
      <c r="FM85" t="s">
        <v>202</v>
      </c>
      <c r="FN85" t="s">
        <v>202</v>
      </c>
      <c r="FO85">
        <v>29990</v>
      </c>
      <c r="FP85">
        <v>10</v>
      </c>
      <c r="FQ85">
        <v>0</v>
      </c>
      <c r="FR85">
        <v>4707</v>
      </c>
      <c r="FS85">
        <v>0</v>
      </c>
      <c r="FT85">
        <v>0</v>
      </c>
      <c r="FW85">
        <v>0</v>
      </c>
      <c r="FX85">
        <v>0</v>
      </c>
      <c r="FY85">
        <v>0</v>
      </c>
      <c r="GA85">
        <v>-885</v>
      </c>
    </row>
    <row r="86" spans="1:183" x14ac:dyDescent="0.3">
      <c r="A86">
        <v>11220</v>
      </c>
      <c r="B86">
        <v>85</v>
      </c>
      <c r="C86" t="s">
        <v>938</v>
      </c>
      <c r="D86" t="s">
        <v>938</v>
      </c>
      <c r="E86" t="s">
        <v>1144</v>
      </c>
      <c r="F86">
        <v>2457388008</v>
      </c>
      <c r="G86">
        <v>2457388008</v>
      </c>
      <c r="H86" t="s">
        <v>1145</v>
      </c>
      <c r="I86" t="s">
        <v>198</v>
      </c>
      <c r="J86" t="s">
        <v>199</v>
      </c>
      <c r="L86" t="s">
        <v>333</v>
      </c>
      <c r="O86">
        <v>8251939999</v>
      </c>
      <c r="P86" t="s">
        <v>1146</v>
      </c>
      <c r="Q86" s="1">
        <v>45467</v>
      </c>
      <c r="R86" s="1">
        <v>45467</v>
      </c>
      <c r="S86" s="1">
        <v>45466</v>
      </c>
      <c r="U86" t="s">
        <v>1146</v>
      </c>
      <c r="W86" t="s">
        <v>202</v>
      </c>
      <c r="AB86">
        <v>133983</v>
      </c>
      <c r="AD86" t="s">
        <v>230</v>
      </c>
      <c r="AE86">
        <v>4829</v>
      </c>
      <c r="AF86" t="s">
        <v>1147</v>
      </c>
      <c r="AG86" t="s">
        <v>232</v>
      </c>
      <c r="AH86" t="s">
        <v>250</v>
      </c>
      <c r="AI86">
        <v>677707</v>
      </c>
      <c r="AJ86">
        <v>874242</v>
      </c>
      <c r="AK86">
        <v>29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8534</v>
      </c>
      <c r="AW86">
        <v>0</v>
      </c>
      <c r="AX86">
        <v>0</v>
      </c>
      <c r="AY86">
        <v>8534</v>
      </c>
      <c r="AZ86">
        <v>865708</v>
      </c>
      <c r="BA86">
        <v>5700</v>
      </c>
      <c r="BB86">
        <v>0</v>
      </c>
      <c r="BC86">
        <v>0</v>
      </c>
      <c r="BD86">
        <v>74789</v>
      </c>
      <c r="BE86" t="s">
        <v>234</v>
      </c>
      <c r="BF86">
        <v>14951</v>
      </c>
      <c r="BG86">
        <v>4921</v>
      </c>
      <c r="BH86" t="s">
        <v>209</v>
      </c>
      <c r="BI86">
        <v>31647</v>
      </c>
      <c r="BJ86">
        <v>885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500</v>
      </c>
      <c r="BT86">
        <v>0</v>
      </c>
      <c r="BU86">
        <v>0</v>
      </c>
      <c r="BV86">
        <v>0</v>
      </c>
      <c r="BW86">
        <v>0</v>
      </c>
      <c r="BX86">
        <v>999101</v>
      </c>
      <c r="BY86">
        <v>0</v>
      </c>
      <c r="BZ86">
        <v>0</v>
      </c>
      <c r="CA86">
        <v>0</v>
      </c>
      <c r="CB86">
        <v>999100</v>
      </c>
      <c r="CC86">
        <v>0</v>
      </c>
      <c r="CD86">
        <v>0</v>
      </c>
      <c r="CE86">
        <v>999100</v>
      </c>
      <c r="CF86">
        <v>0</v>
      </c>
      <c r="CG86">
        <v>0</v>
      </c>
      <c r="CH86">
        <v>700000</v>
      </c>
      <c r="CJ86" t="s">
        <v>406</v>
      </c>
      <c r="CL86" t="s">
        <v>236</v>
      </c>
      <c r="CM86">
        <v>0</v>
      </c>
      <c r="CN86">
        <v>0</v>
      </c>
      <c r="CO86">
        <v>0</v>
      </c>
      <c r="CP86">
        <v>0</v>
      </c>
      <c r="CU86">
        <v>-699999</v>
      </c>
      <c r="CV86" t="s">
        <v>879</v>
      </c>
      <c r="CW86" t="s">
        <v>880</v>
      </c>
      <c r="CX86" t="s">
        <v>879</v>
      </c>
      <c r="CY86" t="s">
        <v>880</v>
      </c>
      <c r="CZ86" t="s">
        <v>217</v>
      </c>
      <c r="DB86" t="s">
        <v>1148</v>
      </c>
      <c r="DD86" t="s">
        <v>1149</v>
      </c>
      <c r="DF86" t="s">
        <v>220</v>
      </c>
      <c r="DG86">
        <v>450001</v>
      </c>
      <c r="DL86">
        <v>0</v>
      </c>
      <c r="DN86">
        <v>0</v>
      </c>
      <c r="DP86" t="s">
        <v>1150</v>
      </c>
      <c r="DQ86">
        <v>1033776</v>
      </c>
      <c r="DR86" t="s">
        <v>223</v>
      </c>
      <c r="DS86">
        <v>14868</v>
      </c>
      <c r="DT86" s="1">
        <v>45467</v>
      </c>
      <c r="DU86" t="s">
        <v>1151</v>
      </c>
      <c r="DV86">
        <v>0</v>
      </c>
      <c r="DW86">
        <v>1.27</v>
      </c>
      <c r="DX86">
        <v>8890</v>
      </c>
      <c r="DY86">
        <v>1600.2</v>
      </c>
      <c r="DZ86">
        <v>10490.2</v>
      </c>
      <c r="EC86">
        <v>0</v>
      </c>
      <c r="EQ86" t="s">
        <v>1152</v>
      </c>
      <c r="ER86" s="1">
        <v>45460</v>
      </c>
      <c r="ES86">
        <v>6000</v>
      </c>
      <c r="ET86">
        <v>633932</v>
      </c>
      <c r="EU86">
        <v>0</v>
      </c>
      <c r="EV86">
        <v>253154</v>
      </c>
      <c r="EW86" t="s">
        <v>1153</v>
      </c>
      <c r="EX86">
        <v>0</v>
      </c>
      <c r="EY86" t="s">
        <v>226</v>
      </c>
      <c r="EZ86" t="s">
        <v>226</v>
      </c>
      <c r="FA86" t="s">
        <v>226</v>
      </c>
      <c r="FB86" t="s">
        <v>226</v>
      </c>
      <c r="FC86" t="s">
        <v>202</v>
      </c>
      <c r="FD86" t="s">
        <v>202</v>
      </c>
      <c r="FE86" t="s">
        <v>202</v>
      </c>
      <c r="FF86" t="s">
        <v>202</v>
      </c>
      <c r="FG86" t="s">
        <v>202</v>
      </c>
      <c r="FH86" t="s">
        <v>202</v>
      </c>
      <c r="FI86" t="s">
        <v>202</v>
      </c>
      <c r="FJ86" t="s">
        <v>202</v>
      </c>
      <c r="FK86" t="s">
        <v>202</v>
      </c>
      <c r="FL86" t="s">
        <v>202</v>
      </c>
      <c r="FM86" t="s">
        <v>202</v>
      </c>
      <c r="FN86" t="s">
        <v>202</v>
      </c>
      <c r="FO86">
        <v>0</v>
      </c>
      <c r="FP86">
        <v>5700</v>
      </c>
      <c r="FQ86">
        <v>0</v>
      </c>
      <c r="FR86">
        <v>4829</v>
      </c>
      <c r="FS86">
        <v>0</v>
      </c>
      <c r="FT86">
        <v>0</v>
      </c>
      <c r="FW86">
        <v>0</v>
      </c>
      <c r="FX86">
        <v>0</v>
      </c>
      <c r="FY86">
        <v>0</v>
      </c>
      <c r="GA86">
        <v>-6585</v>
      </c>
    </row>
    <row r="87" spans="1:183" x14ac:dyDescent="0.3">
      <c r="A87">
        <v>11222</v>
      </c>
      <c r="B87">
        <v>86</v>
      </c>
      <c r="C87" t="s">
        <v>938</v>
      </c>
      <c r="D87" t="s">
        <v>938</v>
      </c>
      <c r="E87" t="s">
        <v>1154</v>
      </c>
      <c r="F87">
        <v>2457307549</v>
      </c>
      <c r="G87">
        <v>2457307549</v>
      </c>
      <c r="H87" t="s">
        <v>1155</v>
      </c>
      <c r="I87" t="s">
        <v>198</v>
      </c>
      <c r="J87" t="s">
        <v>488</v>
      </c>
      <c r="L87" t="s">
        <v>726</v>
      </c>
      <c r="O87">
        <v>9922095007</v>
      </c>
      <c r="P87" t="s">
        <v>1156</v>
      </c>
      <c r="Q87" s="1">
        <v>45467</v>
      </c>
      <c r="R87" s="1">
        <v>45467</v>
      </c>
      <c r="S87" s="1">
        <v>45467</v>
      </c>
      <c r="U87" t="s">
        <v>1156</v>
      </c>
      <c r="W87" t="s">
        <v>202</v>
      </c>
      <c r="AB87">
        <v>901122</v>
      </c>
      <c r="AD87" t="s">
        <v>248</v>
      </c>
      <c r="AE87">
        <v>4742</v>
      </c>
      <c r="AF87" t="s">
        <v>1157</v>
      </c>
      <c r="AG87" t="s">
        <v>206</v>
      </c>
      <c r="AH87" t="s">
        <v>233</v>
      </c>
      <c r="AI87">
        <v>706970.54263599997</v>
      </c>
      <c r="AJ87">
        <v>911992</v>
      </c>
      <c r="AK87">
        <v>29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911992</v>
      </c>
      <c r="BA87">
        <v>4000</v>
      </c>
      <c r="BB87">
        <v>0</v>
      </c>
      <c r="BC87">
        <v>0</v>
      </c>
      <c r="BD87">
        <v>4500</v>
      </c>
      <c r="BE87" t="s">
        <v>234</v>
      </c>
      <c r="BF87">
        <v>15506</v>
      </c>
      <c r="BG87">
        <v>0</v>
      </c>
      <c r="BH87" t="s">
        <v>209</v>
      </c>
      <c r="BI87">
        <v>28999</v>
      </c>
      <c r="BJ87">
        <v>885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965882</v>
      </c>
      <c r="BY87">
        <v>0</v>
      </c>
      <c r="BZ87">
        <v>85782</v>
      </c>
      <c r="CA87">
        <v>0</v>
      </c>
      <c r="CB87">
        <v>882100</v>
      </c>
      <c r="CC87">
        <v>90000</v>
      </c>
      <c r="CD87">
        <v>0</v>
      </c>
      <c r="CE87">
        <v>967882</v>
      </c>
      <c r="CF87">
        <v>0</v>
      </c>
      <c r="CG87">
        <v>0</v>
      </c>
      <c r="CH87">
        <v>0</v>
      </c>
      <c r="CJ87" t="s">
        <v>1158</v>
      </c>
      <c r="CL87" t="s">
        <v>236</v>
      </c>
      <c r="CM87">
        <v>0</v>
      </c>
      <c r="CN87">
        <v>0</v>
      </c>
      <c r="CO87">
        <v>0</v>
      </c>
      <c r="CP87">
        <v>0</v>
      </c>
      <c r="CU87">
        <v>-2000</v>
      </c>
      <c r="CV87" t="s">
        <v>879</v>
      </c>
      <c r="CW87" t="s">
        <v>880</v>
      </c>
      <c r="CX87" t="s">
        <v>879</v>
      </c>
      <c r="CY87" t="s">
        <v>880</v>
      </c>
      <c r="CZ87" t="s">
        <v>217</v>
      </c>
      <c r="DB87" t="s">
        <v>1159</v>
      </c>
      <c r="DD87" t="s">
        <v>1160</v>
      </c>
      <c r="DF87" t="s">
        <v>220</v>
      </c>
      <c r="DG87">
        <v>411002</v>
      </c>
      <c r="DL87">
        <v>0</v>
      </c>
      <c r="DN87">
        <v>0</v>
      </c>
      <c r="DP87" t="s">
        <v>1161</v>
      </c>
      <c r="DQ87">
        <v>7528092</v>
      </c>
      <c r="DR87" t="s">
        <v>223</v>
      </c>
      <c r="DS87">
        <v>15505.2</v>
      </c>
      <c r="DT87" s="1">
        <v>45467</v>
      </c>
      <c r="DU87" t="s">
        <v>1162</v>
      </c>
      <c r="DV87">
        <v>0</v>
      </c>
      <c r="EQ87" t="s">
        <v>1163</v>
      </c>
      <c r="ER87" s="1">
        <v>45463</v>
      </c>
      <c r="ES87">
        <v>6000</v>
      </c>
      <c r="ET87">
        <v>668595.35</v>
      </c>
      <c r="EU87">
        <v>0</v>
      </c>
      <c r="EV87">
        <v>252201</v>
      </c>
      <c r="EW87" t="s">
        <v>1164</v>
      </c>
      <c r="EX87">
        <v>0</v>
      </c>
      <c r="EY87" t="s">
        <v>226</v>
      </c>
      <c r="EZ87" t="s">
        <v>226</v>
      </c>
      <c r="FA87" t="s">
        <v>226</v>
      </c>
      <c r="FB87" t="s">
        <v>202</v>
      </c>
      <c r="FC87" t="s">
        <v>202</v>
      </c>
      <c r="FD87" t="s">
        <v>202</v>
      </c>
      <c r="FE87" t="s">
        <v>202</v>
      </c>
      <c r="FF87" t="s">
        <v>202</v>
      </c>
      <c r="FG87" t="s">
        <v>202</v>
      </c>
      <c r="FH87" t="s">
        <v>202</v>
      </c>
      <c r="FI87" t="s">
        <v>202</v>
      </c>
      <c r="FJ87" t="s">
        <v>202</v>
      </c>
      <c r="FK87" t="s">
        <v>202</v>
      </c>
      <c r="FL87" t="s">
        <v>202</v>
      </c>
      <c r="FM87" t="s">
        <v>202</v>
      </c>
      <c r="FN87" t="s">
        <v>202</v>
      </c>
      <c r="FO87">
        <v>10509</v>
      </c>
      <c r="FP87">
        <v>-6509</v>
      </c>
      <c r="FQ87">
        <v>53.07</v>
      </c>
      <c r="FR87">
        <v>4742</v>
      </c>
      <c r="FS87">
        <v>0</v>
      </c>
      <c r="FT87">
        <v>0</v>
      </c>
      <c r="FW87">
        <v>0</v>
      </c>
      <c r="FX87">
        <v>0</v>
      </c>
      <c r="FY87">
        <v>0</v>
      </c>
      <c r="GA87">
        <v>3623</v>
      </c>
    </row>
    <row r="88" spans="1:183" x14ac:dyDescent="0.3">
      <c r="A88">
        <v>11234</v>
      </c>
      <c r="B88">
        <v>87</v>
      </c>
      <c r="C88" t="s">
        <v>938</v>
      </c>
      <c r="D88" t="s">
        <v>938</v>
      </c>
      <c r="E88" t="s">
        <v>1165</v>
      </c>
      <c r="F88">
        <v>2457405450</v>
      </c>
      <c r="G88">
        <v>2457405450</v>
      </c>
      <c r="H88" t="s">
        <v>1166</v>
      </c>
      <c r="I88" t="s">
        <v>198</v>
      </c>
      <c r="J88" t="s">
        <v>199</v>
      </c>
      <c r="L88" t="s">
        <v>333</v>
      </c>
      <c r="O88">
        <v>9009147534</v>
      </c>
      <c r="P88" t="s">
        <v>1167</v>
      </c>
      <c r="Q88" s="1">
        <v>45468</v>
      </c>
      <c r="R88" s="1">
        <v>45468</v>
      </c>
      <c r="S88" s="1">
        <v>45467</v>
      </c>
      <c r="U88" t="s">
        <v>1167</v>
      </c>
      <c r="W88" t="s">
        <v>202</v>
      </c>
      <c r="AB88">
        <v>299991</v>
      </c>
      <c r="AD88" t="s">
        <v>274</v>
      </c>
      <c r="AE88">
        <v>4830</v>
      </c>
      <c r="AF88" t="s">
        <v>1168</v>
      </c>
      <c r="AG88" t="s">
        <v>206</v>
      </c>
      <c r="AH88" t="s">
        <v>207</v>
      </c>
      <c r="AI88">
        <v>462015.503876</v>
      </c>
      <c r="AJ88">
        <v>596000</v>
      </c>
      <c r="AK88">
        <v>29</v>
      </c>
      <c r="AL88">
        <v>10000</v>
      </c>
      <c r="AM88">
        <v>0</v>
      </c>
      <c r="AN88">
        <v>0</v>
      </c>
      <c r="AO88">
        <v>2100</v>
      </c>
      <c r="AP88">
        <v>0</v>
      </c>
      <c r="AQ88">
        <v>25000</v>
      </c>
      <c r="AR88">
        <v>0</v>
      </c>
      <c r="AS88">
        <v>0</v>
      </c>
      <c r="AT88">
        <v>0</v>
      </c>
      <c r="AU88">
        <v>0</v>
      </c>
      <c r="AV88">
        <v>19863</v>
      </c>
      <c r="AW88">
        <v>0</v>
      </c>
      <c r="AX88">
        <v>0</v>
      </c>
      <c r="AY88">
        <v>56963</v>
      </c>
      <c r="AZ88">
        <v>539037</v>
      </c>
      <c r="BA88">
        <v>2000</v>
      </c>
      <c r="BB88">
        <v>0</v>
      </c>
      <c r="BC88">
        <v>0</v>
      </c>
      <c r="BD88">
        <v>55351</v>
      </c>
      <c r="BE88" t="s">
        <v>234</v>
      </c>
      <c r="BF88">
        <v>9287</v>
      </c>
      <c r="BG88">
        <v>2940</v>
      </c>
      <c r="BH88" t="s">
        <v>209</v>
      </c>
      <c r="BI88">
        <v>20100</v>
      </c>
      <c r="BJ88">
        <v>885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500</v>
      </c>
      <c r="BT88">
        <v>0</v>
      </c>
      <c r="BU88">
        <v>0</v>
      </c>
      <c r="BV88">
        <v>0</v>
      </c>
      <c r="BW88">
        <v>0</v>
      </c>
      <c r="BX88">
        <v>630100</v>
      </c>
      <c r="BY88">
        <v>0</v>
      </c>
      <c r="BZ88">
        <v>0</v>
      </c>
      <c r="CA88">
        <v>0</v>
      </c>
      <c r="CB88">
        <v>630100</v>
      </c>
      <c r="CC88">
        <v>0</v>
      </c>
      <c r="CD88">
        <v>0</v>
      </c>
      <c r="CE88">
        <v>630100</v>
      </c>
      <c r="CF88">
        <v>0</v>
      </c>
      <c r="CG88">
        <v>0</v>
      </c>
      <c r="CH88">
        <v>608000</v>
      </c>
      <c r="CJ88" t="s">
        <v>595</v>
      </c>
      <c r="CL88" t="s">
        <v>236</v>
      </c>
      <c r="CM88">
        <v>0</v>
      </c>
      <c r="CN88">
        <v>0</v>
      </c>
      <c r="CO88">
        <v>0</v>
      </c>
      <c r="CP88">
        <v>0</v>
      </c>
      <c r="CU88">
        <v>-608000</v>
      </c>
      <c r="CV88" t="s">
        <v>1041</v>
      </c>
      <c r="CW88" t="s">
        <v>1042</v>
      </c>
      <c r="CX88" t="s">
        <v>879</v>
      </c>
      <c r="CY88" t="s">
        <v>880</v>
      </c>
      <c r="CZ88" t="s">
        <v>217</v>
      </c>
      <c r="DB88" t="s">
        <v>1169</v>
      </c>
      <c r="DD88" t="s">
        <v>1170</v>
      </c>
      <c r="DF88" t="s">
        <v>220</v>
      </c>
      <c r="DG88">
        <v>450001</v>
      </c>
      <c r="DL88">
        <v>0</v>
      </c>
      <c r="DN88">
        <v>0</v>
      </c>
      <c r="DP88" t="s">
        <v>1171</v>
      </c>
      <c r="DQ88">
        <v>1280463</v>
      </c>
      <c r="DR88" t="s">
        <v>223</v>
      </c>
      <c r="DS88">
        <v>9286.6</v>
      </c>
      <c r="DT88" s="1">
        <v>45468</v>
      </c>
      <c r="DU88" t="s">
        <v>1172</v>
      </c>
      <c r="DV88">
        <v>0</v>
      </c>
      <c r="DW88">
        <v>1</v>
      </c>
      <c r="DX88">
        <v>6080</v>
      </c>
      <c r="DY88">
        <v>1094.4000000000001</v>
      </c>
      <c r="DZ88">
        <v>7174.4</v>
      </c>
      <c r="EC88">
        <v>0</v>
      </c>
      <c r="EQ88" t="s">
        <v>1173</v>
      </c>
      <c r="ER88" s="1">
        <v>45462</v>
      </c>
      <c r="ES88">
        <v>4500</v>
      </c>
      <c r="ET88">
        <v>424887.94</v>
      </c>
      <c r="EU88">
        <v>10852.7</v>
      </c>
      <c r="EV88">
        <v>253334</v>
      </c>
      <c r="EW88" t="s">
        <v>1174</v>
      </c>
      <c r="EX88">
        <v>0</v>
      </c>
      <c r="EY88" t="s">
        <v>226</v>
      </c>
      <c r="EZ88" t="s">
        <v>226</v>
      </c>
      <c r="FA88" t="s">
        <v>226</v>
      </c>
      <c r="FB88" t="s">
        <v>226</v>
      </c>
      <c r="FC88" t="s">
        <v>202</v>
      </c>
      <c r="FD88" t="s">
        <v>202</v>
      </c>
      <c r="FE88" t="s">
        <v>202</v>
      </c>
      <c r="FF88" t="s">
        <v>202</v>
      </c>
      <c r="FG88" t="s">
        <v>202</v>
      </c>
      <c r="FH88" t="s">
        <v>202</v>
      </c>
      <c r="FI88" t="s">
        <v>202</v>
      </c>
      <c r="FJ88" t="s">
        <v>202</v>
      </c>
      <c r="FK88" t="s">
        <v>202</v>
      </c>
      <c r="FL88" t="s">
        <v>202</v>
      </c>
      <c r="FM88" t="s">
        <v>202</v>
      </c>
      <c r="FN88" t="s">
        <v>202</v>
      </c>
      <c r="FO88">
        <v>2001</v>
      </c>
      <c r="FP88">
        <v>-1</v>
      </c>
      <c r="FQ88">
        <v>0</v>
      </c>
      <c r="FR88">
        <v>4830</v>
      </c>
      <c r="FS88">
        <v>0</v>
      </c>
      <c r="FT88">
        <v>0</v>
      </c>
      <c r="FW88">
        <v>0</v>
      </c>
      <c r="FX88">
        <v>0</v>
      </c>
      <c r="FY88">
        <v>0</v>
      </c>
      <c r="GA88">
        <v>-885</v>
      </c>
    </row>
    <row r="89" spans="1:183" x14ac:dyDescent="0.3">
      <c r="A89">
        <v>11247</v>
      </c>
      <c r="B89">
        <v>88</v>
      </c>
      <c r="C89" t="s">
        <v>938</v>
      </c>
      <c r="D89" t="s">
        <v>938</v>
      </c>
      <c r="E89" t="s">
        <v>1175</v>
      </c>
      <c r="F89">
        <v>2457122586</v>
      </c>
      <c r="G89">
        <v>2457122586</v>
      </c>
      <c r="H89" t="s">
        <v>1176</v>
      </c>
      <c r="I89" t="s">
        <v>198</v>
      </c>
      <c r="J89" t="s">
        <v>199</v>
      </c>
      <c r="L89" t="s">
        <v>333</v>
      </c>
      <c r="O89">
        <v>9826462090</v>
      </c>
      <c r="P89" t="s">
        <v>1177</v>
      </c>
      <c r="Q89" s="1">
        <v>45467</v>
      </c>
      <c r="R89" s="1">
        <v>45467</v>
      </c>
      <c r="S89" s="1">
        <v>45469</v>
      </c>
      <c r="U89" t="s">
        <v>1177</v>
      </c>
      <c r="W89" t="s">
        <v>202</v>
      </c>
      <c r="AB89">
        <v>825144</v>
      </c>
      <c r="AD89" t="s">
        <v>287</v>
      </c>
      <c r="AE89">
        <v>4738</v>
      </c>
      <c r="AF89" t="s">
        <v>288</v>
      </c>
      <c r="AG89" t="s">
        <v>206</v>
      </c>
      <c r="AH89" t="s">
        <v>250</v>
      </c>
      <c r="AI89">
        <v>743448.26896599995</v>
      </c>
      <c r="AJ89">
        <v>1077999</v>
      </c>
      <c r="AK89">
        <v>45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1077999</v>
      </c>
      <c r="BA89">
        <v>22800</v>
      </c>
      <c r="BB89">
        <v>0</v>
      </c>
      <c r="BC89">
        <v>0</v>
      </c>
      <c r="BD89">
        <v>115988</v>
      </c>
      <c r="BE89" t="s">
        <v>234</v>
      </c>
      <c r="BF89">
        <v>18326</v>
      </c>
      <c r="BG89">
        <v>5216</v>
      </c>
      <c r="BH89" t="s">
        <v>209</v>
      </c>
      <c r="BI89">
        <v>36496</v>
      </c>
      <c r="BJ89">
        <v>885</v>
      </c>
      <c r="BK89">
        <v>0</v>
      </c>
      <c r="BL89">
        <v>0</v>
      </c>
      <c r="BM89">
        <v>0</v>
      </c>
      <c r="BN89">
        <v>10789</v>
      </c>
      <c r="BO89">
        <v>0</v>
      </c>
      <c r="BP89">
        <v>0</v>
      </c>
      <c r="BQ89">
        <v>0</v>
      </c>
      <c r="BR89">
        <v>0</v>
      </c>
      <c r="BS89">
        <v>500</v>
      </c>
      <c r="BT89">
        <v>0</v>
      </c>
      <c r="BU89">
        <v>0</v>
      </c>
      <c r="BV89">
        <v>0</v>
      </c>
      <c r="BW89">
        <v>0</v>
      </c>
      <c r="BX89">
        <v>1288999</v>
      </c>
      <c r="BY89">
        <v>0</v>
      </c>
      <c r="BZ89">
        <v>11000</v>
      </c>
      <c r="CA89">
        <v>0</v>
      </c>
      <c r="CB89">
        <v>1278000</v>
      </c>
      <c r="CC89">
        <v>0</v>
      </c>
      <c r="CD89">
        <v>0</v>
      </c>
      <c r="CE89">
        <v>1289000</v>
      </c>
      <c r="CF89">
        <v>0</v>
      </c>
      <c r="CG89">
        <v>0</v>
      </c>
      <c r="CH89">
        <v>1270000</v>
      </c>
      <c r="CI89">
        <v>1270000</v>
      </c>
      <c r="CJ89" t="s">
        <v>406</v>
      </c>
      <c r="CL89" t="s">
        <v>236</v>
      </c>
      <c r="CM89">
        <v>0</v>
      </c>
      <c r="CN89">
        <v>0</v>
      </c>
      <c r="CO89">
        <v>0</v>
      </c>
      <c r="CP89">
        <v>0</v>
      </c>
      <c r="CU89">
        <v>-1</v>
      </c>
      <c r="CV89" t="s">
        <v>966</v>
      </c>
      <c r="CW89" t="s">
        <v>967</v>
      </c>
      <c r="CX89" t="s">
        <v>879</v>
      </c>
      <c r="CY89" t="s">
        <v>880</v>
      </c>
      <c r="CZ89" t="s">
        <v>217</v>
      </c>
      <c r="DB89" t="s">
        <v>1178</v>
      </c>
      <c r="DD89" t="s">
        <v>1179</v>
      </c>
      <c r="DF89" t="s">
        <v>220</v>
      </c>
      <c r="DG89">
        <v>450001</v>
      </c>
      <c r="DL89">
        <v>0</v>
      </c>
      <c r="DN89">
        <v>0</v>
      </c>
      <c r="DP89" t="s">
        <v>1180</v>
      </c>
      <c r="DQ89">
        <v>9539943</v>
      </c>
      <c r="DR89" t="s">
        <v>223</v>
      </c>
      <c r="DS89">
        <v>18325.400000000001</v>
      </c>
      <c r="DT89" s="1">
        <v>45470</v>
      </c>
      <c r="DU89" t="s">
        <v>1181</v>
      </c>
      <c r="DV89">
        <v>0</v>
      </c>
      <c r="DW89">
        <v>1.27</v>
      </c>
      <c r="DX89">
        <v>16129</v>
      </c>
      <c r="DY89">
        <v>2903.22</v>
      </c>
      <c r="DZ89">
        <v>19032.22</v>
      </c>
      <c r="EC89">
        <v>0</v>
      </c>
      <c r="EQ89" t="s">
        <v>1182</v>
      </c>
      <c r="ER89" s="1">
        <v>45463</v>
      </c>
      <c r="ES89">
        <v>8500</v>
      </c>
      <c r="ET89">
        <v>697073.03</v>
      </c>
      <c r="EU89">
        <v>0</v>
      </c>
      <c r="EV89">
        <v>250292</v>
      </c>
      <c r="EW89" t="s">
        <v>1183</v>
      </c>
      <c r="EX89">
        <v>0</v>
      </c>
      <c r="EY89" t="s">
        <v>226</v>
      </c>
      <c r="EZ89" t="s">
        <v>226</v>
      </c>
      <c r="FA89" t="s">
        <v>226</v>
      </c>
      <c r="FB89" t="s">
        <v>226</v>
      </c>
      <c r="FC89" t="s">
        <v>202</v>
      </c>
      <c r="FD89" t="s">
        <v>202</v>
      </c>
      <c r="FE89" t="s">
        <v>202</v>
      </c>
      <c r="FF89" t="s">
        <v>202</v>
      </c>
      <c r="FG89" t="s">
        <v>202</v>
      </c>
      <c r="FH89" t="s">
        <v>202</v>
      </c>
      <c r="FI89" t="s">
        <v>202</v>
      </c>
      <c r="FJ89" t="s">
        <v>202</v>
      </c>
      <c r="FK89" t="s">
        <v>202</v>
      </c>
      <c r="FL89" t="s">
        <v>202</v>
      </c>
      <c r="FM89" t="s">
        <v>202</v>
      </c>
      <c r="FN89" t="s">
        <v>202</v>
      </c>
      <c r="FO89">
        <v>22802</v>
      </c>
      <c r="FP89">
        <v>-2</v>
      </c>
      <c r="FQ89">
        <v>27.34</v>
      </c>
      <c r="FR89">
        <v>4738</v>
      </c>
      <c r="FS89">
        <v>0</v>
      </c>
      <c r="FT89">
        <v>0</v>
      </c>
      <c r="FW89">
        <v>0</v>
      </c>
      <c r="FX89">
        <v>0</v>
      </c>
      <c r="FY89">
        <v>0</v>
      </c>
      <c r="GA89">
        <v>-885</v>
      </c>
    </row>
    <row r="90" spans="1:183" x14ac:dyDescent="0.3">
      <c r="A90">
        <v>11248</v>
      </c>
      <c r="B90">
        <v>89</v>
      </c>
      <c r="C90" t="s">
        <v>938</v>
      </c>
      <c r="D90" t="s">
        <v>938</v>
      </c>
      <c r="E90" t="s">
        <v>1184</v>
      </c>
      <c r="F90">
        <v>2457427545</v>
      </c>
      <c r="G90">
        <v>2457427545</v>
      </c>
      <c r="H90" t="s">
        <v>1185</v>
      </c>
      <c r="I90" t="s">
        <v>1186</v>
      </c>
      <c r="J90" t="s">
        <v>199</v>
      </c>
      <c r="L90" t="s">
        <v>1187</v>
      </c>
      <c r="O90">
        <v>7869956552</v>
      </c>
      <c r="P90" t="s">
        <v>1188</v>
      </c>
      <c r="Q90" s="1">
        <v>45469</v>
      </c>
      <c r="R90" s="1">
        <v>45469</v>
      </c>
      <c r="S90" s="1">
        <v>45469</v>
      </c>
      <c r="U90" t="s">
        <v>1188</v>
      </c>
      <c r="W90" t="s">
        <v>202</v>
      </c>
      <c r="AB90">
        <v>439040</v>
      </c>
      <c r="AD90" t="s">
        <v>323</v>
      </c>
      <c r="AE90">
        <v>4808</v>
      </c>
      <c r="AF90" t="s">
        <v>1189</v>
      </c>
      <c r="AG90" t="s">
        <v>206</v>
      </c>
      <c r="AH90" t="s">
        <v>250</v>
      </c>
      <c r="AI90">
        <v>631374.50495199999</v>
      </c>
      <c r="AJ90">
        <v>915493</v>
      </c>
      <c r="AK90">
        <v>45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915493</v>
      </c>
      <c r="BA90">
        <v>25250</v>
      </c>
      <c r="BB90">
        <v>0</v>
      </c>
      <c r="BC90">
        <v>0</v>
      </c>
      <c r="BD90">
        <v>82091</v>
      </c>
      <c r="BE90" t="s">
        <v>234</v>
      </c>
      <c r="BF90">
        <v>15789</v>
      </c>
      <c r="BG90">
        <v>4496</v>
      </c>
      <c r="BH90" t="s">
        <v>209</v>
      </c>
      <c r="BI90">
        <v>34892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1078011</v>
      </c>
      <c r="BY90">
        <v>0</v>
      </c>
      <c r="BZ90">
        <v>0</v>
      </c>
      <c r="CA90">
        <v>0</v>
      </c>
      <c r="CB90">
        <v>162519</v>
      </c>
      <c r="CC90">
        <v>0</v>
      </c>
      <c r="CD90">
        <v>0</v>
      </c>
      <c r="CE90">
        <v>162519</v>
      </c>
      <c r="CF90">
        <v>0</v>
      </c>
      <c r="CG90">
        <v>0</v>
      </c>
      <c r="CH90">
        <v>915492</v>
      </c>
      <c r="CJ90" t="s">
        <v>251</v>
      </c>
      <c r="CL90" t="s">
        <v>236</v>
      </c>
      <c r="CM90">
        <v>0</v>
      </c>
      <c r="CN90">
        <v>0</v>
      </c>
      <c r="CO90">
        <v>0</v>
      </c>
      <c r="CP90">
        <v>0</v>
      </c>
      <c r="CU90">
        <v>0</v>
      </c>
      <c r="CV90" t="s">
        <v>879</v>
      </c>
      <c r="CW90" t="s">
        <v>880</v>
      </c>
      <c r="CX90" t="s">
        <v>879</v>
      </c>
      <c r="CY90" t="s">
        <v>880</v>
      </c>
      <c r="CZ90" t="s">
        <v>217</v>
      </c>
      <c r="DB90" t="s">
        <v>1190</v>
      </c>
      <c r="DD90" t="s">
        <v>1191</v>
      </c>
      <c r="DF90" t="s">
        <v>1192</v>
      </c>
      <c r="DG90">
        <v>482001</v>
      </c>
      <c r="DL90">
        <v>0</v>
      </c>
      <c r="DN90">
        <v>0</v>
      </c>
      <c r="DP90" t="s">
        <v>1193</v>
      </c>
      <c r="DQ90">
        <v>9541958</v>
      </c>
      <c r="DR90" t="s">
        <v>223</v>
      </c>
      <c r="DS90">
        <v>15788.4</v>
      </c>
      <c r="DT90" s="1">
        <v>45470</v>
      </c>
      <c r="DU90" t="s">
        <v>1194</v>
      </c>
      <c r="DV90">
        <v>0</v>
      </c>
      <c r="DW90">
        <v>1.27</v>
      </c>
      <c r="DX90">
        <v>11626.75</v>
      </c>
      <c r="DY90">
        <v>2092.8200000000002</v>
      </c>
      <c r="DZ90">
        <v>13719.57</v>
      </c>
      <c r="EC90">
        <v>0</v>
      </c>
      <c r="EQ90" t="s">
        <v>1195</v>
      </c>
      <c r="ER90" s="1">
        <v>45463</v>
      </c>
      <c r="ES90">
        <v>6000</v>
      </c>
      <c r="ET90">
        <v>602814.69999999995</v>
      </c>
      <c r="EU90">
        <v>0</v>
      </c>
      <c r="EV90">
        <v>253582</v>
      </c>
      <c r="EW90" t="s">
        <v>1196</v>
      </c>
      <c r="EX90">
        <v>0</v>
      </c>
      <c r="EY90" t="s">
        <v>226</v>
      </c>
      <c r="EZ90" t="s">
        <v>226</v>
      </c>
      <c r="FA90" t="s">
        <v>226</v>
      </c>
      <c r="FB90" t="s">
        <v>202</v>
      </c>
      <c r="FC90" t="s">
        <v>202</v>
      </c>
      <c r="FD90" t="s">
        <v>202</v>
      </c>
      <c r="FE90" t="s">
        <v>202</v>
      </c>
      <c r="FF90" t="s">
        <v>202</v>
      </c>
      <c r="FG90" t="s">
        <v>202</v>
      </c>
      <c r="FH90" t="s">
        <v>202</v>
      </c>
      <c r="FI90" t="s">
        <v>202</v>
      </c>
      <c r="FJ90" t="s">
        <v>202</v>
      </c>
      <c r="FK90" t="s">
        <v>202</v>
      </c>
      <c r="FL90" t="s">
        <v>202</v>
      </c>
      <c r="FM90" t="s">
        <v>202</v>
      </c>
      <c r="FN90" t="s">
        <v>202</v>
      </c>
      <c r="FO90">
        <v>25250</v>
      </c>
      <c r="FP90">
        <v>0</v>
      </c>
      <c r="FQ90">
        <v>613.28</v>
      </c>
      <c r="FR90">
        <v>4808</v>
      </c>
      <c r="FS90">
        <v>0</v>
      </c>
      <c r="FT90">
        <v>0</v>
      </c>
      <c r="FW90">
        <v>0</v>
      </c>
      <c r="FX90">
        <v>0</v>
      </c>
      <c r="FY90">
        <v>0</v>
      </c>
      <c r="GA90">
        <v>915492</v>
      </c>
    </row>
    <row r="91" spans="1:183" x14ac:dyDescent="0.3">
      <c r="A91">
        <v>11251</v>
      </c>
      <c r="B91">
        <v>90</v>
      </c>
      <c r="C91" t="s">
        <v>938</v>
      </c>
      <c r="D91" t="s">
        <v>938</v>
      </c>
      <c r="E91" t="s">
        <v>1197</v>
      </c>
      <c r="F91">
        <v>2457438674</v>
      </c>
      <c r="G91">
        <v>2457438674</v>
      </c>
      <c r="H91" t="s">
        <v>1198</v>
      </c>
      <c r="I91" t="s">
        <v>198</v>
      </c>
      <c r="J91" t="s">
        <v>199</v>
      </c>
      <c r="L91" t="s">
        <v>333</v>
      </c>
      <c r="O91">
        <v>8959588051</v>
      </c>
      <c r="P91" t="s">
        <v>1199</v>
      </c>
      <c r="Q91" s="1">
        <v>45470</v>
      </c>
      <c r="R91" s="1">
        <v>45470</v>
      </c>
      <c r="S91" s="1">
        <v>45469</v>
      </c>
      <c r="U91" t="s">
        <v>1199</v>
      </c>
      <c r="W91" t="s">
        <v>202</v>
      </c>
      <c r="AB91">
        <v>416842</v>
      </c>
      <c r="AD91" t="s">
        <v>323</v>
      </c>
      <c r="AE91">
        <v>4809</v>
      </c>
      <c r="AF91" t="s">
        <v>942</v>
      </c>
      <c r="AG91" t="s">
        <v>232</v>
      </c>
      <c r="AH91" t="s">
        <v>233</v>
      </c>
      <c r="AI91">
        <v>575172.4</v>
      </c>
      <c r="AJ91">
        <v>834000</v>
      </c>
      <c r="AK91">
        <v>45</v>
      </c>
      <c r="AL91">
        <v>10000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16500</v>
      </c>
      <c r="AW91">
        <v>0</v>
      </c>
      <c r="AX91">
        <v>0</v>
      </c>
      <c r="AY91">
        <v>26500</v>
      </c>
      <c r="AZ91">
        <v>807500</v>
      </c>
      <c r="BA91">
        <v>38600</v>
      </c>
      <c r="BB91">
        <v>0</v>
      </c>
      <c r="BC91">
        <v>0</v>
      </c>
      <c r="BD91">
        <v>74491</v>
      </c>
      <c r="BE91" t="s">
        <v>234</v>
      </c>
      <c r="BF91">
        <v>14172</v>
      </c>
      <c r="BG91">
        <v>4036</v>
      </c>
      <c r="BH91" t="s">
        <v>209</v>
      </c>
      <c r="BI91">
        <v>31517</v>
      </c>
      <c r="BJ91">
        <v>885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971201</v>
      </c>
      <c r="BY91">
        <v>0</v>
      </c>
      <c r="BZ91">
        <v>0</v>
      </c>
      <c r="CA91">
        <v>0</v>
      </c>
      <c r="CB91">
        <v>971200</v>
      </c>
      <c r="CC91">
        <v>0</v>
      </c>
      <c r="CD91">
        <v>0</v>
      </c>
      <c r="CE91">
        <v>971200</v>
      </c>
      <c r="CF91">
        <v>0</v>
      </c>
      <c r="CG91">
        <v>0</v>
      </c>
      <c r="CH91">
        <v>620000</v>
      </c>
      <c r="CI91">
        <v>620000</v>
      </c>
      <c r="CJ91" t="s">
        <v>595</v>
      </c>
      <c r="CL91" t="s">
        <v>236</v>
      </c>
      <c r="CM91">
        <v>0</v>
      </c>
      <c r="CN91">
        <v>0</v>
      </c>
      <c r="CO91">
        <v>0</v>
      </c>
      <c r="CP91">
        <v>0</v>
      </c>
      <c r="CU91">
        <v>1</v>
      </c>
      <c r="CV91" t="s">
        <v>1041</v>
      </c>
      <c r="CW91" t="s">
        <v>1042</v>
      </c>
      <c r="CX91" t="s">
        <v>879</v>
      </c>
      <c r="CY91" t="s">
        <v>880</v>
      </c>
      <c r="CZ91" t="s">
        <v>217</v>
      </c>
      <c r="DB91" t="s">
        <v>1200</v>
      </c>
      <c r="DD91" t="s">
        <v>1201</v>
      </c>
      <c r="DF91" t="s">
        <v>220</v>
      </c>
      <c r="DG91">
        <v>450001</v>
      </c>
      <c r="DL91">
        <v>0</v>
      </c>
      <c r="DN91">
        <v>0</v>
      </c>
      <c r="DP91" t="s">
        <v>1202</v>
      </c>
      <c r="DQ91">
        <v>9504975</v>
      </c>
      <c r="DR91" t="s">
        <v>223</v>
      </c>
      <c r="DS91">
        <v>14171.8</v>
      </c>
      <c r="DT91" s="1">
        <v>45470</v>
      </c>
      <c r="DU91" t="s">
        <v>1203</v>
      </c>
      <c r="DV91">
        <v>0</v>
      </c>
      <c r="DW91">
        <v>1</v>
      </c>
      <c r="DX91">
        <v>6200</v>
      </c>
      <c r="DY91">
        <v>1116</v>
      </c>
      <c r="DZ91">
        <v>7316</v>
      </c>
      <c r="EC91">
        <v>0</v>
      </c>
      <c r="EQ91" t="s">
        <v>1204</v>
      </c>
      <c r="ER91" s="1">
        <v>45421</v>
      </c>
      <c r="ES91">
        <v>6000</v>
      </c>
      <c r="ET91">
        <v>537297.4</v>
      </c>
      <c r="EU91">
        <v>0</v>
      </c>
      <c r="EV91">
        <v>253791</v>
      </c>
      <c r="EW91" t="s">
        <v>1205</v>
      </c>
      <c r="EX91">
        <v>0</v>
      </c>
      <c r="EY91" t="s">
        <v>226</v>
      </c>
      <c r="EZ91" t="s">
        <v>226</v>
      </c>
      <c r="FA91" t="s">
        <v>226</v>
      </c>
      <c r="FB91" t="s">
        <v>202</v>
      </c>
      <c r="FC91" t="s">
        <v>202</v>
      </c>
      <c r="FD91" t="s">
        <v>202</v>
      </c>
      <c r="FE91" t="s">
        <v>202</v>
      </c>
      <c r="FF91" t="s">
        <v>202</v>
      </c>
      <c r="FG91" t="s">
        <v>202</v>
      </c>
      <c r="FH91" t="s">
        <v>202</v>
      </c>
      <c r="FI91" t="s">
        <v>202</v>
      </c>
      <c r="FJ91" t="s">
        <v>202</v>
      </c>
      <c r="FK91" t="s">
        <v>202</v>
      </c>
      <c r="FL91" t="s">
        <v>202</v>
      </c>
      <c r="FM91" t="s">
        <v>202</v>
      </c>
      <c r="FN91" t="s">
        <v>202</v>
      </c>
      <c r="FO91">
        <v>38603</v>
      </c>
      <c r="FP91">
        <v>-3</v>
      </c>
      <c r="FQ91">
        <v>594.61</v>
      </c>
      <c r="FR91">
        <v>4809</v>
      </c>
      <c r="FS91">
        <v>0</v>
      </c>
      <c r="FT91">
        <v>0</v>
      </c>
      <c r="FW91">
        <v>0</v>
      </c>
      <c r="FX91">
        <v>0</v>
      </c>
      <c r="FY91">
        <v>0</v>
      </c>
      <c r="GA91">
        <v>-885</v>
      </c>
    </row>
    <row r="92" spans="1:183" x14ac:dyDescent="0.3">
      <c r="A92">
        <v>11264</v>
      </c>
      <c r="B92">
        <v>91</v>
      </c>
      <c r="C92" t="s">
        <v>938</v>
      </c>
      <c r="D92" t="s">
        <v>938</v>
      </c>
      <c r="E92" t="s">
        <v>1206</v>
      </c>
      <c r="F92">
        <v>2457087536</v>
      </c>
      <c r="G92">
        <v>2457087536</v>
      </c>
      <c r="H92" t="s">
        <v>332</v>
      </c>
      <c r="I92" t="s">
        <v>198</v>
      </c>
      <c r="J92" t="s">
        <v>199</v>
      </c>
      <c r="L92" t="s">
        <v>333</v>
      </c>
      <c r="O92">
        <v>9770266118</v>
      </c>
      <c r="P92" t="s">
        <v>1207</v>
      </c>
      <c r="Q92" s="1">
        <v>45458</v>
      </c>
      <c r="R92" s="1">
        <v>45458</v>
      </c>
      <c r="S92" s="1">
        <v>45470</v>
      </c>
      <c r="U92" t="s">
        <v>1207</v>
      </c>
      <c r="W92" t="s">
        <v>202</v>
      </c>
      <c r="AB92">
        <v>899323</v>
      </c>
      <c r="AD92" t="s">
        <v>248</v>
      </c>
      <c r="AE92">
        <v>4696</v>
      </c>
      <c r="AF92" t="s">
        <v>1208</v>
      </c>
      <c r="AG92" t="s">
        <v>232</v>
      </c>
      <c r="AH92" t="s">
        <v>250</v>
      </c>
      <c r="AI92">
        <v>580613.94573599997</v>
      </c>
      <c r="AJ92">
        <v>748992</v>
      </c>
      <c r="AK92">
        <v>29</v>
      </c>
      <c r="AL92">
        <v>10000</v>
      </c>
      <c r="AM92">
        <v>0</v>
      </c>
      <c r="AN92">
        <v>0</v>
      </c>
      <c r="AO92">
        <v>0</v>
      </c>
      <c r="AP92">
        <v>0</v>
      </c>
      <c r="AQ92">
        <v>5000</v>
      </c>
      <c r="AR92">
        <v>0</v>
      </c>
      <c r="AS92">
        <v>0</v>
      </c>
      <c r="AT92">
        <v>0</v>
      </c>
      <c r="AU92">
        <v>0</v>
      </c>
      <c r="AV92">
        <v>14468</v>
      </c>
      <c r="AW92">
        <v>0</v>
      </c>
      <c r="AX92">
        <v>0</v>
      </c>
      <c r="AY92">
        <v>29468</v>
      </c>
      <c r="AZ92">
        <v>719524</v>
      </c>
      <c r="BA92">
        <v>0</v>
      </c>
      <c r="BB92">
        <v>0</v>
      </c>
      <c r="BC92">
        <v>0</v>
      </c>
      <c r="BD92">
        <v>67590</v>
      </c>
      <c r="BE92" t="s">
        <v>208</v>
      </c>
      <c r="BF92">
        <v>0</v>
      </c>
      <c r="BG92">
        <v>0</v>
      </c>
      <c r="BH92" t="s">
        <v>209</v>
      </c>
      <c r="BI92">
        <v>29001</v>
      </c>
      <c r="BJ92">
        <v>885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817000</v>
      </c>
      <c r="BY92">
        <v>0</v>
      </c>
      <c r="BZ92">
        <v>68000</v>
      </c>
      <c r="CA92">
        <v>0</v>
      </c>
      <c r="CB92">
        <v>749000</v>
      </c>
      <c r="CC92">
        <v>0</v>
      </c>
      <c r="CD92">
        <v>0</v>
      </c>
      <c r="CE92">
        <v>817000</v>
      </c>
      <c r="CF92">
        <v>0</v>
      </c>
      <c r="CG92">
        <v>0</v>
      </c>
      <c r="CH92">
        <v>749000</v>
      </c>
      <c r="CI92">
        <v>749000</v>
      </c>
      <c r="CJ92" t="s">
        <v>251</v>
      </c>
      <c r="CL92" t="s">
        <v>236</v>
      </c>
      <c r="CM92">
        <v>0</v>
      </c>
      <c r="CN92">
        <v>0</v>
      </c>
      <c r="CO92">
        <v>0</v>
      </c>
      <c r="CP92">
        <v>0</v>
      </c>
      <c r="CU92">
        <v>0</v>
      </c>
      <c r="CV92" t="s">
        <v>1209</v>
      </c>
      <c r="CW92" t="s">
        <v>1210</v>
      </c>
      <c r="CX92" t="s">
        <v>879</v>
      </c>
      <c r="CY92" t="s">
        <v>880</v>
      </c>
      <c r="CZ92" t="s">
        <v>217</v>
      </c>
      <c r="DB92" t="s">
        <v>1211</v>
      </c>
      <c r="DD92" t="s">
        <v>1212</v>
      </c>
      <c r="DF92" t="s">
        <v>220</v>
      </c>
      <c r="DG92">
        <v>450001</v>
      </c>
      <c r="DL92">
        <v>0</v>
      </c>
      <c r="DN92">
        <v>0</v>
      </c>
      <c r="DP92" t="s">
        <v>1213</v>
      </c>
      <c r="DQ92">
        <v>1090016</v>
      </c>
      <c r="DR92" t="s">
        <v>223</v>
      </c>
      <c r="DS92">
        <v>0</v>
      </c>
      <c r="DV92">
        <v>0</v>
      </c>
      <c r="DW92">
        <v>1.27</v>
      </c>
      <c r="DX92">
        <v>9512.2999999999993</v>
      </c>
      <c r="DY92">
        <v>1712.21</v>
      </c>
      <c r="DZ92">
        <v>11224.51</v>
      </c>
      <c r="EC92">
        <v>0</v>
      </c>
      <c r="EQ92" t="s">
        <v>1214</v>
      </c>
      <c r="ER92" s="1">
        <v>45454</v>
      </c>
      <c r="ES92">
        <v>6000</v>
      </c>
      <c r="ET92">
        <v>538012.56000000006</v>
      </c>
      <c r="EU92">
        <v>5426.4</v>
      </c>
      <c r="EV92">
        <v>249952</v>
      </c>
      <c r="EW92" t="s">
        <v>1215</v>
      </c>
      <c r="EX92">
        <v>0</v>
      </c>
      <c r="EY92" t="s">
        <v>226</v>
      </c>
      <c r="EZ92" t="s">
        <v>202</v>
      </c>
      <c r="FA92" t="s">
        <v>226</v>
      </c>
      <c r="FB92" t="s">
        <v>202</v>
      </c>
      <c r="FC92" t="s">
        <v>202</v>
      </c>
      <c r="FD92" t="s">
        <v>202</v>
      </c>
      <c r="FE92" t="s">
        <v>202</v>
      </c>
      <c r="FF92" t="s">
        <v>202</v>
      </c>
      <c r="FG92" t="s">
        <v>202</v>
      </c>
      <c r="FH92" t="s">
        <v>202</v>
      </c>
      <c r="FI92" t="s">
        <v>202</v>
      </c>
      <c r="FJ92" t="s">
        <v>202</v>
      </c>
      <c r="FK92" t="s">
        <v>202</v>
      </c>
      <c r="FL92" t="s">
        <v>202</v>
      </c>
      <c r="FM92" t="s">
        <v>202</v>
      </c>
      <c r="FN92" t="s">
        <v>202</v>
      </c>
      <c r="FO92">
        <v>0</v>
      </c>
      <c r="FP92">
        <v>0</v>
      </c>
      <c r="FQ92">
        <v>0</v>
      </c>
      <c r="FR92">
        <v>4696</v>
      </c>
      <c r="FS92">
        <v>0</v>
      </c>
      <c r="FT92">
        <v>0</v>
      </c>
      <c r="FW92">
        <v>0</v>
      </c>
      <c r="FX92">
        <v>0</v>
      </c>
      <c r="FY92">
        <v>0</v>
      </c>
      <c r="GA92">
        <v>-885</v>
      </c>
    </row>
    <row r="93" spans="1:183" x14ac:dyDescent="0.3">
      <c r="A93">
        <v>11265</v>
      </c>
      <c r="B93">
        <v>92</v>
      </c>
      <c r="C93" t="s">
        <v>938</v>
      </c>
      <c r="D93" t="s">
        <v>938</v>
      </c>
      <c r="E93" t="s">
        <v>1216</v>
      </c>
      <c r="F93">
        <v>2457451998</v>
      </c>
      <c r="G93">
        <v>2457451998</v>
      </c>
      <c r="H93" t="s">
        <v>1217</v>
      </c>
      <c r="I93" t="s">
        <v>198</v>
      </c>
      <c r="J93" t="s">
        <v>488</v>
      </c>
      <c r="L93" t="s">
        <v>613</v>
      </c>
      <c r="O93">
        <v>9637062299</v>
      </c>
      <c r="P93" t="s">
        <v>1218</v>
      </c>
      <c r="Q93" s="1">
        <v>45470</v>
      </c>
      <c r="R93" s="1">
        <v>45470</v>
      </c>
      <c r="S93" s="1">
        <v>45470</v>
      </c>
      <c r="U93" t="s">
        <v>1218</v>
      </c>
      <c r="W93" t="s">
        <v>202</v>
      </c>
      <c r="AB93">
        <v>822564</v>
      </c>
      <c r="AD93" t="s">
        <v>287</v>
      </c>
      <c r="AE93">
        <v>4738</v>
      </c>
      <c r="AF93" t="s">
        <v>288</v>
      </c>
      <c r="AG93" t="s">
        <v>206</v>
      </c>
      <c r="AH93" t="s">
        <v>250</v>
      </c>
      <c r="AI93">
        <v>743448.26896599995</v>
      </c>
      <c r="AJ93">
        <v>1077999</v>
      </c>
      <c r="AK93">
        <v>45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1077999</v>
      </c>
      <c r="BA93">
        <v>59400</v>
      </c>
      <c r="BB93">
        <v>0</v>
      </c>
      <c r="BC93">
        <v>0</v>
      </c>
      <c r="BD93">
        <v>5000</v>
      </c>
      <c r="BE93" t="s">
        <v>234</v>
      </c>
      <c r="BF93">
        <v>18326</v>
      </c>
      <c r="BG93">
        <v>0</v>
      </c>
      <c r="BH93" t="s">
        <v>209</v>
      </c>
      <c r="BI93">
        <v>34001</v>
      </c>
      <c r="BJ93">
        <v>885</v>
      </c>
      <c r="BK93">
        <v>0</v>
      </c>
      <c r="BL93">
        <v>0</v>
      </c>
      <c r="BM93">
        <v>0</v>
      </c>
      <c r="BN93">
        <v>10789</v>
      </c>
      <c r="BO93">
        <v>0</v>
      </c>
      <c r="BP93">
        <v>0</v>
      </c>
      <c r="BQ93">
        <v>0</v>
      </c>
      <c r="BR93">
        <v>0</v>
      </c>
      <c r="BS93">
        <v>500</v>
      </c>
      <c r="BT93">
        <v>0</v>
      </c>
      <c r="BU93">
        <v>0</v>
      </c>
      <c r="BV93">
        <v>0</v>
      </c>
      <c r="BW93">
        <v>0</v>
      </c>
      <c r="BX93">
        <v>1206900</v>
      </c>
      <c r="BY93">
        <v>0</v>
      </c>
      <c r="BZ93">
        <v>50295</v>
      </c>
      <c r="CA93">
        <v>0</v>
      </c>
      <c r="CB93">
        <v>1151504</v>
      </c>
      <c r="CC93">
        <v>0</v>
      </c>
      <c r="CD93">
        <v>0</v>
      </c>
      <c r="CE93">
        <v>1201799</v>
      </c>
      <c r="CF93">
        <v>0</v>
      </c>
      <c r="CG93">
        <v>0</v>
      </c>
      <c r="CH93">
        <v>959404</v>
      </c>
      <c r="CJ93" t="s">
        <v>1219</v>
      </c>
      <c r="CL93" t="s">
        <v>236</v>
      </c>
      <c r="CM93">
        <v>0</v>
      </c>
      <c r="CN93">
        <v>0</v>
      </c>
      <c r="CO93">
        <v>0</v>
      </c>
      <c r="CP93">
        <v>0</v>
      </c>
      <c r="CU93">
        <v>-954303</v>
      </c>
      <c r="CV93" t="s">
        <v>1220</v>
      </c>
      <c r="CW93" t="s">
        <v>1221</v>
      </c>
      <c r="CX93">
        <v>2298</v>
      </c>
      <c r="CY93" t="s">
        <v>911</v>
      </c>
      <c r="CZ93" t="s">
        <v>217</v>
      </c>
      <c r="DB93" t="s">
        <v>1222</v>
      </c>
      <c r="DD93" t="s">
        <v>1223</v>
      </c>
      <c r="DF93" t="s">
        <v>220</v>
      </c>
      <c r="DG93">
        <v>424206</v>
      </c>
      <c r="DL93">
        <v>0</v>
      </c>
      <c r="DN93">
        <v>0</v>
      </c>
      <c r="DP93" t="s">
        <v>1224</v>
      </c>
      <c r="DQ93">
        <v>9537202</v>
      </c>
      <c r="DR93" t="s">
        <v>223</v>
      </c>
      <c r="DS93">
        <v>18325.400000000001</v>
      </c>
      <c r="DT93" s="1">
        <v>45470</v>
      </c>
      <c r="DU93" t="s">
        <v>1225</v>
      </c>
      <c r="DV93">
        <v>0</v>
      </c>
      <c r="DW93">
        <v>1</v>
      </c>
      <c r="DX93">
        <v>9594.0400000000009</v>
      </c>
      <c r="DY93">
        <v>1726.93</v>
      </c>
      <c r="DZ93">
        <v>11320.97</v>
      </c>
      <c r="EC93">
        <v>0</v>
      </c>
      <c r="EQ93" t="s">
        <v>1226</v>
      </c>
      <c r="ER93" s="1">
        <v>45454</v>
      </c>
      <c r="ES93">
        <v>8500</v>
      </c>
      <c r="ET93">
        <v>697073.03</v>
      </c>
      <c r="EU93">
        <v>0</v>
      </c>
      <c r="EV93">
        <v>253921</v>
      </c>
      <c r="EW93" t="s">
        <v>1227</v>
      </c>
      <c r="EX93">
        <v>0</v>
      </c>
      <c r="EY93" t="s">
        <v>226</v>
      </c>
      <c r="EZ93" t="s">
        <v>226</v>
      </c>
      <c r="FA93" t="s">
        <v>226</v>
      </c>
      <c r="FB93" t="s">
        <v>226</v>
      </c>
      <c r="FC93" t="s">
        <v>202</v>
      </c>
      <c r="FD93" t="s">
        <v>202</v>
      </c>
      <c r="FE93" t="s">
        <v>202</v>
      </c>
      <c r="FF93" t="s">
        <v>202</v>
      </c>
      <c r="FG93" t="s">
        <v>202</v>
      </c>
      <c r="FH93" t="s">
        <v>202</v>
      </c>
      <c r="FI93" t="s">
        <v>202</v>
      </c>
      <c r="FJ93" t="s">
        <v>202</v>
      </c>
      <c r="FK93" t="s">
        <v>202</v>
      </c>
      <c r="FL93" t="s">
        <v>202</v>
      </c>
      <c r="FM93" t="s">
        <v>202</v>
      </c>
      <c r="FN93" t="s">
        <v>202</v>
      </c>
      <c r="FO93">
        <v>57992</v>
      </c>
      <c r="FP93">
        <v>1408</v>
      </c>
      <c r="FQ93">
        <v>0</v>
      </c>
      <c r="FR93">
        <v>4738</v>
      </c>
      <c r="FS93">
        <v>0</v>
      </c>
      <c r="FT93">
        <v>0</v>
      </c>
      <c r="FW93">
        <v>0</v>
      </c>
      <c r="FX93">
        <v>0</v>
      </c>
      <c r="FY93">
        <v>0</v>
      </c>
      <c r="GA93">
        <v>2807</v>
      </c>
    </row>
    <row r="94" spans="1:183" x14ac:dyDescent="0.3">
      <c r="A94">
        <v>11268</v>
      </c>
      <c r="B94">
        <v>93</v>
      </c>
      <c r="C94" t="s">
        <v>938</v>
      </c>
      <c r="D94" t="s">
        <v>938</v>
      </c>
      <c r="E94" t="s">
        <v>1228</v>
      </c>
      <c r="F94">
        <v>2457388681</v>
      </c>
      <c r="G94">
        <v>2457388681</v>
      </c>
      <c r="H94" t="s">
        <v>1229</v>
      </c>
      <c r="I94" t="s">
        <v>198</v>
      </c>
      <c r="J94" t="s">
        <v>199</v>
      </c>
      <c r="L94" t="s">
        <v>333</v>
      </c>
      <c r="O94">
        <v>9754396849</v>
      </c>
      <c r="P94" t="s">
        <v>1230</v>
      </c>
      <c r="Q94" s="1">
        <v>45470</v>
      </c>
      <c r="R94" s="1">
        <v>45470</v>
      </c>
      <c r="S94" s="1">
        <v>45470</v>
      </c>
      <c r="U94" t="s">
        <v>1230</v>
      </c>
      <c r="W94" t="s">
        <v>202</v>
      </c>
      <c r="AB94" t="s">
        <v>1231</v>
      </c>
      <c r="AD94" t="s">
        <v>310</v>
      </c>
      <c r="AE94">
        <v>4765</v>
      </c>
      <c r="AF94" t="s">
        <v>367</v>
      </c>
      <c r="AG94" t="s">
        <v>232</v>
      </c>
      <c r="AH94" t="s">
        <v>207</v>
      </c>
      <c r="AI94">
        <v>440309.992248</v>
      </c>
      <c r="AJ94">
        <v>568000</v>
      </c>
      <c r="AK94">
        <v>29</v>
      </c>
      <c r="AL94">
        <v>10000</v>
      </c>
      <c r="AM94">
        <v>0</v>
      </c>
      <c r="AN94">
        <v>0</v>
      </c>
      <c r="AO94">
        <v>0</v>
      </c>
      <c r="AP94">
        <v>0</v>
      </c>
      <c r="AQ94">
        <v>15000</v>
      </c>
      <c r="AR94">
        <v>0</v>
      </c>
      <c r="AS94">
        <v>0</v>
      </c>
      <c r="AT94">
        <v>0</v>
      </c>
      <c r="AU94">
        <v>0</v>
      </c>
      <c r="AV94">
        <v>10000</v>
      </c>
      <c r="AW94">
        <v>0</v>
      </c>
      <c r="AX94">
        <v>0</v>
      </c>
      <c r="AY94">
        <v>35000</v>
      </c>
      <c r="AZ94">
        <v>533000</v>
      </c>
      <c r="BA94">
        <v>28000</v>
      </c>
      <c r="BB94">
        <v>0</v>
      </c>
      <c r="BC94">
        <v>0</v>
      </c>
      <c r="BD94">
        <v>53911</v>
      </c>
      <c r="BE94" t="s">
        <v>234</v>
      </c>
      <c r="BF94">
        <v>8850</v>
      </c>
      <c r="BG94">
        <v>2754</v>
      </c>
      <c r="BH94" t="s">
        <v>209</v>
      </c>
      <c r="BI94">
        <v>26000</v>
      </c>
      <c r="BJ94">
        <v>885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500</v>
      </c>
      <c r="BT94">
        <v>0</v>
      </c>
      <c r="BU94">
        <v>0</v>
      </c>
      <c r="BV94">
        <v>0</v>
      </c>
      <c r="BW94">
        <v>0</v>
      </c>
      <c r="BX94">
        <v>653900</v>
      </c>
      <c r="BY94">
        <v>0</v>
      </c>
      <c r="BZ94">
        <v>90400</v>
      </c>
      <c r="CA94">
        <v>0</v>
      </c>
      <c r="CB94">
        <v>0</v>
      </c>
      <c r="CC94">
        <v>0</v>
      </c>
      <c r="CD94">
        <v>0</v>
      </c>
      <c r="CE94">
        <v>90400</v>
      </c>
      <c r="CF94">
        <v>0</v>
      </c>
      <c r="CG94">
        <v>0</v>
      </c>
      <c r="CH94">
        <v>563500</v>
      </c>
      <c r="CJ94" t="s">
        <v>210</v>
      </c>
      <c r="CL94" t="s">
        <v>211</v>
      </c>
      <c r="CM94">
        <v>0</v>
      </c>
      <c r="CN94">
        <v>0</v>
      </c>
      <c r="CO94">
        <v>0</v>
      </c>
      <c r="CP94">
        <v>0</v>
      </c>
      <c r="CU94">
        <v>0</v>
      </c>
      <c r="CV94" t="s">
        <v>1137</v>
      </c>
      <c r="CW94" t="s">
        <v>1138</v>
      </c>
      <c r="CX94">
        <v>694</v>
      </c>
      <c r="CY94" t="s">
        <v>986</v>
      </c>
      <c r="CZ94" t="s">
        <v>217</v>
      </c>
      <c r="DB94" t="s">
        <v>1232</v>
      </c>
      <c r="DD94" t="s">
        <v>1233</v>
      </c>
      <c r="DF94" t="s">
        <v>220</v>
      </c>
      <c r="DG94">
        <v>450001</v>
      </c>
      <c r="DL94">
        <v>0</v>
      </c>
      <c r="DN94">
        <v>0</v>
      </c>
      <c r="DP94" t="s">
        <v>1234</v>
      </c>
      <c r="DQ94">
        <v>4270220</v>
      </c>
      <c r="DR94" t="s">
        <v>223</v>
      </c>
      <c r="DS94">
        <v>8850</v>
      </c>
      <c r="DT94" s="1">
        <v>45470</v>
      </c>
      <c r="DU94" t="s">
        <v>1235</v>
      </c>
      <c r="DV94">
        <v>0</v>
      </c>
      <c r="DW94">
        <v>1.5</v>
      </c>
      <c r="DX94">
        <v>8452.5</v>
      </c>
      <c r="DY94">
        <v>1521.45</v>
      </c>
      <c r="DZ94">
        <v>9973.9500000000007</v>
      </c>
      <c r="EC94">
        <v>0</v>
      </c>
      <c r="EQ94" t="s">
        <v>1236</v>
      </c>
      <c r="ER94" s="1">
        <v>45458</v>
      </c>
      <c r="ES94">
        <v>3000</v>
      </c>
      <c r="ET94">
        <v>410408.86</v>
      </c>
      <c r="EU94">
        <v>5426.4</v>
      </c>
      <c r="EV94">
        <v>253861</v>
      </c>
      <c r="EW94" t="s">
        <v>1237</v>
      </c>
      <c r="EX94">
        <v>0</v>
      </c>
      <c r="EY94" t="s">
        <v>226</v>
      </c>
      <c r="EZ94" t="s">
        <v>226</v>
      </c>
      <c r="FA94" t="s">
        <v>226</v>
      </c>
      <c r="FB94" t="s">
        <v>226</v>
      </c>
      <c r="FC94" t="s">
        <v>202</v>
      </c>
      <c r="FD94" t="s">
        <v>202</v>
      </c>
      <c r="FE94" t="s">
        <v>202</v>
      </c>
      <c r="FF94" t="s">
        <v>202</v>
      </c>
      <c r="FG94" t="s">
        <v>202</v>
      </c>
      <c r="FH94" t="s">
        <v>202</v>
      </c>
      <c r="FI94" t="s">
        <v>202</v>
      </c>
      <c r="FJ94" t="s">
        <v>202</v>
      </c>
      <c r="FK94" t="s">
        <v>202</v>
      </c>
      <c r="FL94" t="s">
        <v>202</v>
      </c>
      <c r="FM94" t="s">
        <v>202</v>
      </c>
      <c r="FN94" t="s">
        <v>202</v>
      </c>
      <c r="FO94">
        <v>28001</v>
      </c>
      <c r="FP94">
        <v>-1</v>
      </c>
      <c r="FQ94">
        <v>99.37</v>
      </c>
      <c r="FR94">
        <v>4765</v>
      </c>
      <c r="FS94">
        <v>0</v>
      </c>
      <c r="FT94">
        <v>0</v>
      </c>
      <c r="FW94">
        <v>0</v>
      </c>
      <c r="FX94">
        <v>0</v>
      </c>
      <c r="FY94">
        <v>0</v>
      </c>
      <c r="GA94">
        <v>-1121</v>
      </c>
    </row>
    <row r="95" spans="1:183" x14ac:dyDescent="0.3">
      <c r="A95">
        <v>11275</v>
      </c>
      <c r="B95">
        <v>94</v>
      </c>
      <c r="C95" t="s">
        <v>938</v>
      </c>
      <c r="D95" t="s">
        <v>938</v>
      </c>
      <c r="E95" t="s">
        <v>1238</v>
      </c>
      <c r="F95">
        <v>2457462876</v>
      </c>
      <c r="G95">
        <v>2457462876</v>
      </c>
      <c r="H95" t="s">
        <v>1239</v>
      </c>
      <c r="I95" t="s">
        <v>198</v>
      </c>
      <c r="J95" t="s">
        <v>199</v>
      </c>
      <c r="L95" t="s">
        <v>333</v>
      </c>
      <c r="O95">
        <v>9752620144</v>
      </c>
      <c r="P95" t="s">
        <v>1240</v>
      </c>
      <c r="Q95" s="1">
        <v>45471</v>
      </c>
      <c r="R95" s="1">
        <v>45471</v>
      </c>
      <c r="S95" s="1">
        <v>45470</v>
      </c>
      <c r="U95" t="s">
        <v>1240</v>
      </c>
      <c r="W95" t="s">
        <v>202</v>
      </c>
      <c r="AB95">
        <v>422963</v>
      </c>
      <c r="AD95" t="s">
        <v>323</v>
      </c>
      <c r="AE95">
        <v>4824</v>
      </c>
      <c r="AF95" t="s">
        <v>324</v>
      </c>
      <c r="AG95" t="s">
        <v>232</v>
      </c>
      <c r="AH95" t="s">
        <v>250</v>
      </c>
      <c r="AI95">
        <v>668620.66896599997</v>
      </c>
      <c r="AJ95">
        <v>969501</v>
      </c>
      <c r="AK95">
        <v>45</v>
      </c>
      <c r="AL95">
        <v>10000</v>
      </c>
      <c r="AM95">
        <v>0</v>
      </c>
      <c r="AN95">
        <v>0</v>
      </c>
      <c r="AO95">
        <v>0</v>
      </c>
      <c r="AP95">
        <v>10000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5000</v>
      </c>
      <c r="AW95">
        <v>0</v>
      </c>
      <c r="AX95">
        <v>0</v>
      </c>
      <c r="AY95">
        <v>25000</v>
      </c>
      <c r="AZ95">
        <v>944501</v>
      </c>
      <c r="BA95">
        <v>45600</v>
      </c>
      <c r="BB95">
        <v>0</v>
      </c>
      <c r="BC95">
        <v>0</v>
      </c>
      <c r="BD95">
        <v>85331</v>
      </c>
      <c r="BE95" t="s">
        <v>234</v>
      </c>
      <c r="BF95">
        <v>16485</v>
      </c>
      <c r="BG95">
        <v>4697</v>
      </c>
      <c r="BH95" t="s">
        <v>209</v>
      </c>
      <c r="BI95">
        <v>33492</v>
      </c>
      <c r="BJ95">
        <v>885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1130991</v>
      </c>
      <c r="BY95">
        <v>0</v>
      </c>
      <c r="BZ95">
        <v>199000</v>
      </c>
      <c r="CA95">
        <v>0</v>
      </c>
      <c r="CB95">
        <v>85000</v>
      </c>
      <c r="CC95">
        <v>0</v>
      </c>
      <c r="CD95">
        <v>0</v>
      </c>
      <c r="CE95">
        <v>284000</v>
      </c>
      <c r="CF95">
        <v>0</v>
      </c>
      <c r="CG95">
        <v>0</v>
      </c>
      <c r="CH95">
        <v>0</v>
      </c>
      <c r="CJ95" t="s">
        <v>77</v>
      </c>
      <c r="CL95" t="s">
        <v>77</v>
      </c>
      <c r="CM95">
        <v>340000</v>
      </c>
      <c r="CN95">
        <v>0</v>
      </c>
      <c r="CO95">
        <v>0</v>
      </c>
      <c r="CP95">
        <v>340000</v>
      </c>
      <c r="CQ95" t="s">
        <v>1241</v>
      </c>
      <c r="CT95" t="s">
        <v>965</v>
      </c>
      <c r="CU95">
        <v>506991</v>
      </c>
      <c r="CV95" t="s">
        <v>1041</v>
      </c>
      <c r="CW95" t="s">
        <v>1042</v>
      </c>
      <c r="CX95" t="s">
        <v>879</v>
      </c>
      <c r="CY95" t="s">
        <v>880</v>
      </c>
      <c r="CZ95" t="s">
        <v>217</v>
      </c>
      <c r="DB95" t="s">
        <v>1242</v>
      </c>
      <c r="DD95" t="s">
        <v>1243</v>
      </c>
      <c r="DF95" t="s">
        <v>220</v>
      </c>
      <c r="DG95">
        <v>450001</v>
      </c>
      <c r="DL95">
        <v>0</v>
      </c>
      <c r="DN95">
        <v>0</v>
      </c>
      <c r="DP95" t="s">
        <v>1244</v>
      </c>
      <c r="DQ95">
        <v>9515484</v>
      </c>
      <c r="DR95" t="s">
        <v>223</v>
      </c>
      <c r="DS95">
        <v>16484.599999999999</v>
      </c>
      <c r="DT95" s="1">
        <v>45471</v>
      </c>
      <c r="DU95" t="s">
        <v>1245</v>
      </c>
      <c r="DV95">
        <v>0</v>
      </c>
      <c r="EQ95" t="s">
        <v>1246</v>
      </c>
      <c r="ER95" s="1">
        <v>45436</v>
      </c>
      <c r="ES95">
        <v>6000</v>
      </c>
      <c r="ET95">
        <v>623495.66</v>
      </c>
      <c r="EU95">
        <v>0</v>
      </c>
      <c r="EV95">
        <v>254053</v>
      </c>
      <c r="EW95" t="s">
        <v>1247</v>
      </c>
      <c r="EX95">
        <v>0</v>
      </c>
      <c r="EY95" t="s">
        <v>226</v>
      </c>
      <c r="EZ95" t="s">
        <v>226</v>
      </c>
      <c r="FA95" t="s">
        <v>226</v>
      </c>
      <c r="FB95" t="s">
        <v>202</v>
      </c>
      <c r="FC95" t="s">
        <v>202</v>
      </c>
      <c r="FD95" t="s">
        <v>202</v>
      </c>
      <c r="FE95" t="s">
        <v>202</v>
      </c>
      <c r="FF95" t="s">
        <v>202</v>
      </c>
      <c r="FG95" t="s">
        <v>202</v>
      </c>
      <c r="FH95" t="s">
        <v>202</v>
      </c>
      <c r="FI95" t="s">
        <v>202</v>
      </c>
      <c r="FJ95" t="s">
        <v>202</v>
      </c>
      <c r="FK95" t="s">
        <v>202</v>
      </c>
      <c r="FL95" t="s">
        <v>202</v>
      </c>
      <c r="FM95" t="s">
        <v>202</v>
      </c>
      <c r="FN95" t="s">
        <v>202</v>
      </c>
      <c r="FO95">
        <v>45611</v>
      </c>
      <c r="FP95">
        <v>-11</v>
      </c>
      <c r="FQ95">
        <v>2057.85</v>
      </c>
      <c r="FR95">
        <v>4824</v>
      </c>
      <c r="FS95">
        <v>0</v>
      </c>
      <c r="FT95">
        <v>0</v>
      </c>
      <c r="FW95">
        <v>0</v>
      </c>
      <c r="FX95">
        <v>0</v>
      </c>
      <c r="FY95">
        <v>0</v>
      </c>
      <c r="GA95">
        <v>891115</v>
      </c>
    </row>
    <row r="96" spans="1:183" x14ac:dyDescent="0.3">
      <c r="A96">
        <v>11284</v>
      </c>
      <c r="B96">
        <v>95</v>
      </c>
      <c r="C96" t="s">
        <v>938</v>
      </c>
      <c r="D96" t="s">
        <v>938</v>
      </c>
      <c r="E96" t="s">
        <v>306</v>
      </c>
      <c r="F96">
        <v>2457492737</v>
      </c>
      <c r="G96">
        <v>2457492737</v>
      </c>
      <c r="H96" t="s">
        <v>1248</v>
      </c>
      <c r="I96" t="s">
        <v>198</v>
      </c>
      <c r="J96" t="s">
        <v>199</v>
      </c>
      <c r="L96" t="s">
        <v>333</v>
      </c>
      <c r="O96">
        <v>9753063570</v>
      </c>
      <c r="P96" t="s">
        <v>1249</v>
      </c>
      <c r="Q96" s="1">
        <v>45472</v>
      </c>
      <c r="R96" s="1">
        <v>45472</v>
      </c>
      <c r="S96" s="1">
        <v>45472</v>
      </c>
      <c r="U96" t="s">
        <v>1249</v>
      </c>
      <c r="W96" t="s">
        <v>202</v>
      </c>
      <c r="AB96">
        <v>821551</v>
      </c>
      <c r="AD96" t="s">
        <v>287</v>
      </c>
      <c r="AE96">
        <v>4738</v>
      </c>
      <c r="AF96" t="s">
        <v>288</v>
      </c>
      <c r="AG96" t="s">
        <v>206</v>
      </c>
      <c r="AH96" t="s">
        <v>1040</v>
      </c>
      <c r="AI96">
        <v>743448.26896599995</v>
      </c>
      <c r="AJ96">
        <v>1077999</v>
      </c>
      <c r="AK96">
        <v>45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1077999</v>
      </c>
      <c r="BA96">
        <v>40000</v>
      </c>
      <c r="BB96">
        <v>0</v>
      </c>
      <c r="BC96">
        <v>0</v>
      </c>
      <c r="BD96">
        <v>115988</v>
      </c>
      <c r="BE96" t="s">
        <v>234</v>
      </c>
      <c r="BF96">
        <v>18326</v>
      </c>
      <c r="BG96">
        <v>0</v>
      </c>
      <c r="BH96" t="s">
        <v>209</v>
      </c>
      <c r="BI96">
        <v>36501</v>
      </c>
      <c r="BJ96">
        <v>885</v>
      </c>
      <c r="BK96">
        <v>0</v>
      </c>
      <c r="BL96">
        <v>0</v>
      </c>
      <c r="BM96">
        <v>0</v>
      </c>
      <c r="BN96">
        <v>10789</v>
      </c>
      <c r="BO96">
        <v>0</v>
      </c>
      <c r="BP96">
        <v>0</v>
      </c>
      <c r="BQ96">
        <v>0</v>
      </c>
      <c r="BR96">
        <v>0</v>
      </c>
      <c r="BS96">
        <v>500</v>
      </c>
      <c r="BT96">
        <v>0</v>
      </c>
      <c r="BU96">
        <v>0</v>
      </c>
      <c r="BV96">
        <v>0</v>
      </c>
      <c r="BW96">
        <v>0</v>
      </c>
      <c r="BX96">
        <v>1300988</v>
      </c>
      <c r="BY96">
        <v>0</v>
      </c>
      <c r="BZ96">
        <v>0</v>
      </c>
      <c r="CA96">
        <v>0</v>
      </c>
      <c r="CB96">
        <v>1265200</v>
      </c>
      <c r="CC96">
        <v>0</v>
      </c>
      <c r="CD96">
        <v>0</v>
      </c>
      <c r="CE96">
        <v>1265200</v>
      </c>
      <c r="CF96">
        <v>0</v>
      </c>
      <c r="CG96">
        <v>0</v>
      </c>
      <c r="CH96">
        <v>1078800</v>
      </c>
      <c r="CJ96" t="s">
        <v>251</v>
      </c>
      <c r="CL96" t="s">
        <v>236</v>
      </c>
      <c r="CM96">
        <v>0</v>
      </c>
      <c r="CN96">
        <v>0</v>
      </c>
      <c r="CO96">
        <v>0</v>
      </c>
      <c r="CP96">
        <v>0</v>
      </c>
      <c r="CU96">
        <v>-1043012</v>
      </c>
      <c r="CV96" t="s">
        <v>1250</v>
      </c>
      <c r="CW96" t="s">
        <v>1251</v>
      </c>
      <c r="CX96">
        <v>694</v>
      </c>
      <c r="CY96" t="s">
        <v>986</v>
      </c>
      <c r="CZ96" t="s">
        <v>217</v>
      </c>
      <c r="DB96" t="s">
        <v>1252</v>
      </c>
      <c r="DD96" t="s">
        <v>1253</v>
      </c>
      <c r="DF96" t="s">
        <v>220</v>
      </c>
      <c r="DG96">
        <v>450661</v>
      </c>
      <c r="DL96">
        <v>0</v>
      </c>
      <c r="DN96">
        <v>0</v>
      </c>
      <c r="DP96" t="s">
        <v>1254</v>
      </c>
      <c r="DQ96">
        <v>9533735</v>
      </c>
      <c r="DR96" t="s">
        <v>223</v>
      </c>
      <c r="DS96">
        <v>18325.400000000001</v>
      </c>
      <c r="DT96" s="1">
        <v>45472</v>
      </c>
      <c r="DU96" t="s">
        <v>1255</v>
      </c>
      <c r="DV96">
        <v>0</v>
      </c>
      <c r="DW96">
        <v>1.27</v>
      </c>
      <c r="DX96">
        <v>13700.76</v>
      </c>
      <c r="DY96">
        <v>2466.14</v>
      </c>
      <c r="DZ96">
        <v>16166.9</v>
      </c>
      <c r="EC96">
        <v>0</v>
      </c>
      <c r="EQ96" t="s">
        <v>1256</v>
      </c>
      <c r="ER96" s="1">
        <v>45456</v>
      </c>
      <c r="ES96">
        <v>8500</v>
      </c>
      <c r="ET96">
        <v>697073.03</v>
      </c>
      <c r="EU96">
        <v>0</v>
      </c>
      <c r="EV96">
        <v>254568</v>
      </c>
      <c r="EW96" t="s">
        <v>1257</v>
      </c>
      <c r="EX96">
        <v>0</v>
      </c>
      <c r="EY96" t="s">
        <v>226</v>
      </c>
      <c r="EZ96" t="s">
        <v>226</v>
      </c>
      <c r="FA96" t="s">
        <v>226</v>
      </c>
      <c r="FB96" t="s">
        <v>226</v>
      </c>
      <c r="FC96" t="s">
        <v>202</v>
      </c>
      <c r="FD96" t="s">
        <v>202</v>
      </c>
      <c r="FE96" t="s">
        <v>202</v>
      </c>
      <c r="FF96" t="s">
        <v>202</v>
      </c>
      <c r="FG96" t="s">
        <v>202</v>
      </c>
      <c r="FH96" t="s">
        <v>202</v>
      </c>
      <c r="FI96" t="s">
        <v>202</v>
      </c>
      <c r="FJ96" t="s">
        <v>202</v>
      </c>
      <c r="FK96" t="s">
        <v>202</v>
      </c>
      <c r="FL96" t="s">
        <v>202</v>
      </c>
      <c r="FM96" t="s">
        <v>202</v>
      </c>
      <c r="FN96" t="s">
        <v>202</v>
      </c>
      <c r="FO96">
        <v>40000</v>
      </c>
      <c r="FP96">
        <v>0</v>
      </c>
      <c r="FQ96">
        <v>221.41</v>
      </c>
      <c r="FR96">
        <v>4738</v>
      </c>
      <c r="FS96">
        <v>0</v>
      </c>
      <c r="FT96">
        <v>0</v>
      </c>
      <c r="FW96">
        <v>0</v>
      </c>
      <c r="FX96">
        <v>0</v>
      </c>
      <c r="FY96">
        <v>0</v>
      </c>
      <c r="GA96">
        <v>134902</v>
      </c>
    </row>
    <row r="97" spans="1:183" x14ac:dyDescent="0.3">
      <c r="A97">
        <v>11288</v>
      </c>
      <c r="B97">
        <v>96</v>
      </c>
      <c r="C97" t="s">
        <v>938</v>
      </c>
      <c r="D97" t="s">
        <v>938</v>
      </c>
      <c r="E97" t="s">
        <v>1258</v>
      </c>
      <c r="F97">
        <v>2457516105</v>
      </c>
      <c r="G97">
        <v>2457516105</v>
      </c>
      <c r="H97" t="s">
        <v>1259</v>
      </c>
      <c r="I97" t="s">
        <v>198</v>
      </c>
      <c r="J97" t="s">
        <v>199</v>
      </c>
      <c r="L97" t="s">
        <v>333</v>
      </c>
      <c r="O97">
        <v>9131173498</v>
      </c>
      <c r="P97" t="s">
        <v>1260</v>
      </c>
      <c r="Q97" s="1">
        <v>45473</v>
      </c>
      <c r="R97" s="1">
        <v>45473</v>
      </c>
      <c r="S97" s="1">
        <v>45473</v>
      </c>
      <c r="U97" t="s">
        <v>1260</v>
      </c>
      <c r="W97" t="s">
        <v>202</v>
      </c>
      <c r="AB97">
        <v>298897</v>
      </c>
      <c r="AD97" t="s">
        <v>274</v>
      </c>
      <c r="AE97">
        <v>4706</v>
      </c>
      <c r="AF97" t="s">
        <v>275</v>
      </c>
      <c r="AG97" t="s">
        <v>232</v>
      </c>
      <c r="AH97" t="s">
        <v>1261</v>
      </c>
      <c r="AI97">
        <v>414728.68217099999</v>
      </c>
      <c r="AJ97">
        <v>535000</v>
      </c>
      <c r="AK97">
        <v>29</v>
      </c>
      <c r="AL97">
        <v>18000</v>
      </c>
      <c r="AM97">
        <v>0</v>
      </c>
      <c r="AN97">
        <v>0</v>
      </c>
      <c r="AO97">
        <v>2500</v>
      </c>
      <c r="AP97">
        <v>15000</v>
      </c>
      <c r="AQ97">
        <v>25390</v>
      </c>
      <c r="AR97">
        <v>0</v>
      </c>
      <c r="AS97">
        <v>0</v>
      </c>
      <c r="AT97">
        <v>0</v>
      </c>
      <c r="AU97">
        <v>0</v>
      </c>
      <c r="AV97">
        <v>10000</v>
      </c>
      <c r="AW97">
        <v>0</v>
      </c>
      <c r="AX97">
        <v>0</v>
      </c>
      <c r="AY97">
        <v>70890</v>
      </c>
      <c r="AZ97">
        <v>464110</v>
      </c>
      <c r="BA97">
        <v>36000</v>
      </c>
      <c r="BB97">
        <v>0</v>
      </c>
      <c r="BC97">
        <v>0</v>
      </c>
      <c r="BD97">
        <v>50471</v>
      </c>
      <c r="BE97" t="s">
        <v>234</v>
      </c>
      <c r="BF97">
        <v>8343</v>
      </c>
      <c r="BG97">
        <v>2680</v>
      </c>
      <c r="BH97" t="s">
        <v>209</v>
      </c>
      <c r="BI97">
        <v>21000</v>
      </c>
      <c r="BJ97">
        <v>885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500</v>
      </c>
      <c r="BT97">
        <v>0</v>
      </c>
      <c r="BU97">
        <v>0</v>
      </c>
      <c r="BV97">
        <v>0</v>
      </c>
      <c r="BW97">
        <v>0</v>
      </c>
      <c r="BX97">
        <v>583989</v>
      </c>
      <c r="BY97">
        <v>0</v>
      </c>
      <c r="BZ97">
        <v>6889</v>
      </c>
      <c r="CA97">
        <v>0</v>
      </c>
      <c r="CB97">
        <v>0</v>
      </c>
      <c r="CC97">
        <v>0</v>
      </c>
      <c r="CD97">
        <v>0</v>
      </c>
      <c r="CE97">
        <v>6889</v>
      </c>
      <c r="CF97">
        <v>0</v>
      </c>
      <c r="CG97">
        <v>0</v>
      </c>
      <c r="CH97">
        <v>500000</v>
      </c>
      <c r="CJ97" t="s">
        <v>251</v>
      </c>
      <c r="CL97" t="s">
        <v>236</v>
      </c>
      <c r="CM97">
        <v>0</v>
      </c>
      <c r="CN97">
        <v>0</v>
      </c>
      <c r="CO97">
        <v>0</v>
      </c>
      <c r="CP97">
        <v>0</v>
      </c>
      <c r="CQ97" t="s">
        <v>1262</v>
      </c>
      <c r="CT97" t="s">
        <v>965</v>
      </c>
      <c r="CU97">
        <v>77100</v>
      </c>
      <c r="CV97" t="s">
        <v>879</v>
      </c>
      <c r="CW97" t="s">
        <v>880</v>
      </c>
      <c r="CX97" t="s">
        <v>879</v>
      </c>
      <c r="CY97" t="s">
        <v>880</v>
      </c>
      <c r="CZ97" t="s">
        <v>217</v>
      </c>
      <c r="DB97" t="s">
        <v>1263</v>
      </c>
      <c r="DD97" t="s">
        <v>1264</v>
      </c>
      <c r="DF97" t="s">
        <v>220</v>
      </c>
      <c r="DG97">
        <v>450001</v>
      </c>
      <c r="DL97">
        <v>0</v>
      </c>
      <c r="DN97">
        <v>0</v>
      </c>
      <c r="DP97" t="s">
        <v>1265</v>
      </c>
      <c r="DQ97" t="s">
        <v>1266</v>
      </c>
      <c r="DR97" t="s">
        <v>223</v>
      </c>
      <c r="DS97">
        <v>8342.6</v>
      </c>
      <c r="DT97" s="1">
        <v>45473</v>
      </c>
      <c r="DU97" t="s">
        <v>1267</v>
      </c>
      <c r="DV97">
        <v>0</v>
      </c>
      <c r="DW97">
        <v>1.27</v>
      </c>
      <c r="DX97">
        <v>6350</v>
      </c>
      <c r="DY97">
        <v>1143</v>
      </c>
      <c r="DZ97">
        <v>7493</v>
      </c>
      <c r="EC97">
        <v>0</v>
      </c>
      <c r="EQ97" t="s">
        <v>1268</v>
      </c>
      <c r="ER97" s="1">
        <v>45455</v>
      </c>
      <c r="ES97">
        <v>4500</v>
      </c>
      <c r="ET97">
        <v>378600.94</v>
      </c>
      <c r="EU97">
        <v>10852.7</v>
      </c>
      <c r="EV97">
        <v>254882</v>
      </c>
      <c r="EW97" t="s">
        <v>1269</v>
      </c>
      <c r="EX97">
        <v>0</v>
      </c>
      <c r="EY97" t="s">
        <v>226</v>
      </c>
      <c r="EZ97" t="s">
        <v>226</v>
      </c>
      <c r="FA97" t="s">
        <v>226</v>
      </c>
      <c r="FB97" t="s">
        <v>226</v>
      </c>
      <c r="FC97" t="s">
        <v>202</v>
      </c>
      <c r="FD97" t="s">
        <v>202</v>
      </c>
      <c r="FE97" t="s">
        <v>202</v>
      </c>
      <c r="FF97" t="s">
        <v>202</v>
      </c>
      <c r="FG97" t="s">
        <v>202</v>
      </c>
      <c r="FH97" t="s">
        <v>202</v>
      </c>
      <c r="FI97" t="s">
        <v>202</v>
      </c>
      <c r="FJ97" t="s">
        <v>202</v>
      </c>
      <c r="FK97" t="s">
        <v>202</v>
      </c>
      <c r="FL97" t="s">
        <v>202</v>
      </c>
      <c r="FM97" t="s">
        <v>202</v>
      </c>
      <c r="FN97" t="s">
        <v>202</v>
      </c>
      <c r="FO97">
        <v>0</v>
      </c>
      <c r="FP97">
        <v>36000</v>
      </c>
      <c r="FQ97">
        <v>0</v>
      </c>
      <c r="FR97">
        <v>4706</v>
      </c>
      <c r="FS97">
        <v>0</v>
      </c>
      <c r="FT97">
        <v>0</v>
      </c>
      <c r="FW97">
        <v>0</v>
      </c>
      <c r="FX97">
        <v>0</v>
      </c>
      <c r="FY97">
        <v>0</v>
      </c>
      <c r="GA97">
        <v>540215</v>
      </c>
    </row>
    <row r="98" spans="1:183" x14ac:dyDescent="0.3">
      <c r="A98">
        <v>11292</v>
      </c>
      <c r="B98">
        <v>97</v>
      </c>
      <c r="C98" t="s">
        <v>938</v>
      </c>
      <c r="D98" t="s">
        <v>938</v>
      </c>
      <c r="E98" t="s">
        <v>1270</v>
      </c>
      <c r="F98">
        <v>2457465921</v>
      </c>
      <c r="G98">
        <v>2457465921</v>
      </c>
      <c r="H98" t="s">
        <v>1271</v>
      </c>
      <c r="I98" t="s">
        <v>198</v>
      </c>
      <c r="J98" t="s">
        <v>199</v>
      </c>
      <c r="L98" t="s">
        <v>333</v>
      </c>
      <c r="O98">
        <v>7489674745</v>
      </c>
      <c r="P98" t="s">
        <v>1272</v>
      </c>
      <c r="Q98" s="1">
        <v>45472</v>
      </c>
      <c r="R98" s="1">
        <v>45472</v>
      </c>
      <c r="S98" s="1">
        <v>45472</v>
      </c>
      <c r="U98" t="s">
        <v>1272</v>
      </c>
      <c r="W98" t="s">
        <v>202</v>
      </c>
      <c r="AB98" t="s">
        <v>1273</v>
      </c>
      <c r="AD98" t="s">
        <v>310</v>
      </c>
      <c r="AE98">
        <v>4763</v>
      </c>
      <c r="AF98" t="s">
        <v>355</v>
      </c>
      <c r="AG98" t="s">
        <v>232</v>
      </c>
      <c r="AH98" t="s">
        <v>207</v>
      </c>
      <c r="AI98">
        <v>434883.62790700002</v>
      </c>
      <c r="AJ98">
        <v>561000</v>
      </c>
      <c r="AK98">
        <v>29</v>
      </c>
      <c r="AL98">
        <v>10000</v>
      </c>
      <c r="AM98">
        <v>0</v>
      </c>
      <c r="AN98">
        <v>0</v>
      </c>
      <c r="AO98">
        <v>0</v>
      </c>
      <c r="AP98">
        <v>0</v>
      </c>
      <c r="AQ98">
        <v>15000</v>
      </c>
      <c r="AR98">
        <v>0</v>
      </c>
      <c r="AS98">
        <v>0</v>
      </c>
      <c r="AT98">
        <v>0</v>
      </c>
      <c r="AU98">
        <v>0</v>
      </c>
      <c r="AV98">
        <v>15236</v>
      </c>
      <c r="AW98">
        <v>0</v>
      </c>
      <c r="AX98">
        <v>0</v>
      </c>
      <c r="AY98">
        <v>40236</v>
      </c>
      <c r="AZ98">
        <v>520764</v>
      </c>
      <c r="BA98">
        <v>0</v>
      </c>
      <c r="BB98">
        <v>0</v>
      </c>
      <c r="BC98">
        <v>0</v>
      </c>
      <c r="BD98">
        <v>53351</v>
      </c>
      <c r="BE98" t="s">
        <v>208</v>
      </c>
      <c r="BF98">
        <v>0</v>
      </c>
      <c r="BG98">
        <v>0</v>
      </c>
      <c r="BH98" t="s">
        <v>209</v>
      </c>
      <c r="BI98">
        <v>26002</v>
      </c>
      <c r="BJ98">
        <v>885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601002</v>
      </c>
      <c r="BY98">
        <v>0</v>
      </c>
      <c r="BZ98">
        <v>31000</v>
      </c>
      <c r="CA98">
        <v>0</v>
      </c>
      <c r="CB98">
        <v>824</v>
      </c>
      <c r="CC98">
        <v>0</v>
      </c>
      <c r="CD98">
        <v>0</v>
      </c>
      <c r="CE98">
        <v>31824</v>
      </c>
      <c r="CF98">
        <v>0</v>
      </c>
      <c r="CG98">
        <v>0</v>
      </c>
      <c r="CH98">
        <v>570000</v>
      </c>
      <c r="CJ98" t="s">
        <v>210</v>
      </c>
      <c r="CL98" t="s">
        <v>211</v>
      </c>
      <c r="CM98">
        <v>0</v>
      </c>
      <c r="CN98">
        <v>0</v>
      </c>
      <c r="CO98">
        <v>0</v>
      </c>
      <c r="CP98">
        <v>0</v>
      </c>
      <c r="CU98">
        <v>-822</v>
      </c>
      <c r="CV98" t="s">
        <v>1274</v>
      </c>
      <c r="CW98" t="s">
        <v>1275</v>
      </c>
      <c r="CX98" t="s">
        <v>879</v>
      </c>
      <c r="CY98" t="s">
        <v>880</v>
      </c>
      <c r="CZ98" t="s">
        <v>217</v>
      </c>
      <c r="DB98" t="s">
        <v>1276</v>
      </c>
      <c r="DD98" t="s">
        <v>1277</v>
      </c>
      <c r="DF98" t="s">
        <v>220</v>
      </c>
      <c r="DG98">
        <v>450001</v>
      </c>
      <c r="DL98">
        <v>0</v>
      </c>
      <c r="DN98">
        <v>0</v>
      </c>
      <c r="DP98" t="s">
        <v>1278</v>
      </c>
      <c r="DQ98">
        <v>4271502</v>
      </c>
      <c r="DR98" t="s">
        <v>223</v>
      </c>
      <c r="DS98">
        <v>0</v>
      </c>
      <c r="DV98">
        <v>0</v>
      </c>
      <c r="DW98">
        <v>1.5</v>
      </c>
      <c r="DX98">
        <v>8550</v>
      </c>
      <c r="DY98">
        <v>1539</v>
      </c>
      <c r="DZ98">
        <v>10089</v>
      </c>
      <c r="EC98">
        <v>0</v>
      </c>
      <c r="EQ98" t="s">
        <v>1279</v>
      </c>
      <c r="ER98" s="1">
        <v>45463</v>
      </c>
      <c r="ES98">
        <v>3000</v>
      </c>
      <c r="ET98">
        <v>404981.86</v>
      </c>
      <c r="EU98">
        <v>5426.4</v>
      </c>
      <c r="EV98">
        <v>254585</v>
      </c>
      <c r="EW98" t="s">
        <v>1280</v>
      </c>
      <c r="EX98">
        <v>0</v>
      </c>
      <c r="EY98" t="s">
        <v>226</v>
      </c>
      <c r="EZ98" t="s">
        <v>202</v>
      </c>
      <c r="FA98" t="s">
        <v>226</v>
      </c>
      <c r="FB98" t="s">
        <v>202</v>
      </c>
      <c r="FC98" t="s">
        <v>202</v>
      </c>
      <c r="FD98" t="s">
        <v>202</v>
      </c>
      <c r="FE98" t="s">
        <v>202</v>
      </c>
      <c r="FF98" t="s">
        <v>202</v>
      </c>
      <c r="FG98" t="s">
        <v>202</v>
      </c>
      <c r="FH98" t="s">
        <v>202</v>
      </c>
      <c r="FI98" t="s">
        <v>202</v>
      </c>
      <c r="FJ98" t="s">
        <v>202</v>
      </c>
      <c r="FK98" t="s">
        <v>202</v>
      </c>
      <c r="FL98" t="s">
        <v>202</v>
      </c>
      <c r="FM98" t="s">
        <v>202</v>
      </c>
      <c r="FN98" t="s">
        <v>202</v>
      </c>
      <c r="FO98">
        <v>0</v>
      </c>
      <c r="FP98">
        <v>0</v>
      </c>
      <c r="FQ98">
        <v>0</v>
      </c>
      <c r="FR98">
        <v>4763</v>
      </c>
      <c r="FS98">
        <v>0</v>
      </c>
      <c r="FT98">
        <v>0</v>
      </c>
      <c r="FW98">
        <v>0</v>
      </c>
      <c r="FX98">
        <v>0</v>
      </c>
      <c r="FY98">
        <v>0</v>
      </c>
      <c r="GA98">
        <v>569117</v>
      </c>
    </row>
    <row r="99" spans="1:183" x14ac:dyDescent="0.3">
      <c r="A99">
        <v>11059</v>
      </c>
      <c r="B99">
        <v>153</v>
      </c>
      <c r="C99" t="s">
        <v>1281</v>
      </c>
      <c r="D99" t="s">
        <v>1281</v>
      </c>
      <c r="E99" t="s">
        <v>1282</v>
      </c>
      <c r="F99">
        <v>2457105180</v>
      </c>
      <c r="G99">
        <v>2457105180</v>
      </c>
      <c r="H99" t="s">
        <v>1283</v>
      </c>
      <c r="I99" t="s">
        <v>198</v>
      </c>
      <c r="J99" t="s">
        <v>199</v>
      </c>
      <c r="L99" t="s">
        <v>260</v>
      </c>
      <c r="O99">
        <v>9691859984</v>
      </c>
      <c r="P99" t="s">
        <v>1284</v>
      </c>
      <c r="Q99" s="1">
        <v>45446</v>
      </c>
      <c r="R99" s="1">
        <v>45446</v>
      </c>
      <c r="S99" s="1">
        <v>45446</v>
      </c>
      <c r="U99" t="s">
        <v>1284</v>
      </c>
      <c r="W99" t="s">
        <v>202</v>
      </c>
      <c r="AB99">
        <v>271974</v>
      </c>
      <c r="AD99" t="s">
        <v>683</v>
      </c>
      <c r="AE99">
        <v>4705</v>
      </c>
      <c r="AF99" t="s">
        <v>684</v>
      </c>
      <c r="AG99" t="s">
        <v>232</v>
      </c>
      <c r="AH99" t="s">
        <v>466</v>
      </c>
      <c r="AI99">
        <v>474031.007752</v>
      </c>
      <c r="AJ99">
        <v>611500</v>
      </c>
      <c r="AK99">
        <v>29</v>
      </c>
      <c r="AL99">
        <v>18000</v>
      </c>
      <c r="AM99">
        <v>0</v>
      </c>
      <c r="AN99">
        <v>0</v>
      </c>
      <c r="AO99">
        <v>0</v>
      </c>
      <c r="AP99">
        <v>0</v>
      </c>
      <c r="AQ99">
        <v>17000</v>
      </c>
      <c r="AR99">
        <v>0</v>
      </c>
      <c r="AS99">
        <v>0</v>
      </c>
      <c r="AT99">
        <v>0</v>
      </c>
      <c r="AU99">
        <v>0</v>
      </c>
      <c r="AV99">
        <v>8659</v>
      </c>
      <c r="AW99">
        <v>0</v>
      </c>
      <c r="AX99">
        <v>0</v>
      </c>
      <c r="AY99">
        <v>43659</v>
      </c>
      <c r="AZ99">
        <v>567841</v>
      </c>
      <c r="BA99">
        <v>31350</v>
      </c>
      <c r="BB99">
        <v>0</v>
      </c>
      <c r="BC99">
        <v>0</v>
      </c>
      <c r="BD99">
        <v>56691</v>
      </c>
      <c r="BE99" t="s">
        <v>234</v>
      </c>
      <c r="BF99">
        <v>9535</v>
      </c>
      <c r="BG99">
        <v>3198</v>
      </c>
      <c r="BH99" t="s">
        <v>209</v>
      </c>
      <c r="BI99">
        <v>20000</v>
      </c>
      <c r="BJ99">
        <v>885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500</v>
      </c>
      <c r="BT99">
        <v>0</v>
      </c>
      <c r="BU99">
        <v>0</v>
      </c>
      <c r="BV99">
        <v>0</v>
      </c>
      <c r="BW99">
        <v>0</v>
      </c>
      <c r="BX99">
        <v>690000</v>
      </c>
      <c r="BY99">
        <v>0</v>
      </c>
      <c r="BZ99">
        <v>195000</v>
      </c>
      <c r="CA99">
        <v>0</v>
      </c>
      <c r="CB99">
        <v>205000</v>
      </c>
      <c r="CC99">
        <v>0</v>
      </c>
      <c r="CD99">
        <v>0</v>
      </c>
      <c r="CE99">
        <v>400000</v>
      </c>
      <c r="CF99">
        <v>0</v>
      </c>
      <c r="CG99">
        <v>0</v>
      </c>
      <c r="CH99">
        <v>290000</v>
      </c>
      <c r="CJ99" t="s">
        <v>522</v>
      </c>
      <c r="CL99" t="s">
        <v>211</v>
      </c>
      <c r="CM99">
        <v>0</v>
      </c>
      <c r="CN99">
        <v>0</v>
      </c>
      <c r="CO99">
        <v>0</v>
      </c>
      <c r="CP99">
        <v>0</v>
      </c>
      <c r="CU99">
        <v>0</v>
      </c>
      <c r="CV99">
        <v>1782</v>
      </c>
      <c r="CW99" t="s">
        <v>1285</v>
      </c>
      <c r="CX99">
        <v>702</v>
      </c>
      <c r="CY99" t="s">
        <v>492</v>
      </c>
      <c r="CZ99" t="s">
        <v>217</v>
      </c>
      <c r="DB99" t="s">
        <v>1286</v>
      </c>
      <c r="DD99" t="s">
        <v>1287</v>
      </c>
      <c r="DF99" t="s">
        <v>220</v>
      </c>
      <c r="DG99">
        <v>451335</v>
      </c>
      <c r="DL99">
        <v>0</v>
      </c>
      <c r="DN99">
        <v>0</v>
      </c>
      <c r="DP99" t="s">
        <v>1288</v>
      </c>
      <c r="DQ99" t="s">
        <v>1289</v>
      </c>
      <c r="DR99" t="s">
        <v>223</v>
      </c>
      <c r="DS99">
        <v>9534.4</v>
      </c>
      <c r="DT99" s="1">
        <v>45446</v>
      </c>
      <c r="DU99" t="s">
        <v>1290</v>
      </c>
      <c r="DV99">
        <v>0</v>
      </c>
      <c r="DW99">
        <v>1</v>
      </c>
      <c r="DX99">
        <v>2900</v>
      </c>
      <c r="DY99">
        <v>522</v>
      </c>
      <c r="DZ99">
        <v>3422</v>
      </c>
      <c r="EC99">
        <v>0</v>
      </c>
      <c r="EQ99" t="s">
        <v>1291</v>
      </c>
      <c r="ER99" s="1">
        <v>45298</v>
      </c>
      <c r="ES99">
        <v>4000</v>
      </c>
      <c r="ET99">
        <v>434853.3</v>
      </c>
      <c r="EU99">
        <v>10852.71</v>
      </c>
      <c r="EV99">
        <v>250072</v>
      </c>
      <c r="EW99" t="s">
        <v>1292</v>
      </c>
      <c r="EX99">
        <v>0</v>
      </c>
      <c r="EY99" t="s">
        <v>226</v>
      </c>
      <c r="EZ99" t="s">
        <v>226</v>
      </c>
      <c r="FA99" t="s">
        <v>226</v>
      </c>
      <c r="FB99" t="s">
        <v>226</v>
      </c>
      <c r="FC99" t="s">
        <v>202</v>
      </c>
      <c r="FD99" t="s">
        <v>202</v>
      </c>
      <c r="FE99" t="s">
        <v>202</v>
      </c>
      <c r="FF99" t="s">
        <v>202</v>
      </c>
      <c r="FG99" t="s">
        <v>202</v>
      </c>
      <c r="FH99" t="s">
        <v>202</v>
      </c>
      <c r="FI99" t="s">
        <v>202</v>
      </c>
      <c r="FJ99" t="s">
        <v>202</v>
      </c>
      <c r="FK99" t="s">
        <v>202</v>
      </c>
      <c r="FL99" t="s">
        <v>202</v>
      </c>
      <c r="FM99" t="s">
        <v>202</v>
      </c>
      <c r="FN99" t="s">
        <v>202</v>
      </c>
      <c r="FO99">
        <v>27480</v>
      </c>
      <c r="FP99">
        <v>3870</v>
      </c>
      <c r="FQ99">
        <v>0</v>
      </c>
      <c r="FR99">
        <v>4705</v>
      </c>
      <c r="FS99">
        <v>0</v>
      </c>
      <c r="FT99">
        <v>0</v>
      </c>
      <c r="FW99">
        <v>0</v>
      </c>
      <c r="FX99">
        <v>0</v>
      </c>
      <c r="FY99">
        <v>0</v>
      </c>
      <c r="GA99">
        <v>-4755</v>
      </c>
    </row>
    <row r="100" spans="1:183" x14ac:dyDescent="0.3">
      <c r="A100">
        <v>11062</v>
      </c>
      <c r="B100">
        <v>154</v>
      </c>
      <c r="C100" t="s">
        <v>1281</v>
      </c>
      <c r="D100" t="s">
        <v>1281</v>
      </c>
      <c r="E100" t="s">
        <v>1293</v>
      </c>
      <c r="F100">
        <v>2457071668</v>
      </c>
      <c r="G100">
        <v>2457071668</v>
      </c>
      <c r="H100" t="s">
        <v>1294</v>
      </c>
      <c r="I100" t="s">
        <v>198</v>
      </c>
      <c r="J100" t="s">
        <v>199</v>
      </c>
      <c r="L100" t="s">
        <v>260</v>
      </c>
      <c r="O100">
        <v>8889453309</v>
      </c>
      <c r="P100" t="s">
        <v>1295</v>
      </c>
      <c r="Q100" s="1">
        <v>45443</v>
      </c>
      <c r="R100" s="1">
        <v>45443</v>
      </c>
      <c r="S100" s="1">
        <v>45446</v>
      </c>
      <c r="U100" t="s">
        <v>1295</v>
      </c>
      <c r="W100" t="s">
        <v>202</v>
      </c>
      <c r="AB100" t="s">
        <v>1296</v>
      </c>
      <c r="AD100" t="s">
        <v>310</v>
      </c>
      <c r="AE100">
        <v>4763</v>
      </c>
      <c r="AF100" t="s">
        <v>355</v>
      </c>
      <c r="AG100" t="s">
        <v>232</v>
      </c>
      <c r="AH100" t="s">
        <v>207</v>
      </c>
      <c r="AI100">
        <v>434883.62790700002</v>
      </c>
      <c r="AJ100">
        <v>561000</v>
      </c>
      <c r="AK100">
        <v>29</v>
      </c>
      <c r="AL100">
        <v>10000</v>
      </c>
      <c r="AM100">
        <v>0</v>
      </c>
      <c r="AN100">
        <v>0</v>
      </c>
      <c r="AO100">
        <v>0</v>
      </c>
      <c r="AP100">
        <v>0</v>
      </c>
      <c r="AQ100">
        <v>15000</v>
      </c>
      <c r="AR100">
        <v>0</v>
      </c>
      <c r="AS100">
        <v>0</v>
      </c>
      <c r="AT100">
        <v>0</v>
      </c>
      <c r="AU100">
        <v>0</v>
      </c>
      <c r="AV100">
        <v>2541</v>
      </c>
      <c r="AW100">
        <v>0</v>
      </c>
      <c r="AX100">
        <v>0</v>
      </c>
      <c r="AY100">
        <v>27541</v>
      </c>
      <c r="AZ100">
        <v>533459</v>
      </c>
      <c r="BA100">
        <v>27690</v>
      </c>
      <c r="BB100">
        <v>0</v>
      </c>
      <c r="BC100">
        <v>0</v>
      </c>
      <c r="BD100">
        <v>53351</v>
      </c>
      <c r="BE100" t="s">
        <v>208</v>
      </c>
      <c r="BF100">
        <v>0</v>
      </c>
      <c r="BG100">
        <v>0</v>
      </c>
      <c r="BH100" t="s">
        <v>209</v>
      </c>
      <c r="BI100">
        <v>25000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500</v>
      </c>
      <c r="BT100">
        <v>0</v>
      </c>
      <c r="BU100">
        <v>0</v>
      </c>
      <c r="BV100">
        <v>0</v>
      </c>
      <c r="BW100">
        <v>0</v>
      </c>
      <c r="BX100">
        <v>640000</v>
      </c>
      <c r="BY100">
        <v>0</v>
      </c>
      <c r="BZ100">
        <v>65000</v>
      </c>
      <c r="CA100">
        <v>0</v>
      </c>
      <c r="CB100">
        <v>0</v>
      </c>
      <c r="CC100">
        <v>0</v>
      </c>
      <c r="CD100">
        <v>0</v>
      </c>
      <c r="CE100">
        <v>65000</v>
      </c>
      <c r="CF100">
        <v>0</v>
      </c>
      <c r="CG100">
        <v>0</v>
      </c>
      <c r="CH100">
        <v>575000</v>
      </c>
      <c r="CJ100" t="s">
        <v>210</v>
      </c>
      <c r="CL100" t="s">
        <v>211</v>
      </c>
      <c r="CM100">
        <v>0</v>
      </c>
      <c r="CN100">
        <v>0</v>
      </c>
      <c r="CO100">
        <v>0</v>
      </c>
      <c r="CP100">
        <v>0</v>
      </c>
      <c r="CU100">
        <v>0</v>
      </c>
      <c r="CV100" t="s">
        <v>1297</v>
      </c>
      <c r="CW100" t="s">
        <v>1298</v>
      </c>
      <c r="CX100">
        <v>981</v>
      </c>
      <c r="CY100" t="s">
        <v>1299</v>
      </c>
      <c r="CZ100" t="s">
        <v>217</v>
      </c>
      <c r="DB100" t="s">
        <v>1300</v>
      </c>
      <c r="DD100" t="s">
        <v>1301</v>
      </c>
      <c r="DF100" t="s">
        <v>220</v>
      </c>
      <c r="DG100">
        <v>451228</v>
      </c>
      <c r="DL100">
        <v>0</v>
      </c>
      <c r="DN100">
        <v>0</v>
      </c>
      <c r="DP100" t="s">
        <v>1302</v>
      </c>
      <c r="DQ100">
        <v>4254619</v>
      </c>
      <c r="DR100" t="s">
        <v>223</v>
      </c>
      <c r="DS100">
        <v>0</v>
      </c>
      <c r="DV100">
        <v>0</v>
      </c>
      <c r="DW100">
        <v>1.5</v>
      </c>
      <c r="DX100">
        <v>8625</v>
      </c>
      <c r="DY100">
        <v>1552.5</v>
      </c>
      <c r="DZ100">
        <v>10177.5</v>
      </c>
      <c r="EC100">
        <v>0</v>
      </c>
      <c r="EQ100" t="s">
        <v>1303</v>
      </c>
      <c r="ER100" s="1">
        <v>45423</v>
      </c>
      <c r="ES100">
        <v>3000</v>
      </c>
      <c r="ET100">
        <v>404981.86</v>
      </c>
      <c r="EU100">
        <v>5426.4</v>
      </c>
      <c r="EV100">
        <v>249637</v>
      </c>
      <c r="EW100" t="s">
        <v>1304</v>
      </c>
      <c r="EX100">
        <v>0</v>
      </c>
      <c r="EY100" t="s">
        <v>226</v>
      </c>
      <c r="EZ100" t="s">
        <v>202</v>
      </c>
      <c r="FA100" t="s">
        <v>226</v>
      </c>
      <c r="FB100" t="s">
        <v>226</v>
      </c>
      <c r="FC100" t="s">
        <v>202</v>
      </c>
      <c r="FD100" t="s">
        <v>202</v>
      </c>
      <c r="FE100" t="s">
        <v>202</v>
      </c>
      <c r="FF100" t="s">
        <v>202</v>
      </c>
      <c r="FG100" t="s">
        <v>202</v>
      </c>
      <c r="FH100" t="s">
        <v>202</v>
      </c>
      <c r="FI100" t="s">
        <v>202</v>
      </c>
      <c r="FJ100" t="s">
        <v>202</v>
      </c>
      <c r="FK100" t="s">
        <v>202</v>
      </c>
      <c r="FL100" t="s">
        <v>202</v>
      </c>
      <c r="FM100" t="s">
        <v>202</v>
      </c>
      <c r="FN100" t="s">
        <v>202</v>
      </c>
      <c r="FO100">
        <v>27687</v>
      </c>
      <c r="FP100">
        <v>3</v>
      </c>
      <c r="FQ100">
        <v>0</v>
      </c>
      <c r="FR100">
        <v>4763</v>
      </c>
      <c r="FS100">
        <v>0</v>
      </c>
      <c r="FT100">
        <v>0</v>
      </c>
      <c r="FW100">
        <v>0</v>
      </c>
      <c r="FX100">
        <v>0</v>
      </c>
      <c r="FY100">
        <v>0</v>
      </c>
      <c r="GA100">
        <v>0</v>
      </c>
    </row>
    <row r="101" spans="1:183" x14ac:dyDescent="0.3">
      <c r="A101">
        <v>11063</v>
      </c>
      <c r="B101">
        <v>155</v>
      </c>
      <c r="C101" t="s">
        <v>1281</v>
      </c>
      <c r="D101" t="s">
        <v>1281</v>
      </c>
      <c r="E101" t="s">
        <v>1305</v>
      </c>
      <c r="F101">
        <v>2457076988</v>
      </c>
      <c r="G101">
        <v>2457076988</v>
      </c>
      <c r="H101" t="s">
        <v>1306</v>
      </c>
      <c r="I101" t="s">
        <v>198</v>
      </c>
      <c r="J101" t="s">
        <v>199</v>
      </c>
      <c r="L101" t="s">
        <v>260</v>
      </c>
      <c r="O101">
        <v>8964933246</v>
      </c>
      <c r="P101" t="s">
        <v>1307</v>
      </c>
      <c r="Q101" s="1">
        <v>45443</v>
      </c>
      <c r="R101" s="1">
        <v>45443</v>
      </c>
      <c r="S101" s="1">
        <v>45444</v>
      </c>
      <c r="U101" t="s">
        <v>1307</v>
      </c>
      <c r="W101" t="s">
        <v>202</v>
      </c>
      <c r="AB101" t="s">
        <v>1308</v>
      </c>
      <c r="AD101" t="s">
        <v>310</v>
      </c>
      <c r="AE101">
        <v>4765</v>
      </c>
      <c r="AF101" t="s">
        <v>367</v>
      </c>
      <c r="AG101" t="s">
        <v>232</v>
      </c>
      <c r="AH101" t="s">
        <v>207</v>
      </c>
      <c r="AI101">
        <v>440309.992248</v>
      </c>
      <c r="AJ101">
        <v>568000</v>
      </c>
      <c r="AK101">
        <v>29</v>
      </c>
      <c r="AL101">
        <v>10000</v>
      </c>
      <c r="AM101">
        <v>0</v>
      </c>
      <c r="AN101">
        <v>0</v>
      </c>
      <c r="AO101">
        <v>0</v>
      </c>
      <c r="AP101">
        <v>0</v>
      </c>
      <c r="AQ101">
        <v>15000</v>
      </c>
      <c r="AR101">
        <v>0</v>
      </c>
      <c r="AS101">
        <v>0</v>
      </c>
      <c r="AT101">
        <v>0</v>
      </c>
      <c r="AU101">
        <v>0</v>
      </c>
      <c r="AV101">
        <v>6646</v>
      </c>
      <c r="AW101">
        <v>0</v>
      </c>
      <c r="AX101">
        <v>0</v>
      </c>
      <c r="AY101">
        <v>31646</v>
      </c>
      <c r="AZ101">
        <v>536354</v>
      </c>
      <c r="BA101">
        <v>28000</v>
      </c>
      <c r="BB101">
        <v>0</v>
      </c>
      <c r="BC101">
        <v>0</v>
      </c>
      <c r="BD101">
        <v>53911</v>
      </c>
      <c r="BE101" t="s">
        <v>234</v>
      </c>
      <c r="BF101">
        <v>8850</v>
      </c>
      <c r="BG101">
        <v>0</v>
      </c>
      <c r="BH101" t="s">
        <v>209</v>
      </c>
      <c r="BI101">
        <v>24500</v>
      </c>
      <c r="BJ101">
        <v>885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500</v>
      </c>
      <c r="BT101">
        <v>0</v>
      </c>
      <c r="BU101">
        <v>0</v>
      </c>
      <c r="BV101">
        <v>0</v>
      </c>
      <c r="BW101">
        <v>0</v>
      </c>
      <c r="BX101">
        <v>653000</v>
      </c>
      <c r="BY101">
        <v>0</v>
      </c>
      <c r="BZ101">
        <v>62400</v>
      </c>
      <c r="CA101">
        <v>0</v>
      </c>
      <c r="CB101">
        <v>2100</v>
      </c>
      <c r="CC101">
        <v>0</v>
      </c>
      <c r="CD101">
        <v>0</v>
      </c>
      <c r="CE101">
        <v>64500</v>
      </c>
      <c r="CF101">
        <v>0</v>
      </c>
      <c r="CG101">
        <v>0</v>
      </c>
      <c r="CH101">
        <v>541500</v>
      </c>
      <c r="CJ101" t="s">
        <v>299</v>
      </c>
      <c r="CL101" t="s">
        <v>211</v>
      </c>
      <c r="CM101">
        <v>0</v>
      </c>
      <c r="CN101">
        <v>0</v>
      </c>
      <c r="CO101">
        <v>0</v>
      </c>
      <c r="CP101">
        <v>0</v>
      </c>
      <c r="CU101">
        <v>47000</v>
      </c>
      <c r="CV101">
        <v>1623</v>
      </c>
      <c r="CW101" t="s">
        <v>1309</v>
      </c>
      <c r="CX101">
        <v>366</v>
      </c>
      <c r="CY101" t="s">
        <v>1310</v>
      </c>
      <c r="CZ101" t="s">
        <v>217</v>
      </c>
      <c r="DB101" t="s">
        <v>1311</v>
      </c>
      <c r="DD101" t="s">
        <v>1312</v>
      </c>
      <c r="DF101" t="s">
        <v>220</v>
      </c>
      <c r="DG101">
        <v>451331</v>
      </c>
      <c r="DL101">
        <v>0</v>
      </c>
      <c r="DN101">
        <v>0</v>
      </c>
      <c r="DP101" t="s">
        <v>1313</v>
      </c>
      <c r="DQ101">
        <v>4253531</v>
      </c>
      <c r="DR101" t="s">
        <v>223</v>
      </c>
      <c r="DS101">
        <v>8850</v>
      </c>
      <c r="DT101" s="1">
        <v>45444</v>
      </c>
      <c r="DU101" t="s">
        <v>1314</v>
      </c>
      <c r="DV101">
        <v>0</v>
      </c>
      <c r="DW101">
        <v>1.5</v>
      </c>
      <c r="DX101">
        <v>8122.5</v>
      </c>
      <c r="DY101">
        <v>1462.05</v>
      </c>
      <c r="DZ101">
        <v>9584.5499999999993</v>
      </c>
      <c r="EC101">
        <v>0</v>
      </c>
      <c r="EQ101" t="s">
        <v>1315</v>
      </c>
      <c r="ER101" s="1">
        <v>45421</v>
      </c>
      <c r="ES101">
        <v>3000</v>
      </c>
      <c r="ET101">
        <v>410408.86</v>
      </c>
      <c r="EU101">
        <v>5426.4</v>
      </c>
      <c r="EV101">
        <v>249694</v>
      </c>
      <c r="EW101" t="s">
        <v>1316</v>
      </c>
      <c r="EX101">
        <v>0</v>
      </c>
      <c r="EY101" t="s">
        <v>226</v>
      </c>
      <c r="EZ101" t="s">
        <v>226</v>
      </c>
      <c r="FA101" t="s">
        <v>226</v>
      </c>
      <c r="FB101" t="s">
        <v>226</v>
      </c>
      <c r="FC101" t="s">
        <v>202</v>
      </c>
      <c r="FD101" t="s">
        <v>202</v>
      </c>
      <c r="FE101" t="s">
        <v>202</v>
      </c>
      <c r="FF101" t="s">
        <v>202</v>
      </c>
      <c r="FG101" t="s">
        <v>202</v>
      </c>
      <c r="FH101" t="s">
        <v>202</v>
      </c>
      <c r="FI101" t="s">
        <v>202</v>
      </c>
      <c r="FJ101" t="s">
        <v>202</v>
      </c>
      <c r="FK101" t="s">
        <v>202</v>
      </c>
      <c r="FL101" t="s">
        <v>202</v>
      </c>
      <c r="FM101" t="s">
        <v>202</v>
      </c>
      <c r="FN101" t="s">
        <v>202</v>
      </c>
      <c r="FO101">
        <v>27997</v>
      </c>
      <c r="FP101">
        <v>3</v>
      </c>
      <c r="FQ101">
        <v>0</v>
      </c>
      <c r="FR101">
        <v>4765</v>
      </c>
      <c r="FS101">
        <v>0</v>
      </c>
      <c r="FT101">
        <v>0</v>
      </c>
      <c r="FW101">
        <v>0</v>
      </c>
      <c r="FX101">
        <v>0</v>
      </c>
      <c r="FY101">
        <v>0</v>
      </c>
      <c r="GA101">
        <v>46071</v>
      </c>
    </row>
    <row r="102" spans="1:183" x14ac:dyDescent="0.3">
      <c r="A102">
        <v>11071</v>
      </c>
      <c r="B102">
        <v>156</v>
      </c>
      <c r="C102" t="s">
        <v>1281</v>
      </c>
      <c r="D102" t="s">
        <v>1281</v>
      </c>
      <c r="E102" t="s">
        <v>1317</v>
      </c>
      <c r="F102">
        <v>2457118515</v>
      </c>
      <c r="G102">
        <v>2457118515</v>
      </c>
      <c r="H102" t="s">
        <v>1318</v>
      </c>
      <c r="I102" t="s">
        <v>198</v>
      </c>
      <c r="J102" t="s">
        <v>199</v>
      </c>
      <c r="L102" t="s">
        <v>260</v>
      </c>
      <c r="O102">
        <v>6261399189</v>
      </c>
      <c r="P102" t="s">
        <v>1319</v>
      </c>
      <c r="Q102" s="1">
        <v>45447</v>
      </c>
      <c r="R102" s="1">
        <v>45447</v>
      </c>
      <c r="S102" s="1">
        <v>45447</v>
      </c>
      <c r="U102" t="s">
        <v>1319</v>
      </c>
      <c r="W102" t="s">
        <v>202</v>
      </c>
      <c r="AB102" t="s">
        <v>1320</v>
      </c>
      <c r="AD102" t="s">
        <v>310</v>
      </c>
      <c r="AE102">
        <v>4763</v>
      </c>
      <c r="AF102" t="s">
        <v>355</v>
      </c>
      <c r="AG102" t="s">
        <v>232</v>
      </c>
      <c r="AH102" t="s">
        <v>207</v>
      </c>
      <c r="AI102">
        <v>434883.62790700002</v>
      </c>
      <c r="AJ102">
        <v>561000</v>
      </c>
      <c r="AK102">
        <v>29</v>
      </c>
      <c r="AL102">
        <v>10000</v>
      </c>
      <c r="AM102">
        <v>0</v>
      </c>
      <c r="AN102">
        <v>0</v>
      </c>
      <c r="AO102">
        <v>0</v>
      </c>
      <c r="AP102">
        <v>0</v>
      </c>
      <c r="AQ102">
        <v>15000</v>
      </c>
      <c r="AR102">
        <v>0</v>
      </c>
      <c r="AS102">
        <v>0</v>
      </c>
      <c r="AT102">
        <v>0</v>
      </c>
      <c r="AU102">
        <v>0</v>
      </c>
      <c r="AV102">
        <v>12926</v>
      </c>
      <c r="AW102">
        <v>0</v>
      </c>
      <c r="AX102">
        <v>0</v>
      </c>
      <c r="AY102">
        <v>37926</v>
      </c>
      <c r="AZ102">
        <v>523074</v>
      </c>
      <c r="BA102">
        <v>22690</v>
      </c>
      <c r="BB102">
        <v>0</v>
      </c>
      <c r="BC102">
        <v>0</v>
      </c>
      <c r="BD102">
        <v>53351</v>
      </c>
      <c r="BE102" t="s">
        <v>208</v>
      </c>
      <c r="BF102">
        <v>0</v>
      </c>
      <c r="BG102">
        <v>0</v>
      </c>
      <c r="BH102" t="s">
        <v>209</v>
      </c>
      <c r="BI102">
        <v>24500</v>
      </c>
      <c r="BJ102">
        <v>885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500</v>
      </c>
      <c r="BT102">
        <v>0</v>
      </c>
      <c r="BU102">
        <v>0</v>
      </c>
      <c r="BV102">
        <v>0</v>
      </c>
      <c r="BW102">
        <v>0</v>
      </c>
      <c r="BX102">
        <v>625000</v>
      </c>
      <c r="BY102">
        <v>0</v>
      </c>
      <c r="BZ102">
        <v>200000</v>
      </c>
      <c r="CA102">
        <v>0</v>
      </c>
      <c r="CB102">
        <v>11725</v>
      </c>
      <c r="CC102">
        <v>0</v>
      </c>
      <c r="CD102">
        <v>0</v>
      </c>
      <c r="CE102">
        <v>211725</v>
      </c>
      <c r="CF102">
        <v>0</v>
      </c>
      <c r="CG102">
        <v>0</v>
      </c>
      <c r="CH102">
        <v>414275</v>
      </c>
      <c r="CJ102" t="s">
        <v>276</v>
      </c>
      <c r="CL102" t="s">
        <v>211</v>
      </c>
      <c r="CM102">
        <v>0</v>
      </c>
      <c r="CN102">
        <v>0</v>
      </c>
      <c r="CO102">
        <v>0</v>
      </c>
      <c r="CP102">
        <v>0</v>
      </c>
      <c r="CU102">
        <v>-1000</v>
      </c>
      <c r="CV102">
        <v>1623</v>
      </c>
      <c r="CW102" t="s">
        <v>1309</v>
      </c>
      <c r="CX102">
        <v>366</v>
      </c>
      <c r="CY102" t="s">
        <v>1310</v>
      </c>
      <c r="CZ102" t="s">
        <v>217</v>
      </c>
      <c r="DB102" t="s">
        <v>1321</v>
      </c>
      <c r="DD102" t="s">
        <v>1322</v>
      </c>
      <c r="DF102" t="s">
        <v>220</v>
      </c>
      <c r="DG102">
        <v>451335</v>
      </c>
      <c r="DL102">
        <v>0</v>
      </c>
      <c r="DN102">
        <v>0</v>
      </c>
      <c r="DP102" t="s">
        <v>1323</v>
      </c>
      <c r="DQ102">
        <v>4261184</v>
      </c>
      <c r="DR102" t="s">
        <v>223</v>
      </c>
      <c r="DS102">
        <v>0</v>
      </c>
      <c r="DV102">
        <v>0</v>
      </c>
      <c r="DW102">
        <v>1</v>
      </c>
      <c r="DX102">
        <v>4142.75</v>
      </c>
      <c r="DY102">
        <v>745.7</v>
      </c>
      <c r="DZ102">
        <v>4888.45</v>
      </c>
      <c r="EC102">
        <v>0</v>
      </c>
      <c r="EQ102" t="s">
        <v>1324</v>
      </c>
      <c r="ER102" s="1">
        <v>45436</v>
      </c>
      <c r="ES102">
        <v>3000</v>
      </c>
      <c r="ET102">
        <v>404981.86</v>
      </c>
      <c r="EU102">
        <v>5426.4</v>
      </c>
      <c r="EV102">
        <v>250209</v>
      </c>
      <c r="EW102" t="s">
        <v>1325</v>
      </c>
      <c r="EX102">
        <v>0</v>
      </c>
      <c r="EY102" t="s">
        <v>226</v>
      </c>
      <c r="EZ102" t="s">
        <v>202</v>
      </c>
      <c r="FA102" t="s">
        <v>226</v>
      </c>
      <c r="FB102" t="s">
        <v>226</v>
      </c>
      <c r="FC102" t="s">
        <v>202</v>
      </c>
      <c r="FD102" t="s">
        <v>202</v>
      </c>
      <c r="FE102" t="s">
        <v>202</v>
      </c>
      <c r="FF102" t="s">
        <v>202</v>
      </c>
      <c r="FG102" t="s">
        <v>202</v>
      </c>
      <c r="FH102" t="s">
        <v>202</v>
      </c>
      <c r="FI102" t="s">
        <v>202</v>
      </c>
      <c r="FJ102" t="s">
        <v>202</v>
      </c>
      <c r="FK102" t="s">
        <v>202</v>
      </c>
      <c r="FL102" t="s">
        <v>202</v>
      </c>
      <c r="FM102" t="s">
        <v>202</v>
      </c>
      <c r="FN102" t="s">
        <v>202</v>
      </c>
      <c r="FO102">
        <v>23689</v>
      </c>
      <c r="FP102">
        <v>-999</v>
      </c>
      <c r="FQ102">
        <v>0</v>
      </c>
      <c r="FR102">
        <v>4763</v>
      </c>
      <c r="FS102">
        <v>0</v>
      </c>
      <c r="FT102">
        <v>0</v>
      </c>
      <c r="FW102">
        <v>0</v>
      </c>
      <c r="FX102">
        <v>0</v>
      </c>
      <c r="FY102">
        <v>0</v>
      </c>
      <c r="GA102">
        <v>-885</v>
      </c>
    </row>
    <row r="103" spans="1:183" x14ac:dyDescent="0.3">
      <c r="A103">
        <v>11080</v>
      </c>
      <c r="B103">
        <v>157</v>
      </c>
      <c r="C103" t="s">
        <v>1281</v>
      </c>
      <c r="D103" t="s">
        <v>1281</v>
      </c>
      <c r="E103" t="s">
        <v>1326</v>
      </c>
      <c r="F103">
        <v>2456817866</v>
      </c>
      <c r="G103">
        <v>2456817866</v>
      </c>
      <c r="H103" t="s">
        <v>1327</v>
      </c>
      <c r="I103" t="s">
        <v>198</v>
      </c>
      <c r="J103" t="s">
        <v>199</v>
      </c>
      <c r="L103" t="s">
        <v>393</v>
      </c>
      <c r="O103">
        <v>7047174798</v>
      </c>
      <c r="P103" t="s">
        <v>1328</v>
      </c>
      <c r="Q103" s="1">
        <v>45443</v>
      </c>
      <c r="R103" s="1">
        <v>45443</v>
      </c>
      <c r="S103" s="1">
        <v>45448</v>
      </c>
      <c r="U103" t="s">
        <v>1328</v>
      </c>
      <c r="W103" t="s">
        <v>202</v>
      </c>
      <c r="AB103">
        <v>429038</v>
      </c>
      <c r="AD103" t="s">
        <v>323</v>
      </c>
      <c r="AE103">
        <v>4808</v>
      </c>
      <c r="AF103" t="s">
        <v>1189</v>
      </c>
      <c r="AG103" t="s">
        <v>206</v>
      </c>
      <c r="AH103" t="s">
        <v>250</v>
      </c>
      <c r="AI103">
        <v>640689.70344800001</v>
      </c>
      <c r="AJ103">
        <v>929000</v>
      </c>
      <c r="AK103">
        <v>45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9764</v>
      </c>
      <c r="AW103">
        <v>0</v>
      </c>
      <c r="AX103">
        <v>0</v>
      </c>
      <c r="AY103">
        <v>9764</v>
      </c>
      <c r="AZ103">
        <v>919236</v>
      </c>
      <c r="BA103">
        <v>46690</v>
      </c>
      <c r="BB103">
        <v>0</v>
      </c>
      <c r="BC103">
        <v>0</v>
      </c>
      <c r="BD103">
        <v>82091</v>
      </c>
      <c r="BE103" t="s">
        <v>234</v>
      </c>
      <c r="BF103">
        <v>15789</v>
      </c>
      <c r="BG103">
        <v>0</v>
      </c>
      <c r="BH103" t="s">
        <v>209</v>
      </c>
      <c r="BI103">
        <v>32499</v>
      </c>
      <c r="BJ103">
        <v>885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500</v>
      </c>
      <c r="BT103">
        <v>0</v>
      </c>
      <c r="BU103">
        <v>0</v>
      </c>
      <c r="BV103">
        <v>0</v>
      </c>
      <c r="BW103">
        <v>0</v>
      </c>
      <c r="BX103">
        <v>1097690</v>
      </c>
      <c r="BY103">
        <v>0</v>
      </c>
      <c r="BZ103">
        <v>155100</v>
      </c>
      <c r="CA103">
        <v>0</v>
      </c>
      <c r="CB103">
        <v>942590</v>
      </c>
      <c r="CC103">
        <v>0</v>
      </c>
      <c r="CD103">
        <v>0</v>
      </c>
      <c r="CE103">
        <v>1097690</v>
      </c>
      <c r="CF103">
        <v>0</v>
      </c>
      <c r="CG103">
        <v>0</v>
      </c>
      <c r="CH103">
        <v>700000</v>
      </c>
      <c r="CI103">
        <v>700000</v>
      </c>
      <c r="CJ103" t="s">
        <v>251</v>
      </c>
      <c r="CL103" t="s">
        <v>236</v>
      </c>
      <c r="CM103">
        <v>0</v>
      </c>
      <c r="CN103">
        <v>0</v>
      </c>
      <c r="CO103">
        <v>0</v>
      </c>
      <c r="CP103">
        <v>0</v>
      </c>
      <c r="CU103">
        <v>0</v>
      </c>
      <c r="CV103">
        <v>981</v>
      </c>
      <c r="CW103" t="s">
        <v>1299</v>
      </c>
      <c r="CX103">
        <v>981</v>
      </c>
      <c r="CY103" t="s">
        <v>1299</v>
      </c>
      <c r="CZ103" t="s">
        <v>217</v>
      </c>
      <c r="DB103" t="s">
        <v>1329</v>
      </c>
      <c r="DD103" t="s">
        <v>1330</v>
      </c>
      <c r="DF103" t="s">
        <v>220</v>
      </c>
      <c r="DG103">
        <v>451551</v>
      </c>
      <c r="DL103">
        <v>0</v>
      </c>
      <c r="DN103">
        <v>0</v>
      </c>
      <c r="DP103" t="s">
        <v>1331</v>
      </c>
      <c r="DQ103">
        <v>9524789</v>
      </c>
      <c r="DR103" t="s">
        <v>223</v>
      </c>
      <c r="DS103">
        <v>15788.4</v>
      </c>
      <c r="DT103" s="1">
        <v>45449</v>
      </c>
      <c r="DU103" t="s">
        <v>1332</v>
      </c>
      <c r="DV103">
        <v>0</v>
      </c>
      <c r="DW103">
        <v>1.27</v>
      </c>
      <c r="DX103">
        <v>8890</v>
      </c>
      <c r="DY103">
        <v>1600.2</v>
      </c>
      <c r="DZ103">
        <v>10490.2</v>
      </c>
      <c r="EC103">
        <v>0</v>
      </c>
      <c r="EQ103" t="s">
        <v>1333</v>
      </c>
      <c r="ER103" s="1">
        <v>45442</v>
      </c>
      <c r="ES103">
        <v>6000</v>
      </c>
      <c r="ET103">
        <v>602814.69999999995</v>
      </c>
      <c r="EU103">
        <v>0</v>
      </c>
      <c r="EV103">
        <v>246577</v>
      </c>
      <c r="EW103" t="s">
        <v>1334</v>
      </c>
      <c r="EX103">
        <v>0</v>
      </c>
      <c r="EY103" t="s">
        <v>226</v>
      </c>
      <c r="EZ103" t="s">
        <v>226</v>
      </c>
      <c r="FA103" t="s">
        <v>226</v>
      </c>
      <c r="FB103" t="s">
        <v>226</v>
      </c>
      <c r="FC103" t="s">
        <v>202</v>
      </c>
      <c r="FD103" t="s">
        <v>202</v>
      </c>
      <c r="FE103" t="s">
        <v>202</v>
      </c>
      <c r="FF103" t="s">
        <v>202</v>
      </c>
      <c r="FG103" t="s">
        <v>202</v>
      </c>
      <c r="FH103" t="s">
        <v>202</v>
      </c>
      <c r="FI103" t="s">
        <v>202</v>
      </c>
      <c r="FJ103" t="s">
        <v>202</v>
      </c>
      <c r="FK103" t="s">
        <v>202</v>
      </c>
      <c r="FL103" t="s">
        <v>202</v>
      </c>
      <c r="FM103" t="s">
        <v>202</v>
      </c>
      <c r="FN103" t="s">
        <v>202</v>
      </c>
      <c r="FO103">
        <v>46690</v>
      </c>
      <c r="FP103">
        <v>0</v>
      </c>
      <c r="FQ103">
        <v>0</v>
      </c>
      <c r="FR103">
        <v>4808</v>
      </c>
      <c r="FS103">
        <v>0</v>
      </c>
      <c r="FT103">
        <v>0</v>
      </c>
      <c r="FW103">
        <v>0</v>
      </c>
      <c r="FX103">
        <v>0</v>
      </c>
      <c r="FY103">
        <v>0</v>
      </c>
      <c r="GA103">
        <v>-885</v>
      </c>
    </row>
    <row r="104" spans="1:183" x14ac:dyDescent="0.3">
      <c r="A104">
        <v>11082</v>
      </c>
      <c r="B104">
        <v>158</v>
      </c>
      <c r="C104" t="s">
        <v>1281</v>
      </c>
      <c r="D104" t="s">
        <v>1281</v>
      </c>
      <c r="E104" t="s">
        <v>1335</v>
      </c>
      <c r="F104">
        <v>2457103078</v>
      </c>
      <c r="G104">
        <v>2457103078</v>
      </c>
      <c r="H104" t="s">
        <v>1336</v>
      </c>
      <c r="I104" t="s">
        <v>198</v>
      </c>
      <c r="J104" t="s">
        <v>199</v>
      </c>
      <c r="L104" t="s">
        <v>333</v>
      </c>
      <c r="O104">
        <v>6261441723</v>
      </c>
      <c r="P104" t="s">
        <v>1337</v>
      </c>
      <c r="Q104" s="1">
        <v>45449</v>
      </c>
      <c r="R104" s="1">
        <v>45449</v>
      </c>
      <c r="S104" s="1">
        <v>45449</v>
      </c>
      <c r="U104" t="s">
        <v>1337</v>
      </c>
      <c r="W104" t="s">
        <v>202</v>
      </c>
      <c r="AB104" t="s">
        <v>1338</v>
      </c>
      <c r="AD104" t="s">
        <v>310</v>
      </c>
      <c r="AE104">
        <v>4765</v>
      </c>
      <c r="AF104" t="s">
        <v>367</v>
      </c>
      <c r="AG104" t="s">
        <v>232</v>
      </c>
      <c r="AH104" t="s">
        <v>207</v>
      </c>
      <c r="AI104">
        <v>440309.992248</v>
      </c>
      <c r="AJ104">
        <v>568000</v>
      </c>
      <c r="AK104">
        <v>29</v>
      </c>
      <c r="AL104">
        <v>10000</v>
      </c>
      <c r="AM104">
        <v>0</v>
      </c>
      <c r="AN104">
        <v>0</v>
      </c>
      <c r="AO104">
        <v>3100</v>
      </c>
      <c r="AP104">
        <v>0</v>
      </c>
      <c r="AQ104">
        <v>15000</v>
      </c>
      <c r="AR104">
        <v>0</v>
      </c>
      <c r="AS104">
        <v>0</v>
      </c>
      <c r="AT104">
        <v>0</v>
      </c>
      <c r="AU104">
        <v>0</v>
      </c>
      <c r="AV104">
        <v>4300</v>
      </c>
      <c r="AW104">
        <v>0</v>
      </c>
      <c r="AX104">
        <v>0</v>
      </c>
      <c r="AY104">
        <v>32400</v>
      </c>
      <c r="AZ104">
        <v>535600</v>
      </c>
      <c r="BA104">
        <v>0</v>
      </c>
      <c r="BB104">
        <v>0</v>
      </c>
      <c r="BC104">
        <v>0</v>
      </c>
      <c r="BD104">
        <v>53911</v>
      </c>
      <c r="BE104" t="s">
        <v>234</v>
      </c>
      <c r="BF104">
        <v>8850</v>
      </c>
      <c r="BG104">
        <v>2898</v>
      </c>
      <c r="BH104" t="s">
        <v>209</v>
      </c>
      <c r="BI104">
        <v>24356</v>
      </c>
      <c r="BJ104">
        <v>885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500</v>
      </c>
      <c r="BT104">
        <v>0</v>
      </c>
      <c r="BU104">
        <v>0</v>
      </c>
      <c r="BV104">
        <v>0</v>
      </c>
      <c r="BW104">
        <v>0</v>
      </c>
      <c r="BX104">
        <v>627000</v>
      </c>
      <c r="BY104">
        <v>0</v>
      </c>
      <c r="BZ104">
        <v>72000</v>
      </c>
      <c r="CA104">
        <v>0</v>
      </c>
      <c r="CB104">
        <v>0</v>
      </c>
      <c r="CC104">
        <v>0</v>
      </c>
      <c r="CD104">
        <v>0</v>
      </c>
      <c r="CE104">
        <v>72000</v>
      </c>
      <c r="CF104">
        <v>0</v>
      </c>
      <c r="CG104">
        <v>0</v>
      </c>
      <c r="CH104">
        <v>557000</v>
      </c>
      <c r="CJ104" t="s">
        <v>210</v>
      </c>
      <c r="CL104" t="s">
        <v>211</v>
      </c>
      <c r="CM104">
        <v>0</v>
      </c>
      <c r="CN104">
        <v>0</v>
      </c>
      <c r="CO104">
        <v>0</v>
      </c>
      <c r="CP104">
        <v>0</v>
      </c>
      <c r="CU104">
        <v>-2000</v>
      </c>
      <c r="CV104">
        <v>1779</v>
      </c>
      <c r="CW104" t="s">
        <v>1339</v>
      </c>
      <c r="CX104">
        <v>702</v>
      </c>
      <c r="CY104" t="s">
        <v>492</v>
      </c>
      <c r="CZ104" t="s">
        <v>217</v>
      </c>
      <c r="DB104" t="s">
        <v>1340</v>
      </c>
      <c r="DD104" t="s">
        <v>1341</v>
      </c>
      <c r="DF104" t="s">
        <v>220</v>
      </c>
      <c r="DG104">
        <v>450001</v>
      </c>
      <c r="DL104">
        <v>0</v>
      </c>
      <c r="DN104">
        <v>0</v>
      </c>
      <c r="DP104" t="s">
        <v>1342</v>
      </c>
      <c r="DQ104">
        <v>4260305</v>
      </c>
      <c r="DR104" t="s">
        <v>223</v>
      </c>
      <c r="DS104">
        <v>8850</v>
      </c>
      <c r="DT104" s="1">
        <v>45450</v>
      </c>
      <c r="DU104" t="s">
        <v>1343</v>
      </c>
      <c r="DV104">
        <v>0</v>
      </c>
      <c r="DW104">
        <v>1.5</v>
      </c>
      <c r="DX104">
        <v>8355</v>
      </c>
      <c r="DY104">
        <v>1503.9</v>
      </c>
      <c r="DZ104">
        <v>9858.9</v>
      </c>
      <c r="EC104">
        <v>0</v>
      </c>
      <c r="EQ104" t="s">
        <v>1344</v>
      </c>
      <c r="ER104" s="1">
        <v>45434</v>
      </c>
      <c r="ES104">
        <v>3000</v>
      </c>
      <c r="ET104">
        <v>410408.86</v>
      </c>
      <c r="EU104">
        <v>5426.4</v>
      </c>
      <c r="EV104">
        <v>250064</v>
      </c>
      <c r="EW104" t="s">
        <v>1345</v>
      </c>
      <c r="EX104">
        <v>0</v>
      </c>
      <c r="EY104" t="s">
        <v>226</v>
      </c>
      <c r="EZ104" t="s">
        <v>226</v>
      </c>
      <c r="FA104" t="s">
        <v>226</v>
      </c>
      <c r="FB104" t="s">
        <v>226</v>
      </c>
      <c r="FC104" t="s">
        <v>202</v>
      </c>
      <c r="FD104" t="s">
        <v>202</v>
      </c>
      <c r="FE104" t="s">
        <v>202</v>
      </c>
      <c r="FF104" t="s">
        <v>202</v>
      </c>
      <c r="FG104" t="s">
        <v>202</v>
      </c>
      <c r="FH104" t="s">
        <v>202</v>
      </c>
      <c r="FI104" t="s">
        <v>202</v>
      </c>
      <c r="FJ104" t="s">
        <v>202</v>
      </c>
      <c r="FK104" t="s">
        <v>202</v>
      </c>
      <c r="FL104" t="s">
        <v>202</v>
      </c>
      <c r="FM104" t="s">
        <v>202</v>
      </c>
      <c r="FN104" t="s">
        <v>202</v>
      </c>
      <c r="FO104">
        <v>29989</v>
      </c>
      <c r="FP104">
        <v>-29989</v>
      </c>
      <c r="FQ104">
        <v>0</v>
      </c>
      <c r="FR104">
        <v>4765</v>
      </c>
      <c r="FS104">
        <v>0</v>
      </c>
      <c r="FT104">
        <v>0</v>
      </c>
      <c r="FW104">
        <v>0</v>
      </c>
      <c r="FX104">
        <v>0</v>
      </c>
      <c r="FY104">
        <v>0</v>
      </c>
      <c r="GA104">
        <v>27104</v>
      </c>
    </row>
    <row r="105" spans="1:183" x14ac:dyDescent="0.3">
      <c r="A105">
        <v>11084</v>
      </c>
      <c r="B105">
        <v>159</v>
      </c>
      <c r="C105" t="s">
        <v>1281</v>
      </c>
      <c r="D105" t="s">
        <v>1281</v>
      </c>
      <c r="E105" t="s">
        <v>1346</v>
      </c>
      <c r="F105">
        <v>2457159276</v>
      </c>
      <c r="G105">
        <v>2457159276</v>
      </c>
      <c r="H105" t="s">
        <v>1347</v>
      </c>
      <c r="I105" t="s">
        <v>198</v>
      </c>
      <c r="J105" t="s">
        <v>199</v>
      </c>
      <c r="L105" t="s">
        <v>260</v>
      </c>
      <c r="O105">
        <v>8463842462</v>
      </c>
      <c r="P105" t="s">
        <v>1348</v>
      </c>
      <c r="Q105" s="1">
        <v>45450</v>
      </c>
      <c r="R105" s="1">
        <v>45450</v>
      </c>
      <c r="S105" s="1">
        <v>45450</v>
      </c>
      <c r="U105" t="s">
        <v>1348</v>
      </c>
      <c r="W105" t="s">
        <v>202</v>
      </c>
      <c r="AB105" t="s">
        <v>1349</v>
      </c>
      <c r="AD105" t="s">
        <v>1350</v>
      </c>
      <c r="AE105">
        <v>4697</v>
      </c>
      <c r="AF105" t="s">
        <v>1351</v>
      </c>
      <c r="AG105" t="s">
        <v>232</v>
      </c>
      <c r="AH105" t="s">
        <v>250</v>
      </c>
      <c r="AI105">
        <v>554064</v>
      </c>
      <c r="AJ105">
        <v>714743</v>
      </c>
      <c r="AK105">
        <v>29</v>
      </c>
      <c r="AL105">
        <v>10000</v>
      </c>
      <c r="AM105">
        <v>0</v>
      </c>
      <c r="AN105">
        <v>0</v>
      </c>
      <c r="AO105">
        <v>0</v>
      </c>
      <c r="AP105">
        <v>0</v>
      </c>
      <c r="AQ105">
        <v>5000</v>
      </c>
      <c r="AR105">
        <v>0</v>
      </c>
      <c r="AS105">
        <v>0</v>
      </c>
      <c r="AT105">
        <v>0</v>
      </c>
      <c r="AU105">
        <v>0</v>
      </c>
      <c r="AV105">
        <v>7856</v>
      </c>
      <c r="AW105">
        <v>0</v>
      </c>
      <c r="AX105">
        <v>0</v>
      </c>
      <c r="AY105">
        <v>22856</v>
      </c>
      <c r="AZ105">
        <v>691887</v>
      </c>
      <c r="BA105">
        <v>26500</v>
      </c>
      <c r="BB105">
        <v>0</v>
      </c>
      <c r="BC105">
        <v>0</v>
      </c>
      <c r="BD105">
        <v>64871</v>
      </c>
      <c r="BE105" t="s">
        <v>208</v>
      </c>
      <c r="BF105">
        <v>0</v>
      </c>
      <c r="BG105">
        <v>0</v>
      </c>
      <c r="BH105" t="s">
        <v>209</v>
      </c>
      <c r="BI105">
        <v>26100</v>
      </c>
      <c r="BJ105">
        <v>885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500</v>
      </c>
      <c r="BT105">
        <v>257</v>
      </c>
      <c r="BU105">
        <v>0</v>
      </c>
      <c r="BV105">
        <v>0</v>
      </c>
      <c r="BW105">
        <v>0</v>
      </c>
      <c r="BX105">
        <v>811000</v>
      </c>
      <c r="BY105">
        <v>0</v>
      </c>
      <c r="BZ105">
        <v>30000</v>
      </c>
      <c r="CA105">
        <v>0</v>
      </c>
      <c r="CB105">
        <v>150519</v>
      </c>
      <c r="CC105">
        <v>0</v>
      </c>
      <c r="CD105">
        <v>0</v>
      </c>
      <c r="CE105">
        <v>180519</v>
      </c>
      <c r="CF105">
        <v>0</v>
      </c>
      <c r="CG105">
        <v>0</v>
      </c>
      <c r="CH105">
        <v>630481</v>
      </c>
      <c r="CJ105" t="s">
        <v>299</v>
      </c>
      <c r="CL105" t="s">
        <v>211</v>
      </c>
      <c r="CM105">
        <v>0</v>
      </c>
      <c r="CN105">
        <v>0</v>
      </c>
      <c r="CO105">
        <v>0</v>
      </c>
      <c r="CP105">
        <v>0</v>
      </c>
      <c r="CU105">
        <v>0</v>
      </c>
      <c r="CV105">
        <v>981</v>
      </c>
      <c r="CW105" t="s">
        <v>1299</v>
      </c>
      <c r="CX105">
        <v>981</v>
      </c>
      <c r="CY105" t="s">
        <v>1299</v>
      </c>
      <c r="CZ105" t="s">
        <v>217</v>
      </c>
      <c r="DB105" t="s">
        <v>1352</v>
      </c>
      <c r="DD105" t="s">
        <v>1353</v>
      </c>
      <c r="DF105" t="s">
        <v>220</v>
      </c>
      <c r="DG105">
        <v>451228</v>
      </c>
      <c r="DL105">
        <v>0</v>
      </c>
      <c r="DN105">
        <v>0</v>
      </c>
      <c r="DP105" t="s">
        <v>1354</v>
      </c>
      <c r="DQ105">
        <v>1635604</v>
      </c>
      <c r="DR105" t="s">
        <v>223</v>
      </c>
      <c r="DS105">
        <v>0</v>
      </c>
      <c r="DV105">
        <v>0</v>
      </c>
      <c r="DW105">
        <v>1.5</v>
      </c>
      <c r="DX105">
        <v>9457.2199999999993</v>
      </c>
      <c r="DY105">
        <v>1702.3</v>
      </c>
      <c r="DZ105">
        <v>11159.52</v>
      </c>
      <c r="EC105">
        <v>0</v>
      </c>
      <c r="EQ105" t="s">
        <v>1355</v>
      </c>
      <c r="ER105" s="1">
        <v>45382</v>
      </c>
      <c r="ES105">
        <v>6000</v>
      </c>
      <c r="ET105">
        <v>502584.3</v>
      </c>
      <c r="EU105">
        <v>5426.36</v>
      </c>
      <c r="EV105">
        <v>250572</v>
      </c>
      <c r="EW105" t="s">
        <v>1356</v>
      </c>
      <c r="EX105">
        <v>0</v>
      </c>
      <c r="EY105" t="s">
        <v>226</v>
      </c>
      <c r="EZ105" t="s">
        <v>202</v>
      </c>
      <c r="FA105" t="s">
        <v>226</v>
      </c>
      <c r="FB105" t="s">
        <v>226</v>
      </c>
      <c r="FC105" t="s">
        <v>202</v>
      </c>
      <c r="FD105" t="s">
        <v>202</v>
      </c>
      <c r="FE105" t="s">
        <v>202</v>
      </c>
      <c r="FF105" t="s">
        <v>202</v>
      </c>
      <c r="FG105" t="s">
        <v>202</v>
      </c>
      <c r="FH105" t="s">
        <v>202</v>
      </c>
      <c r="FI105" t="s">
        <v>202</v>
      </c>
      <c r="FJ105" t="s">
        <v>202</v>
      </c>
      <c r="FK105" t="s">
        <v>202</v>
      </c>
      <c r="FL105" t="s">
        <v>202</v>
      </c>
      <c r="FM105" t="s">
        <v>202</v>
      </c>
      <c r="FN105" t="s">
        <v>202</v>
      </c>
      <c r="FO105">
        <v>26494</v>
      </c>
      <c r="FP105">
        <v>6</v>
      </c>
      <c r="FQ105">
        <v>0</v>
      </c>
      <c r="FR105">
        <v>4697</v>
      </c>
      <c r="FS105">
        <v>0</v>
      </c>
      <c r="FT105">
        <v>0</v>
      </c>
      <c r="FW105">
        <v>0</v>
      </c>
      <c r="FX105">
        <v>0</v>
      </c>
      <c r="FY105">
        <v>0</v>
      </c>
      <c r="GA105">
        <v>-885</v>
      </c>
    </row>
    <row r="106" spans="1:183" x14ac:dyDescent="0.3">
      <c r="A106">
        <v>11086</v>
      </c>
      <c r="B106">
        <v>160</v>
      </c>
      <c r="C106" t="s">
        <v>1281</v>
      </c>
      <c r="D106" t="s">
        <v>1281</v>
      </c>
      <c r="E106" t="s">
        <v>1357</v>
      </c>
      <c r="F106">
        <v>2457157141</v>
      </c>
      <c r="G106">
        <v>2457157141</v>
      </c>
      <c r="H106" t="s">
        <v>1358</v>
      </c>
      <c r="I106" t="s">
        <v>198</v>
      </c>
      <c r="J106" t="s">
        <v>199</v>
      </c>
      <c r="L106" t="s">
        <v>260</v>
      </c>
      <c r="O106">
        <v>7049414267</v>
      </c>
      <c r="P106" t="s">
        <v>1359</v>
      </c>
      <c r="Q106" s="1">
        <v>45451</v>
      </c>
      <c r="R106" s="1">
        <v>45451</v>
      </c>
      <c r="S106" s="1">
        <v>45450</v>
      </c>
      <c r="U106" t="s">
        <v>1359</v>
      </c>
      <c r="W106" t="s">
        <v>202</v>
      </c>
      <c r="AB106" t="s">
        <v>1360</v>
      </c>
      <c r="AD106" t="s">
        <v>310</v>
      </c>
      <c r="AE106">
        <v>4765</v>
      </c>
      <c r="AF106" t="s">
        <v>367</v>
      </c>
      <c r="AG106" t="s">
        <v>232</v>
      </c>
      <c r="AH106" t="s">
        <v>207</v>
      </c>
      <c r="AI106">
        <v>440309.992248</v>
      </c>
      <c r="AJ106">
        <v>568000</v>
      </c>
      <c r="AK106">
        <v>29</v>
      </c>
      <c r="AL106">
        <v>10000</v>
      </c>
      <c r="AM106">
        <v>0</v>
      </c>
      <c r="AN106">
        <v>0</v>
      </c>
      <c r="AO106">
        <v>0</v>
      </c>
      <c r="AP106">
        <v>0</v>
      </c>
      <c r="AQ106">
        <v>15000</v>
      </c>
      <c r="AR106">
        <v>0</v>
      </c>
      <c r="AS106">
        <v>0</v>
      </c>
      <c r="AT106">
        <v>0</v>
      </c>
      <c r="AU106">
        <v>0</v>
      </c>
      <c r="AV106">
        <v>12936</v>
      </c>
      <c r="AW106">
        <v>0</v>
      </c>
      <c r="AX106">
        <v>0</v>
      </c>
      <c r="AY106">
        <v>37936</v>
      </c>
      <c r="AZ106">
        <v>530064</v>
      </c>
      <c r="BA106">
        <v>31290</v>
      </c>
      <c r="BB106">
        <v>0</v>
      </c>
      <c r="BC106">
        <v>0</v>
      </c>
      <c r="BD106">
        <v>53911</v>
      </c>
      <c r="BE106" t="s">
        <v>234</v>
      </c>
      <c r="BF106">
        <v>8850</v>
      </c>
      <c r="BG106">
        <v>0</v>
      </c>
      <c r="BH106" t="s">
        <v>209</v>
      </c>
      <c r="BI106">
        <v>24393</v>
      </c>
      <c r="BJ106">
        <v>885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500</v>
      </c>
      <c r="BT106">
        <v>0</v>
      </c>
      <c r="BU106">
        <v>0</v>
      </c>
      <c r="BV106">
        <v>0</v>
      </c>
      <c r="BW106">
        <v>0</v>
      </c>
      <c r="BX106">
        <v>649893</v>
      </c>
      <c r="BY106">
        <v>0</v>
      </c>
      <c r="BZ106">
        <v>76850</v>
      </c>
      <c r="CA106">
        <v>0</v>
      </c>
      <c r="CB106">
        <v>5000</v>
      </c>
      <c r="CC106">
        <v>0</v>
      </c>
      <c r="CD106">
        <v>0</v>
      </c>
      <c r="CE106">
        <v>81850</v>
      </c>
      <c r="CF106">
        <v>0</v>
      </c>
      <c r="CG106">
        <v>0</v>
      </c>
      <c r="CH106">
        <v>570000</v>
      </c>
      <c r="CJ106" t="s">
        <v>210</v>
      </c>
      <c r="CL106" t="s">
        <v>211</v>
      </c>
      <c r="CM106">
        <v>0</v>
      </c>
      <c r="CN106">
        <v>0</v>
      </c>
      <c r="CO106">
        <v>0</v>
      </c>
      <c r="CP106">
        <v>0</v>
      </c>
      <c r="CU106">
        <v>-1957</v>
      </c>
      <c r="CV106">
        <v>1623</v>
      </c>
      <c r="CW106" t="s">
        <v>1309</v>
      </c>
      <c r="CX106">
        <v>366</v>
      </c>
      <c r="CY106" t="s">
        <v>1310</v>
      </c>
      <c r="CZ106" t="s">
        <v>217</v>
      </c>
      <c r="DB106" t="s">
        <v>1361</v>
      </c>
      <c r="DD106" t="s">
        <v>1362</v>
      </c>
      <c r="DF106" t="s">
        <v>220</v>
      </c>
      <c r="DG106">
        <v>451331</v>
      </c>
      <c r="DL106">
        <v>0</v>
      </c>
      <c r="DN106">
        <v>0</v>
      </c>
      <c r="DP106" t="s">
        <v>1363</v>
      </c>
      <c r="DQ106">
        <v>4242898</v>
      </c>
      <c r="DR106" t="s">
        <v>223</v>
      </c>
      <c r="DS106">
        <v>8850</v>
      </c>
      <c r="DT106" s="1">
        <v>45451</v>
      </c>
      <c r="DU106" t="s">
        <v>1364</v>
      </c>
      <c r="DV106">
        <v>0</v>
      </c>
      <c r="DW106">
        <v>1.5</v>
      </c>
      <c r="DX106">
        <v>8550</v>
      </c>
      <c r="DY106">
        <v>1539</v>
      </c>
      <c r="DZ106">
        <v>10089</v>
      </c>
      <c r="EC106">
        <v>0</v>
      </c>
      <c r="EQ106" t="s">
        <v>1365</v>
      </c>
      <c r="ER106" s="1">
        <v>45401</v>
      </c>
      <c r="ES106">
        <v>3000</v>
      </c>
      <c r="ET106">
        <v>410408.86</v>
      </c>
      <c r="EU106">
        <v>5426.4</v>
      </c>
      <c r="EV106">
        <v>250560</v>
      </c>
      <c r="EW106" t="s">
        <v>1366</v>
      </c>
      <c r="EX106">
        <v>0</v>
      </c>
      <c r="EY106" t="s">
        <v>226</v>
      </c>
      <c r="EZ106" t="s">
        <v>226</v>
      </c>
      <c r="FA106" t="s">
        <v>226</v>
      </c>
      <c r="FB106" t="s">
        <v>226</v>
      </c>
      <c r="FC106" t="s">
        <v>202</v>
      </c>
      <c r="FD106" t="s">
        <v>202</v>
      </c>
      <c r="FE106" t="s">
        <v>202</v>
      </c>
      <c r="FF106" t="s">
        <v>202</v>
      </c>
      <c r="FG106" t="s">
        <v>202</v>
      </c>
      <c r="FH106" t="s">
        <v>202</v>
      </c>
      <c r="FI106" t="s">
        <v>202</v>
      </c>
      <c r="FJ106" t="s">
        <v>202</v>
      </c>
      <c r="FK106" t="s">
        <v>202</v>
      </c>
      <c r="FL106" t="s">
        <v>202</v>
      </c>
      <c r="FM106" t="s">
        <v>202</v>
      </c>
      <c r="FN106" t="s">
        <v>202</v>
      </c>
      <c r="FO106">
        <v>31283</v>
      </c>
      <c r="FP106">
        <v>7</v>
      </c>
      <c r="FQ106">
        <v>0</v>
      </c>
      <c r="FR106">
        <v>4765</v>
      </c>
      <c r="FS106">
        <v>0</v>
      </c>
      <c r="FT106">
        <v>0</v>
      </c>
      <c r="FW106">
        <v>0</v>
      </c>
      <c r="FX106">
        <v>0</v>
      </c>
      <c r="FY106">
        <v>0</v>
      </c>
      <c r="GA106">
        <v>-885</v>
      </c>
    </row>
    <row r="107" spans="1:183" x14ac:dyDescent="0.3">
      <c r="A107">
        <v>11091</v>
      </c>
      <c r="B107">
        <v>161</v>
      </c>
      <c r="C107" t="s">
        <v>1281</v>
      </c>
      <c r="D107" t="s">
        <v>1281</v>
      </c>
      <c r="E107" t="s">
        <v>1367</v>
      </c>
      <c r="F107">
        <v>2457155038</v>
      </c>
      <c r="G107">
        <v>2457155038</v>
      </c>
      <c r="H107" t="s">
        <v>1368</v>
      </c>
      <c r="I107" t="s">
        <v>198</v>
      </c>
      <c r="J107" t="s">
        <v>488</v>
      </c>
      <c r="L107" t="s">
        <v>726</v>
      </c>
      <c r="O107">
        <v>8432980707</v>
      </c>
      <c r="P107" t="s">
        <v>1369</v>
      </c>
      <c r="Q107" s="1">
        <v>45450</v>
      </c>
      <c r="R107" s="1">
        <v>45450</v>
      </c>
      <c r="S107" s="1">
        <v>45450</v>
      </c>
      <c r="U107" t="s">
        <v>1369</v>
      </c>
      <c r="W107" t="s">
        <v>202</v>
      </c>
      <c r="AB107">
        <v>812465</v>
      </c>
      <c r="AD107" t="s">
        <v>287</v>
      </c>
      <c r="AE107">
        <v>4738</v>
      </c>
      <c r="AF107" t="s">
        <v>288</v>
      </c>
      <c r="AG107" t="s">
        <v>206</v>
      </c>
      <c r="AH107" t="s">
        <v>250</v>
      </c>
      <c r="AI107">
        <v>743448.26896599995</v>
      </c>
      <c r="AJ107">
        <v>1077999</v>
      </c>
      <c r="AK107">
        <v>45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1</v>
      </c>
      <c r="AZ107">
        <v>1077998</v>
      </c>
      <c r="BA107">
        <v>25323</v>
      </c>
      <c r="BB107">
        <v>0</v>
      </c>
      <c r="BC107">
        <v>0</v>
      </c>
      <c r="BD107">
        <v>5000</v>
      </c>
      <c r="BE107" t="s">
        <v>208</v>
      </c>
      <c r="BF107">
        <v>0</v>
      </c>
      <c r="BG107">
        <v>0</v>
      </c>
      <c r="BH107" t="s">
        <v>209</v>
      </c>
      <c r="BI107">
        <v>28002</v>
      </c>
      <c r="BJ107">
        <v>885</v>
      </c>
      <c r="BK107">
        <v>0</v>
      </c>
      <c r="BL107">
        <v>0</v>
      </c>
      <c r="BM107">
        <v>0</v>
      </c>
      <c r="BN107">
        <v>10789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1147997</v>
      </c>
      <c r="BY107">
        <v>0</v>
      </c>
      <c r="BZ107">
        <v>0</v>
      </c>
      <c r="CA107">
        <v>0</v>
      </c>
      <c r="CB107">
        <v>1147997</v>
      </c>
      <c r="CC107">
        <v>0</v>
      </c>
      <c r="CD107">
        <v>0</v>
      </c>
      <c r="CE107">
        <v>1147997</v>
      </c>
      <c r="CF107">
        <v>0</v>
      </c>
      <c r="CG107">
        <v>0</v>
      </c>
      <c r="CH107">
        <v>0</v>
      </c>
      <c r="CJ107" t="s">
        <v>1158</v>
      </c>
      <c r="CL107" t="s">
        <v>236</v>
      </c>
      <c r="CM107">
        <v>0</v>
      </c>
      <c r="CN107">
        <v>0</v>
      </c>
      <c r="CO107">
        <v>0</v>
      </c>
      <c r="CP107">
        <v>0</v>
      </c>
      <c r="CU107">
        <v>0</v>
      </c>
      <c r="CV107">
        <v>366</v>
      </c>
      <c r="CW107" t="s">
        <v>1310</v>
      </c>
      <c r="CX107">
        <v>366</v>
      </c>
      <c r="CY107" t="s">
        <v>1310</v>
      </c>
      <c r="CZ107" t="s">
        <v>217</v>
      </c>
      <c r="DB107" t="s">
        <v>1370</v>
      </c>
      <c r="DD107" t="s">
        <v>1371</v>
      </c>
      <c r="DF107" t="s">
        <v>220</v>
      </c>
      <c r="DG107">
        <v>411047</v>
      </c>
      <c r="DL107">
        <v>0</v>
      </c>
      <c r="DN107">
        <v>0</v>
      </c>
      <c r="DP107" t="s">
        <v>1372</v>
      </c>
      <c r="DQ107">
        <v>9523577</v>
      </c>
      <c r="DR107" t="s">
        <v>223</v>
      </c>
      <c r="DS107">
        <v>0</v>
      </c>
      <c r="DV107">
        <v>0</v>
      </c>
      <c r="EQ107" t="s">
        <v>1373</v>
      </c>
      <c r="ER107" s="1">
        <v>45440</v>
      </c>
      <c r="ES107">
        <v>8500</v>
      </c>
      <c r="ET107">
        <v>697073.03</v>
      </c>
      <c r="EU107">
        <v>0</v>
      </c>
      <c r="EV107">
        <v>250495</v>
      </c>
      <c r="EW107" t="s">
        <v>1374</v>
      </c>
      <c r="EX107">
        <v>0</v>
      </c>
      <c r="EY107" t="s">
        <v>226</v>
      </c>
      <c r="EZ107" t="s">
        <v>202</v>
      </c>
      <c r="FA107" t="s">
        <v>226</v>
      </c>
      <c r="FB107" t="s">
        <v>202</v>
      </c>
      <c r="FC107" t="s">
        <v>202</v>
      </c>
      <c r="FD107" t="s">
        <v>202</v>
      </c>
      <c r="FE107" t="s">
        <v>202</v>
      </c>
      <c r="FF107" t="s">
        <v>202</v>
      </c>
      <c r="FG107" t="s">
        <v>202</v>
      </c>
      <c r="FH107" t="s">
        <v>202</v>
      </c>
      <c r="FI107" t="s">
        <v>202</v>
      </c>
      <c r="FJ107" t="s">
        <v>202</v>
      </c>
      <c r="FK107" t="s">
        <v>202</v>
      </c>
      <c r="FL107" t="s">
        <v>202</v>
      </c>
      <c r="FM107" t="s">
        <v>202</v>
      </c>
      <c r="FN107" t="s">
        <v>202</v>
      </c>
      <c r="FO107">
        <v>25323</v>
      </c>
      <c r="FP107">
        <v>0</v>
      </c>
      <c r="FQ107">
        <v>0</v>
      </c>
      <c r="FR107">
        <v>4738</v>
      </c>
      <c r="FS107">
        <v>0</v>
      </c>
      <c r="FT107">
        <v>0</v>
      </c>
      <c r="FW107">
        <v>0</v>
      </c>
      <c r="FX107">
        <v>0</v>
      </c>
      <c r="FY107">
        <v>0</v>
      </c>
      <c r="GA107">
        <v>-885</v>
      </c>
    </row>
    <row r="108" spans="1:183" x14ac:dyDescent="0.3">
      <c r="A108">
        <v>11095</v>
      </c>
      <c r="B108">
        <v>162</v>
      </c>
      <c r="C108" t="s">
        <v>1281</v>
      </c>
      <c r="D108" t="s">
        <v>1281</v>
      </c>
      <c r="E108" t="s">
        <v>1375</v>
      </c>
      <c r="F108">
        <v>2457137617</v>
      </c>
      <c r="G108">
        <v>2457137617</v>
      </c>
      <c r="H108" t="s">
        <v>1376</v>
      </c>
      <c r="J108" t="s">
        <v>199</v>
      </c>
      <c r="L108" t="s">
        <v>260</v>
      </c>
      <c r="O108">
        <v>9399185359</v>
      </c>
      <c r="P108" t="s">
        <v>1377</v>
      </c>
      <c r="R108" s="1">
        <v>45451</v>
      </c>
      <c r="S108" s="1">
        <v>45449</v>
      </c>
      <c r="T108" s="1">
        <v>45449</v>
      </c>
      <c r="U108" t="s">
        <v>1377</v>
      </c>
      <c r="W108" t="s">
        <v>202</v>
      </c>
      <c r="AB108">
        <v>875816</v>
      </c>
      <c r="AD108" t="s">
        <v>248</v>
      </c>
      <c r="AE108">
        <v>4508</v>
      </c>
      <c r="AF108" t="s">
        <v>1378</v>
      </c>
      <c r="AH108" t="s">
        <v>1379</v>
      </c>
      <c r="AI108">
        <v>0</v>
      </c>
      <c r="AJ108">
        <v>748992</v>
      </c>
      <c r="AK108">
        <v>0</v>
      </c>
      <c r="AL108">
        <v>5000</v>
      </c>
      <c r="AM108">
        <v>0</v>
      </c>
      <c r="AN108">
        <v>0</v>
      </c>
      <c r="AO108">
        <v>0</v>
      </c>
      <c r="AP108">
        <v>0</v>
      </c>
      <c r="AQ108">
        <v>10000</v>
      </c>
      <c r="AR108">
        <v>0</v>
      </c>
      <c r="AS108">
        <v>0</v>
      </c>
      <c r="AT108">
        <v>0</v>
      </c>
      <c r="AU108">
        <v>0</v>
      </c>
      <c r="AV108">
        <v>10630</v>
      </c>
      <c r="AW108">
        <v>0</v>
      </c>
      <c r="AX108">
        <v>0</v>
      </c>
      <c r="AY108">
        <v>25630</v>
      </c>
      <c r="AZ108">
        <v>723362</v>
      </c>
      <c r="BA108">
        <v>22500</v>
      </c>
      <c r="BB108">
        <v>0</v>
      </c>
      <c r="BC108">
        <v>0</v>
      </c>
      <c r="BD108">
        <v>67590</v>
      </c>
      <c r="BE108" t="s">
        <v>1380</v>
      </c>
      <c r="BF108">
        <v>12732</v>
      </c>
      <c r="BG108">
        <v>3853</v>
      </c>
      <c r="BH108" t="s">
        <v>209</v>
      </c>
      <c r="BI108">
        <v>28578</v>
      </c>
      <c r="BJ108">
        <v>885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500</v>
      </c>
      <c r="BT108">
        <v>0</v>
      </c>
      <c r="BU108">
        <v>0</v>
      </c>
      <c r="BV108">
        <v>0</v>
      </c>
      <c r="BW108">
        <v>0</v>
      </c>
      <c r="BX108">
        <v>860000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720000</v>
      </c>
      <c r="CJ108" t="s">
        <v>210</v>
      </c>
      <c r="CL108" t="s">
        <v>211</v>
      </c>
      <c r="CM108">
        <v>0</v>
      </c>
      <c r="CN108">
        <v>0</v>
      </c>
      <c r="CO108">
        <v>0</v>
      </c>
      <c r="CP108">
        <v>0</v>
      </c>
      <c r="CU108">
        <v>140000</v>
      </c>
      <c r="CV108" t="s">
        <v>237</v>
      </c>
      <c r="CW108" t="s">
        <v>238</v>
      </c>
      <c r="CX108" t="s">
        <v>215</v>
      </c>
      <c r="CY108" t="s">
        <v>216</v>
      </c>
      <c r="CZ108" t="s">
        <v>217</v>
      </c>
      <c r="DB108" t="s">
        <v>1381</v>
      </c>
      <c r="DC108" t="s">
        <v>1382</v>
      </c>
      <c r="DD108" t="s">
        <v>1383</v>
      </c>
      <c r="DF108" t="s">
        <v>220</v>
      </c>
      <c r="DG108">
        <v>451115</v>
      </c>
      <c r="DH108" t="s">
        <v>1384</v>
      </c>
      <c r="DL108">
        <v>0</v>
      </c>
      <c r="DN108">
        <v>0</v>
      </c>
      <c r="DP108">
        <v>875816</v>
      </c>
      <c r="DQ108">
        <v>106941</v>
      </c>
      <c r="DR108" t="s">
        <v>223</v>
      </c>
      <c r="DS108">
        <v>0</v>
      </c>
      <c r="DV108">
        <v>0</v>
      </c>
      <c r="DW108">
        <v>1.5</v>
      </c>
      <c r="DX108">
        <v>10800</v>
      </c>
      <c r="DY108">
        <v>1944</v>
      </c>
      <c r="DZ108">
        <v>12744</v>
      </c>
      <c r="EC108">
        <v>0</v>
      </c>
      <c r="ES108">
        <v>0</v>
      </c>
      <c r="ET108">
        <v>0</v>
      </c>
      <c r="EU108">
        <v>0</v>
      </c>
      <c r="EV108">
        <v>250330</v>
      </c>
      <c r="EW108" t="s">
        <v>1385</v>
      </c>
      <c r="EX108">
        <v>0</v>
      </c>
      <c r="EY108" t="s">
        <v>226</v>
      </c>
      <c r="EZ108" t="s">
        <v>226</v>
      </c>
      <c r="FA108" t="s">
        <v>226</v>
      </c>
      <c r="FB108" t="s">
        <v>226</v>
      </c>
      <c r="FC108" t="s">
        <v>202</v>
      </c>
      <c r="FD108" t="s">
        <v>202</v>
      </c>
      <c r="FE108" t="s">
        <v>202</v>
      </c>
      <c r="FF108" t="s">
        <v>202</v>
      </c>
      <c r="FG108" t="s">
        <v>202</v>
      </c>
      <c r="FH108" t="s">
        <v>202</v>
      </c>
      <c r="FI108" t="s">
        <v>202</v>
      </c>
      <c r="FJ108" t="s">
        <v>202</v>
      </c>
      <c r="FK108" t="s">
        <v>202</v>
      </c>
      <c r="FL108" t="s">
        <v>202</v>
      </c>
      <c r="FM108" t="s">
        <v>202</v>
      </c>
      <c r="FN108" t="s">
        <v>202</v>
      </c>
      <c r="FO108">
        <v>22500</v>
      </c>
      <c r="FP108">
        <v>0</v>
      </c>
      <c r="FQ108">
        <v>2591.83</v>
      </c>
      <c r="FR108">
        <v>4508</v>
      </c>
      <c r="FS108">
        <v>0</v>
      </c>
      <c r="FT108">
        <v>0</v>
      </c>
      <c r="FW108">
        <v>0</v>
      </c>
      <c r="FX108">
        <v>0</v>
      </c>
      <c r="FY108">
        <v>0</v>
      </c>
      <c r="GA108">
        <v>16992</v>
      </c>
    </row>
    <row r="109" spans="1:183" x14ac:dyDescent="0.3">
      <c r="A109">
        <v>11100</v>
      </c>
      <c r="B109">
        <v>163</v>
      </c>
      <c r="C109" t="s">
        <v>1281</v>
      </c>
      <c r="D109" t="s">
        <v>1281</v>
      </c>
      <c r="E109" t="s">
        <v>1386</v>
      </c>
      <c r="F109">
        <v>2457099019</v>
      </c>
      <c r="G109">
        <v>2457099019</v>
      </c>
      <c r="H109" t="s">
        <v>1387</v>
      </c>
      <c r="I109" t="s">
        <v>198</v>
      </c>
      <c r="J109" t="s">
        <v>199</v>
      </c>
      <c r="L109" t="s">
        <v>260</v>
      </c>
      <c r="O109">
        <v>9165238267</v>
      </c>
      <c r="P109" t="s">
        <v>1388</v>
      </c>
      <c r="Q109" s="1">
        <v>45453</v>
      </c>
      <c r="R109" s="1">
        <v>45453</v>
      </c>
      <c r="S109" s="1">
        <v>45453</v>
      </c>
      <c r="U109" t="s">
        <v>1388</v>
      </c>
      <c r="W109" t="s">
        <v>202</v>
      </c>
      <c r="AB109">
        <v>809687</v>
      </c>
      <c r="AD109" t="s">
        <v>287</v>
      </c>
      <c r="AE109">
        <v>4725</v>
      </c>
      <c r="AF109" t="s">
        <v>405</v>
      </c>
      <c r="AG109" t="s">
        <v>232</v>
      </c>
      <c r="AH109" t="s">
        <v>250</v>
      </c>
      <c r="AI109">
        <v>677931.02069000003</v>
      </c>
      <c r="AJ109">
        <v>983000</v>
      </c>
      <c r="AK109">
        <v>45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983000</v>
      </c>
      <c r="BA109">
        <v>40000</v>
      </c>
      <c r="BB109">
        <v>0</v>
      </c>
      <c r="BC109">
        <v>0</v>
      </c>
      <c r="BD109">
        <v>86811</v>
      </c>
      <c r="BE109" t="s">
        <v>234</v>
      </c>
      <c r="BF109">
        <v>16709</v>
      </c>
      <c r="BG109">
        <v>0</v>
      </c>
      <c r="BH109" t="s">
        <v>209</v>
      </c>
      <c r="BI109">
        <v>32096</v>
      </c>
      <c r="BJ109">
        <v>885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500</v>
      </c>
      <c r="BT109">
        <v>0</v>
      </c>
      <c r="BU109">
        <v>0</v>
      </c>
      <c r="BV109">
        <v>0</v>
      </c>
      <c r="BW109">
        <v>0</v>
      </c>
      <c r="BX109">
        <v>1160001</v>
      </c>
      <c r="BY109">
        <v>0</v>
      </c>
      <c r="BZ109">
        <v>15000</v>
      </c>
      <c r="CA109">
        <v>0</v>
      </c>
      <c r="CB109">
        <v>0</v>
      </c>
      <c r="CC109">
        <v>0</v>
      </c>
      <c r="CD109">
        <v>0</v>
      </c>
      <c r="CE109">
        <v>15000</v>
      </c>
      <c r="CF109">
        <v>0</v>
      </c>
      <c r="CG109">
        <v>0</v>
      </c>
      <c r="CH109">
        <v>970000</v>
      </c>
      <c r="CJ109" t="s">
        <v>210</v>
      </c>
      <c r="CL109" t="s">
        <v>211</v>
      </c>
      <c r="CM109">
        <v>430000</v>
      </c>
      <c r="CN109">
        <v>285000</v>
      </c>
      <c r="CO109">
        <v>0</v>
      </c>
      <c r="CP109">
        <v>145000</v>
      </c>
      <c r="CQ109" t="s">
        <v>1389</v>
      </c>
      <c r="CT109" t="s">
        <v>1390</v>
      </c>
      <c r="CU109">
        <v>30001</v>
      </c>
      <c r="CV109">
        <v>1962</v>
      </c>
      <c r="CW109" t="s">
        <v>1391</v>
      </c>
      <c r="CX109">
        <v>702</v>
      </c>
      <c r="CY109" t="s">
        <v>492</v>
      </c>
      <c r="CZ109" t="s">
        <v>217</v>
      </c>
      <c r="DB109" t="s">
        <v>1392</v>
      </c>
      <c r="DD109" t="s">
        <v>1393</v>
      </c>
      <c r="DF109" t="s">
        <v>220</v>
      </c>
      <c r="DG109">
        <v>451001</v>
      </c>
      <c r="DL109">
        <v>0</v>
      </c>
      <c r="DN109">
        <v>0</v>
      </c>
      <c r="DP109" t="s">
        <v>1394</v>
      </c>
      <c r="DQ109">
        <v>9517946</v>
      </c>
      <c r="DR109" t="s">
        <v>223</v>
      </c>
      <c r="DS109">
        <v>16708.8</v>
      </c>
      <c r="DT109" s="1">
        <v>45453</v>
      </c>
      <c r="DU109" t="s">
        <v>1395</v>
      </c>
      <c r="DV109">
        <v>0</v>
      </c>
      <c r="DW109">
        <v>1.5</v>
      </c>
      <c r="DX109">
        <v>14550</v>
      </c>
      <c r="DY109">
        <v>2619</v>
      </c>
      <c r="DZ109">
        <v>17169</v>
      </c>
      <c r="EC109">
        <v>0</v>
      </c>
      <c r="EQ109" t="s">
        <v>1396</v>
      </c>
      <c r="ER109" s="1">
        <v>45443</v>
      </c>
      <c r="ES109">
        <v>8500</v>
      </c>
      <c r="ET109">
        <v>632556.03</v>
      </c>
      <c r="EU109">
        <v>0</v>
      </c>
      <c r="EV109">
        <v>250071</v>
      </c>
      <c r="EW109" t="s">
        <v>1397</v>
      </c>
      <c r="EX109">
        <v>0</v>
      </c>
      <c r="EY109" t="s">
        <v>226</v>
      </c>
      <c r="EZ109" t="s">
        <v>226</v>
      </c>
      <c r="FA109" t="s">
        <v>226</v>
      </c>
      <c r="FB109" t="s">
        <v>226</v>
      </c>
      <c r="FC109" t="s">
        <v>202</v>
      </c>
      <c r="FD109" t="s">
        <v>202</v>
      </c>
      <c r="FE109" t="s">
        <v>202</v>
      </c>
      <c r="FF109" t="s">
        <v>202</v>
      </c>
      <c r="FG109" t="s">
        <v>202</v>
      </c>
      <c r="FH109" t="s">
        <v>202</v>
      </c>
      <c r="FI109" t="s">
        <v>202</v>
      </c>
      <c r="FJ109" t="s">
        <v>202</v>
      </c>
      <c r="FK109" t="s">
        <v>202</v>
      </c>
      <c r="FL109" t="s">
        <v>202</v>
      </c>
      <c r="FM109" t="s">
        <v>202</v>
      </c>
      <c r="FN109" t="s">
        <v>202</v>
      </c>
      <c r="FO109">
        <v>39998</v>
      </c>
      <c r="FP109">
        <v>2</v>
      </c>
      <c r="FQ109">
        <v>0</v>
      </c>
      <c r="FR109">
        <v>4725</v>
      </c>
      <c r="FS109">
        <v>0</v>
      </c>
      <c r="FT109">
        <v>0</v>
      </c>
      <c r="FW109">
        <v>0</v>
      </c>
      <c r="FX109">
        <v>0</v>
      </c>
      <c r="FY109">
        <v>0</v>
      </c>
      <c r="GA109">
        <v>-885</v>
      </c>
    </row>
    <row r="110" spans="1:183" x14ac:dyDescent="0.3">
      <c r="A110">
        <v>11103</v>
      </c>
      <c r="B110">
        <v>164</v>
      </c>
      <c r="C110" t="s">
        <v>1281</v>
      </c>
      <c r="D110" t="s">
        <v>1281</v>
      </c>
      <c r="E110" t="s">
        <v>1398</v>
      </c>
      <c r="F110">
        <v>2457123917</v>
      </c>
      <c r="G110">
        <v>2457123917</v>
      </c>
      <c r="H110" t="s">
        <v>1399</v>
      </c>
      <c r="I110" t="s">
        <v>198</v>
      </c>
      <c r="J110" t="s">
        <v>199</v>
      </c>
      <c r="L110" t="s">
        <v>260</v>
      </c>
      <c r="O110">
        <v>9926496899</v>
      </c>
      <c r="P110" t="s">
        <v>1400</v>
      </c>
      <c r="Q110" s="1">
        <v>45453</v>
      </c>
      <c r="R110" s="1">
        <v>45453</v>
      </c>
      <c r="S110" s="1">
        <v>45453</v>
      </c>
      <c r="U110" t="s">
        <v>1400</v>
      </c>
      <c r="W110" t="s">
        <v>202</v>
      </c>
      <c r="AB110">
        <v>892265</v>
      </c>
      <c r="AD110" t="s">
        <v>248</v>
      </c>
      <c r="AE110">
        <v>4694</v>
      </c>
      <c r="AF110" t="s">
        <v>249</v>
      </c>
      <c r="AG110" t="s">
        <v>206</v>
      </c>
      <c r="AH110" t="s">
        <v>250</v>
      </c>
      <c r="AI110">
        <v>654257.35658899997</v>
      </c>
      <c r="AJ110">
        <v>843992</v>
      </c>
      <c r="AK110">
        <v>29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10377</v>
      </c>
      <c r="AW110">
        <v>0</v>
      </c>
      <c r="AX110">
        <v>0</v>
      </c>
      <c r="AY110">
        <v>10377</v>
      </c>
      <c r="AZ110">
        <v>833615</v>
      </c>
      <c r="BA110">
        <v>6500</v>
      </c>
      <c r="BB110">
        <v>0</v>
      </c>
      <c r="BC110">
        <v>0</v>
      </c>
      <c r="BD110">
        <v>95500</v>
      </c>
      <c r="BE110" t="s">
        <v>208</v>
      </c>
      <c r="BF110">
        <v>0</v>
      </c>
      <c r="BG110">
        <v>0</v>
      </c>
      <c r="BH110" t="s">
        <v>209</v>
      </c>
      <c r="BI110">
        <v>25001</v>
      </c>
      <c r="BJ110">
        <v>885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961501</v>
      </c>
      <c r="BY110">
        <v>0</v>
      </c>
      <c r="BZ110">
        <v>9000</v>
      </c>
      <c r="CA110">
        <v>0</v>
      </c>
      <c r="CB110">
        <v>302500</v>
      </c>
      <c r="CC110">
        <v>0</v>
      </c>
      <c r="CD110">
        <v>0</v>
      </c>
      <c r="CE110">
        <v>311500</v>
      </c>
      <c r="CF110">
        <v>0</v>
      </c>
      <c r="CG110">
        <v>0</v>
      </c>
      <c r="CH110">
        <v>650000</v>
      </c>
      <c r="CJ110" t="s">
        <v>522</v>
      </c>
      <c r="CL110" t="s">
        <v>211</v>
      </c>
      <c r="CM110">
        <v>0</v>
      </c>
      <c r="CN110">
        <v>0</v>
      </c>
      <c r="CO110">
        <v>0</v>
      </c>
      <c r="CP110">
        <v>0</v>
      </c>
      <c r="CU110">
        <v>1</v>
      </c>
      <c r="CV110">
        <v>1195</v>
      </c>
      <c r="CW110" t="s">
        <v>1401</v>
      </c>
      <c r="CX110">
        <v>702</v>
      </c>
      <c r="CY110" t="s">
        <v>492</v>
      </c>
      <c r="CZ110" t="s">
        <v>217</v>
      </c>
      <c r="DB110" t="s">
        <v>1402</v>
      </c>
      <c r="DD110" t="s">
        <v>1403</v>
      </c>
      <c r="DF110" t="s">
        <v>220</v>
      </c>
      <c r="DG110">
        <v>451001</v>
      </c>
      <c r="DL110">
        <v>0</v>
      </c>
      <c r="DN110">
        <v>0</v>
      </c>
      <c r="DP110" t="s">
        <v>1404</v>
      </c>
      <c r="DQ110">
        <v>7510148</v>
      </c>
      <c r="DR110" t="s">
        <v>223</v>
      </c>
      <c r="DS110">
        <v>0</v>
      </c>
      <c r="DV110">
        <v>0</v>
      </c>
      <c r="DW110">
        <v>1</v>
      </c>
      <c r="DX110">
        <v>6500</v>
      </c>
      <c r="DY110">
        <v>1170</v>
      </c>
      <c r="DZ110">
        <v>7670</v>
      </c>
      <c r="EC110">
        <v>0</v>
      </c>
      <c r="EQ110" t="s">
        <v>1405</v>
      </c>
      <c r="ER110" s="1">
        <v>45429</v>
      </c>
      <c r="ES110">
        <v>6000</v>
      </c>
      <c r="ET110">
        <v>616882.35</v>
      </c>
      <c r="EU110">
        <v>0</v>
      </c>
      <c r="EV110">
        <v>250254</v>
      </c>
      <c r="EW110" t="s">
        <v>1406</v>
      </c>
      <c r="EX110">
        <v>0</v>
      </c>
      <c r="EY110" t="s">
        <v>226</v>
      </c>
      <c r="EZ110" t="s">
        <v>202</v>
      </c>
      <c r="FA110" t="s">
        <v>226</v>
      </c>
      <c r="FB110" t="s">
        <v>202</v>
      </c>
      <c r="FC110" t="s">
        <v>202</v>
      </c>
      <c r="FD110" t="s">
        <v>202</v>
      </c>
      <c r="FE110" t="s">
        <v>202</v>
      </c>
      <c r="FF110" t="s">
        <v>202</v>
      </c>
      <c r="FG110" t="s">
        <v>202</v>
      </c>
      <c r="FH110" t="s">
        <v>202</v>
      </c>
      <c r="FI110" t="s">
        <v>202</v>
      </c>
      <c r="FJ110" t="s">
        <v>202</v>
      </c>
      <c r="FK110" t="s">
        <v>202</v>
      </c>
      <c r="FL110" t="s">
        <v>202</v>
      </c>
      <c r="FM110" t="s">
        <v>202</v>
      </c>
      <c r="FN110" t="s">
        <v>202</v>
      </c>
      <c r="FO110">
        <v>6500</v>
      </c>
      <c r="FP110">
        <v>0</v>
      </c>
      <c r="FQ110">
        <v>0</v>
      </c>
      <c r="FR110">
        <v>4694</v>
      </c>
      <c r="FS110">
        <v>0</v>
      </c>
      <c r="FT110">
        <v>0</v>
      </c>
      <c r="FW110">
        <v>0</v>
      </c>
      <c r="FX110">
        <v>0</v>
      </c>
      <c r="FY110">
        <v>0</v>
      </c>
      <c r="GA110">
        <v>-885</v>
      </c>
    </row>
    <row r="111" spans="1:183" x14ac:dyDescent="0.3">
      <c r="A111">
        <v>11119</v>
      </c>
      <c r="B111">
        <v>165</v>
      </c>
      <c r="C111" t="s">
        <v>1281</v>
      </c>
      <c r="D111" t="s">
        <v>1281</v>
      </c>
      <c r="E111" t="s">
        <v>1407</v>
      </c>
      <c r="F111">
        <v>2457198674</v>
      </c>
      <c r="G111">
        <v>2457198674</v>
      </c>
      <c r="H111" t="s">
        <v>1408</v>
      </c>
      <c r="I111" t="s">
        <v>198</v>
      </c>
      <c r="J111" t="s">
        <v>199</v>
      </c>
      <c r="L111" t="s">
        <v>260</v>
      </c>
      <c r="O111">
        <v>9981434349</v>
      </c>
      <c r="P111" t="s">
        <v>1409</v>
      </c>
      <c r="Q111" s="1">
        <v>45454</v>
      </c>
      <c r="R111" s="1">
        <v>45454</v>
      </c>
      <c r="S111" s="1">
        <v>45453</v>
      </c>
      <c r="U111" t="s">
        <v>1409</v>
      </c>
      <c r="W111" t="s">
        <v>202</v>
      </c>
      <c r="AB111">
        <v>290672</v>
      </c>
      <c r="AD111" t="s">
        <v>274</v>
      </c>
      <c r="AE111">
        <v>4706</v>
      </c>
      <c r="AF111" t="s">
        <v>275</v>
      </c>
      <c r="AG111" t="s">
        <v>232</v>
      </c>
      <c r="AH111" t="s">
        <v>1261</v>
      </c>
      <c r="AI111">
        <v>414728.68217099999</v>
      </c>
      <c r="AJ111">
        <v>535000</v>
      </c>
      <c r="AK111">
        <v>29</v>
      </c>
      <c r="AL111">
        <v>18000</v>
      </c>
      <c r="AM111">
        <v>0</v>
      </c>
      <c r="AN111">
        <v>0</v>
      </c>
      <c r="AO111">
        <v>0</v>
      </c>
      <c r="AP111">
        <v>0</v>
      </c>
      <c r="AQ111">
        <v>25302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43302</v>
      </c>
      <c r="AZ111">
        <v>491698</v>
      </c>
      <c r="BA111">
        <v>7390</v>
      </c>
      <c r="BB111">
        <v>0</v>
      </c>
      <c r="BC111">
        <v>0</v>
      </c>
      <c r="BD111">
        <v>43675</v>
      </c>
      <c r="BE111" t="s">
        <v>234</v>
      </c>
      <c r="BF111">
        <v>8343</v>
      </c>
      <c r="BG111">
        <v>2680</v>
      </c>
      <c r="BH111" t="s">
        <v>209</v>
      </c>
      <c r="BI111">
        <v>25605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500</v>
      </c>
      <c r="BT111">
        <v>0</v>
      </c>
      <c r="BU111">
        <v>0</v>
      </c>
      <c r="BV111">
        <v>0</v>
      </c>
      <c r="BW111">
        <v>0</v>
      </c>
      <c r="BX111">
        <v>579891</v>
      </c>
      <c r="BY111">
        <v>0</v>
      </c>
      <c r="BZ111">
        <v>2100</v>
      </c>
      <c r="CA111">
        <v>0</v>
      </c>
      <c r="CB111">
        <v>577800</v>
      </c>
      <c r="CC111">
        <v>0</v>
      </c>
      <c r="CD111">
        <v>0</v>
      </c>
      <c r="CE111">
        <v>579900</v>
      </c>
      <c r="CF111">
        <v>0</v>
      </c>
      <c r="CG111">
        <v>0</v>
      </c>
      <c r="CH111">
        <v>400000</v>
      </c>
      <c r="CI111">
        <v>400000</v>
      </c>
      <c r="CJ111" t="s">
        <v>251</v>
      </c>
      <c r="CL111" t="s">
        <v>236</v>
      </c>
      <c r="CM111">
        <v>0</v>
      </c>
      <c r="CN111">
        <v>0</v>
      </c>
      <c r="CO111">
        <v>0</v>
      </c>
      <c r="CP111">
        <v>0</v>
      </c>
      <c r="CU111">
        <v>-9</v>
      </c>
      <c r="CV111">
        <v>1195</v>
      </c>
      <c r="CW111" t="s">
        <v>1401</v>
      </c>
      <c r="CX111">
        <v>702</v>
      </c>
      <c r="CY111" t="s">
        <v>492</v>
      </c>
      <c r="CZ111" t="s">
        <v>217</v>
      </c>
      <c r="DB111" t="s">
        <v>1410</v>
      </c>
      <c r="DD111" t="s">
        <v>1411</v>
      </c>
      <c r="DF111" t="s">
        <v>220</v>
      </c>
      <c r="DG111">
        <v>451001</v>
      </c>
      <c r="DL111">
        <v>0</v>
      </c>
      <c r="DN111">
        <v>0</v>
      </c>
      <c r="DP111" t="s">
        <v>1412</v>
      </c>
      <c r="DQ111">
        <v>1271850</v>
      </c>
      <c r="DR111" t="s">
        <v>223</v>
      </c>
      <c r="DS111">
        <v>8342.6</v>
      </c>
      <c r="DT111" s="1">
        <v>45454</v>
      </c>
      <c r="DU111" t="s">
        <v>1413</v>
      </c>
      <c r="DV111">
        <v>0</v>
      </c>
      <c r="DW111">
        <v>1.25</v>
      </c>
      <c r="DX111">
        <v>5000</v>
      </c>
      <c r="DY111">
        <v>900</v>
      </c>
      <c r="DZ111">
        <v>5900</v>
      </c>
      <c r="EC111">
        <v>0</v>
      </c>
      <c r="EQ111" t="s">
        <v>1414</v>
      </c>
      <c r="ER111" s="1">
        <v>45430</v>
      </c>
      <c r="ES111">
        <v>4500</v>
      </c>
      <c r="ET111">
        <v>378600.94</v>
      </c>
      <c r="EU111">
        <v>10852.7</v>
      </c>
      <c r="EV111">
        <v>251028</v>
      </c>
      <c r="EW111" t="s">
        <v>1415</v>
      </c>
      <c r="EX111">
        <v>0</v>
      </c>
      <c r="EY111" t="s">
        <v>226</v>
      </c>
      <c r="EZ111" t="s">
        <v>226</v>
      </c>
      <c r="FA111" t="s">
        <v>226</v>
      </c>
      <c r="FB111" t="s">
        <v>226</v>
      </c>
      <c r="FC111" t="s">
        <v>202</v>
      </c>
      <c r="FD111" t="s">
        <v>202</v>
      </c>
      <c r="FE111" t="s">
        <v>202</v>
      </c>
      <c r="FF111" t="s">
        <v>202</v>
      </c>
      <c r="FG111" t="s">
        <v>202</v>
      </c>
      <c r="FH111" t="s">
        <v>202</v>
      </c>
      <c r="FI111" t="s">
        <v>202</v>
      </c>
      <c r="FJ111" t="s">
        <v>202</v>
      </c>
      <c r="FK111" t="s">
        <v>202</v>
      </c>
      <c r="FL111" t="s">
        <v>202</v>
      </c>
      <c r="FM111" t="s">
        <v>202</v>
      </c>
      <c r="FN111" t="s">
        <v>202</v>
      </c>
      <c r="FO111">
        <v>7390</v>
      </c>
      <c r="FP111">
        <v>0</v>
      </c>
      <c r="FQ111">
        <v>1330.35</v>
      </c>
      <c r="FR111">
        <v>4706</v>
      </c>
      <c r="FS111">
        <v>0</v>
      </c>
      <c r="FT111">
        <v>0</v>
      </c>
      <c r="FW111">
        <v>0</v>
      </c>
      <c r="FX111">
        <v>0</v>
      </c>
      <c r="FY111">
        <v>0</v>
      </c>
      <c r="GA111">
        <v>0</v>
      </c>
    </row>
    <row r="112" spans="1:183" x14ac:dyDescent="0.3">
      <c r="A112">
        <v>11129</v>
      </c>
      <c r="B112">
        <v>166</v>
      </c>
      <c r="C112" t="s">
        <v>1281</v>
      </c>
      <c r="D112" t="s">
        <v>1281</v>
      </c>
      <c r="E112" t="s">
        <v>1416</v>
      </c>
      <c r="F112">
        <v>2457224253</v>
      </c>
      <c r="G112">
        <v>2457224253</v>
      </c>
      <c r="H112" t="s">
        <v>1417</v>
      </c>
      <c r="I112" t="s">
        <v>198</v>
      </c>
      <c r="J112" t="s">
        <v>199</v>
      </c>
      <c r="L112" t="s">
        <v>260</v>
      </c>
      <c r="O112">
        <v>6265154453</v>
      </c>
      <c r="P112" t="s">
        <v>1418</v>
      </c>
      <c r="Q112" s="1">
        <v>45455</v>
      </c>
      <c r="R112" s="1">
        <v>45455</v>
      </c>
      <c r="S112" s="1">
        <v>45455</v>
      </c>
      <c r="U112" t="s">
        <v>1418</v>
      </c>
      <c r="W112" t="s">
        <v>202</v>
      </c>
      <c r="AB112">
        <v>103373</v>
      </c>
      <c r="AD112" t="s">
        <v>230</v>
      </c>
      <c r="AE112">
        <v>4812</v>
      </c>
      <c r="AF112" t="s">
        <v>231</v>
      </c>
      <c r="AG112" t="s">
        <v>232</v>
      </c>
      <c r="AH112" t="s">
        <v>250</v>
      </c>
      <c r="AI112">
        <v>565304</v>
      </c>
      <c r="AJ112">
        <v>729242</v>
      </c>
      <c r="AK112">
        <v>29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13000</v>
      </c>
      <c r="AW112">
        <v>0</v>
      </c>
      <c r="AX112">
        <v>0</v>
      </c>
      <c r="AY112">
        <v>13000</v>
      </c>
      <c r="AZ112">
        <v>716242</v>
      </c>
      <c r="BA112">
        <v>45000</v>
      </c>
      <c r="BB112">
        <v>0</v>
      </c>
      <c r="BC112">
        <v>0</v>
      </c>
      <c r="BD112">
        <v>64010</v>
      </c>
      <c r="BE112" t="s">
        <v>234</v>
      </c>
      <c r="BF112">
        <v>12403</v>
      </c>
      <c r="BG112">
        <v>4083</v>
      </c>
      <c r="BH112" t="s">
        <v>209</v>
      </c>
      <c r="BI112">
        <v>31878</v>
      </c>
      <c r="BJ112">
        <v>885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500</v>
      </c>
      <c r="BT112">
        <v>0</v>
      </c>
      <c r="BU112">
        <v>0</v>
      </c>
      <c r="BV112">
        <v>0</v>
      </c>
      <c r="BW112">
        <v>0</v>
      </c>
      <c r="BX112">
        <v>875001</v>
      </c>
      <c r="BY112">
        <v>0</v>
      </c>
      <c r="BZ112">
        <v>60000</v>
      </c>
      <c r="CA112">
        <v>0</v>
      </c>
      <c r="CB112">
        <v>815127</v>
      </c>
      <c r="CC112">
        <v>85000</v>
      </c>
      <c r="CD112">
        <v>0</v>
      </c>
      <c r="CE112">
        <v>875127</v>
      </c>
      <c r="CF112">
        <v>0</v>
      </c>
      <c r="CG112">
        <v>0</v>
      </c>
      <c r="CH112">
        <v>0</v>
      </c>
      <c r="CJ112" t="s">
        <v>1158</v>
      </c>
      <c r="CL112" t="s">
        <v>236</v>
      </c>
      <c r="CM112">
        <v>0</v>
      </c>
      <c r="CN112">
        <v>0</v>
      </c>
      <c r="CO112">
        <v>0</v>
      </c>
      <c r="CP112">
        <v>0</v>
      </c>
      <c r="CU112">
        <v>-126</v>
      </c>
      <c r="CV112">
        <v>702</v>
      </c>
      <c r="CW112" t="s">
        <v>492</v>
      </c>
      <c r="CX112">
        <v>702</v>
      </c>
      <c r="CY112" t="s">
        <v>492</v>
      </c>
      <c r="CZ112" t="s">
        <v>217</v>
      </c>
      <c r="DB112" t="s">
        <v>1419</v>
      </c>
      <c r="DD112" t="s">
        <v>1420</v>
      </c>
      <c r="DF112" t="s">
        <v>220</v>
      </c>
      <c r="DG112">
        <v>451001</v>
      </c>
      <c r="DL112">
        <v>0</v>
      </c>
      <c r="DN112">
        <v>0</v>
      </c>
      <c r="DP112" t="s">
        <v>1421</v>
      </c>
      <c r="DQ112">
        <v>1003370</v>
      </c>
      <c r="DR112" t="s">
        <v>223</v>
      </c>
      <c r="DS112">
        <v>12401.8</v>
      </c>
      <c r="DT112" s="1">
        <v>45455</v>
      </c>
      <c r="DU112" t="s">
        <v>1422</v>
      </c>
      <c r="DV112">
        <v>0</v>
      </c>
      <c r="EQ112" t="s">
        <v>1423</v>
      </c>
      <c r="ER112" s="1">
        <v>45420</v>
      </c>
      <c r="ES112">
        <v>6000</v>
      </c>
      <c r="ET112">
        <v>547033</v>
      </c>
      <c r="EU112">
        <v>0</v>
      </c>
      <c r="EV112">
        <v>251218</v>
      </c>
      <c r="EW112" t="s">
        <v>1424</v>
      </c>
      <c r="EX112">
        <v>0</v>
      </c>
      <c r="EY112" t="s">
        <v>226</v>
      </c>
      <c r="EZ112" t="s">
        <v>226</v>
      </c>
      <c r="FA112" t="s">
        <v>226</v>
      </c>
      <c r="FB112" t="s">
        <v>226</v>
      </c>
      <c r="FC112" t="s">
        <v>202</v>
      </c>
      <c r="FD112" t="s">
        <v>202</v>
      </c>
      <c r="FE112" t="s">
        <v>202</v>
      </c>
      <c r="FF112" t="s">
        <v>202</v>
      </c>
      <c r="FG112" t="s">
        <v>202</v>
      </c>
      <c r="FH112" t="s">
        <v>202</v>
      </c>
      <c r="FI112" t="s">
        <v>202</v>
      </c>
      <c r="FJ112" t="s">
        <v>202</v>
      </c>
      <c r="FK112" t="s">
        <v>202</v>
      </c>
      <c r="FL112" t="s">
        <v>202</v>
      </c>
      <c r="FM112" t="s">
        <v>202</v>
      </c>
      <c r="FN112" t="s">
        <v>202</v>
      </c>
      <c r="FO112">
        <v>45009</v>
      </c>
      <c r="FP112">
        <v>-9</v>
      </c>
      <c r="FQ112">
        <v>0</v>
      </c>
      <c r="FR112">
        <v>4812</v>
      </c>
      <c r="FS112">
        <v>0</v>
      </c>
      <c r="FT112">
        <v>0</v>
      </c>
      <c r="FW112">
        <v>0</v>
      </c>
      <c r="FX112">
        <v>0</v>
      </c>
      <c r="FY112">
        <v>0</v>
      </c>
      <c r="GA112">
        <v>-1003</v>
      </c>
    </row>
    <row r="113" spans="1:183" x14ac:dyDescent="0.3">
      <c r="A113">
        <v>11131</v>
      </c>
      <c r="B113">
        <v>167</v>
      </c>
      <c r="C113" t="s">
        <v>1281</v>
      </c>
      <c r="D113" t="s">
        <v>1281</v>
      </c>
      <c r="E113" t="s">
        <v>1425</v>
      </c>
      <c r="F113">
        <v>2457223039</v>
      </c>
      <c r="G113">
        <v>2457223039</v>
      </c>
      <c r="H113" t="s">
        <v>1426</v>
      </c>
      <c r="I113" t="s">
        <v>198</v>
      </c>
      <c r="J113" t="s">
        <v>199</v>
      </c>
      <c r="L113" t="s">
        <v>260</v>
      </c>
      <c r="O113">
        <v>8889305116</v>
      </c>
      <c r="P113" t="s">
        <v>1427</v>
      </c>
      <c r="Q113" s="1">
        <v>45455</v>
      </c>
      <c r="R113" s="1">
        <v>45455</v>
      </c>
      <c r="S113" s="1">
        <v>45455</v>
      </c>
      <c r="U113" t="s">
        <v>1427</v>
      </c>
      <c r="W113" t="s">
        <v>202</v>
      </c>
      <c r="AB113" t="s">
        <v>1428</v>
      </c>
      <c r="AD113" t="s">
        <v>310</v>
      </c>
      <c r="AE113">
        <v>4763</v>
      </c>
      <c r="AF113" t="s">
        <v>355</v>
      </c>
      <c r="AG113" t="s">
        <v>232</v>
      </c>
      <c r="AH113" t="s">
        <v>207</v>
      </c>
      <c r="AI113">
        <v>434883.62790700002</v>
      </c>
      <c r="AJ113">
        <v>561000</v>
      </c>
      <c r="AK113">
        <v>29</v>
      </c>
      <c r="AL113">
        <v>10000</v>
      </c>
      <c r="AM113">
        <v>0</v>
      </c>
      <c r="AN113">
        <v>0</v>
      </c>
      <c r="AO113">
        <v>2100</v>
      </c>
      <c r="AP113">
        <v>0</v>
      </c>
      <c r="AQ113">
        <v>15000</v>
      </c>
      <c r="AR113">
        <v>0</v>
      </c>
      <c r="AS113">
        <v>0</v>
      </c>
      <c r="AT113">
        <v>0</v>
      </c>
      <c r="AU113">
        <v>0</v>
      </c>
      <c r="AV113">
        <v>5000</v>
      </c>
      <c r="AW113">
        <v>0</v>
      </c>
      <c r="AX113">
        <v>0</v>
      </c>
      <c r="AY113">
        <v>32100</v>
      </c>
      <c r="AZ113">
        <v>528900</v>
      </c>
      <c r="BA113">
        <v>34500</v>
      </c>
      <c r="BB113">
        <v>0</v>
      </c>
      <c r="BC113">
        <v>0</v>
      </c>
      <c r="BD113">
        <v>53351</v>
      </c>
      <c r="BE113" t="s">
        <v>234</v>
      </c>
      <c r="BF113">
        <v>8744</v>
      </c>
      <c r="BG113">
        <v>2875</v>
      </c>
      <c r="BH113" t="s">
        <v>209</v>
      </c>
      <c r="BI113">
        <v>23921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500</v>
      </c>
      <c r="BT113">
        <v>0</v>
      </c>
      <c r="BU113">
        <v>0</v>
      </c>
      <c r="BV113">
        <v>0</v>
      </c>
      <c r="BW113">
        <v>0</v>
      </c>
      <c r="BX113">
        <v>652791</v>
      </c>
      <c r="BY113">
        <v>0</v>
      </c>
      <c r="BZ113">
        <v>1650</v>
      </c>
      <c r="CA113">
        <v>0</v>
      </c>
      <c r="CB113">
        <v>153000</v>
      </c>
      <c r="CC113">
        <v>50000</v>
      </c>
      <c r="CD113">
        <v>0</v>
      </c>
      <c r="CE113">
        <v>154650</v>
      </c>
      <c r="CF113">
        <v>0</v>
      </c>
      <c r="CG113">
        <v>0</v>
      </c>
      <c r="CH113">
        <v>500000</v>
      </c>
      <c r="CJ113" t="s">
        <v>210</v>
      </c>
      <c r="CL113" t="s">
        <v>211</v>
      </c>
      <c r="CM113">
        <v>0</v>
      </c>
      <c r="CN113">
        <v>0</v>
      </c>
      <c r="CO113">
        <v>0</v>
      </c>
      <c r="CP113">
        <v>0</v>
      </c>
      <c r="CU113">
        <v>-1859</v>
      </c>
      <c r="CV113">
        <v>1782</v>
      </c>
      <c r="CW113" t="s">
        <v>1285</v>
      </c>
      <c r="CX113">
        <v>702</v>
      </c>
      <c r="CY113" t="s">
        <v>492</v>
      </c>
      <c r="CZ113" t="s">
        <v>217</v>
      </c>
      <c r="DB113" t="s">
        <v>1429</v>
      </c>
      <c r="DD113" t="s">
        <v>1430</v>
      </c>
      <c r="DF113" t="s">
        <v>220</v>
      </c>
      <c r="DG113">
        <v>451332</v>
      </c>
      <c r="DL113">
        <v>0</v>
      </c>
      <c r="DN113">
        <v>0</v>
      </c>
      <c r="DP113" t="s">
        <v>1431</v>
      </c>
      <c r="DQ113">
        <v>4252605</v>
      </c>
      <c r="DR113" t="s">
        <v>223</v>
      </c>
      <c r="DS113">
        <v>8743.7999999999993</v>
      </c>
      <c r="DT113" s="1">
        <v>45455</v>
      </c>
      <c r="DU113" t="s">
        <v>1432</v>
      </c>
      <c r="DV113">
        <v>0</v>
      </c>
      <c r="EQ113" t="s">
        <v>1433</v>
      </c>
      <c r="ER113" s="1">
        <v>45418</v>
      </c>
      <c r="ES113">
        <v>3000</v>
      </c>
      <c r="ET113">
        <v>404981.86</v>
      </c>
      <c r="EU113">
        <v>5426.4</v>
      </c>
      <c r="EV113">
        <v>251219</v>
      </c>
      <c r="EW113" t="s">
        <v>1434</v>
      </c>
      <c r="EX113">
        <v>0</v>
      </c>
      <c r="EY113" t="s">
        <v>226</v>
      </c>
      <c r="EZ113" t="s">
        <v>226</v>
      </c>
      <c r="FA113" t="s">
        <v>226</v>
      </c>
      <c r="FB113" t="s">
        <v>226</v>
      </c>
      <c r="FC113" t="s">
        <v>202</v>
      </c>
      <c r="FD113" t="s">
        <v>202</v>
      </c>
      <c r="FE113" t="s">
        <v>202</v>
      </c>
      <c r="FF113" t="s">
        <v>202</v>
      </c>
      <c r="FG113" t="s">
        <v>202</v>
      </c>
      <c r="FH113" t="s">
        <v>202</v>
      </c>
      <c r="FI113" t="s">
        <v>202</v>
      </c>
      <c r="FJ113" t="s">
        <v>202</v>
      </c>
      <c r="FK113" t="s">
        <v>202</v>
      </c>
      <c r="FL113" t="s">
        <v>202</v>
      </c>
      <c r="FM113" t="s">
        <v>202</v>
      </c>
      <c r="FN113" t="s">
        <v>202</v>
      </c>
      <c r="FO113">
        <v>31497</v>
      </c>
      <c r="FP113">
        <v>3003</v>
      </c>
      <c r="FQ113">
        <v>0</v>
      </c>
      <c r="FR113">
        <v>4763</v>
      </c>
      <c r="FS113">
        <v>0</v>
      </c>
      <c r="FT113">
        <v>0</v>
      </c>
      <c r="FW113">
        <v>0</v>
      </c>
      <c r="FX113">
        <v>0</v>
      </c>
      <c r="FY113">
        <v>0</v>
      </c>
      <c r="GA113">
        <v>55</v>
      </c>
    </row>
    <row r="114" spans="1:183" x14ac:dyDescent="0.3">
      <c r="A114">
        <v>11134</v>
      </c>
      <c r="B114">
        <v>168</v>
      </c>
      <c r="C114" t="s">
        <v>1281</v>
      </c>
      <c r="D114" t="s">
        <v>1281</v>
      </c>
      <c r="E114" t="s">
        <v>1435</v>
      </c>
      <c r="F114">
        <v>2457218713</v>
      </c>
      <c r="G114">
        <v>2457218713</v>
      </c>
      <c r="H114" t="s">
        <v>1436</v>
      </c>
      <c r="I114" t="s">
        <v>198</v>
      </c>
      <c r="J114" t="s">
        <v>199</v>
      </c>
      <c r="L114" t="s">
        <v>260</v>
      </c>
      <c r="O114">
        <v>8889232960</v>
      </c>
      <c r="P114" t="s">
        <v>1437</v>
      </c>
      <c r="Q114" s="1">
        <v>45456</v>
      </c>
      <c r="R114" s="1">
        <v>45456</v>
      </c>
      <c r="S114" s="1">
        <v>45456</v>
      </c>
      <c r="U114" t="s">
        <v>1437</v>
      </c>
      <c r="W114" t="s">
        <v>202</v>
      </c>
      <c r="AB114" t="s">
        <v>1438</v>
      </c>
      <c r="AD114" t="s">
        <v>310</v>
      </c>
      <c r="AE114">
        <v>4763</v>
      </c>
      <c r="AF114" t="s">
        <v>355</v>
      </c>
      <c r="AG114" t="s">
        <v>232</v>
      </c>
      <c r="AH114" t="s">
        <v>356</v>
      </c>
      <c r="AI114">
        <v>434883.62790700002</v>
      </c>
      <c r="AJ114">
        <v>561000</v>
      </c>
      <c r="AK114">
        <v>29</v>
      </c>
      <c r="AL114">
        <v>10000</v>
      </c>
      <c r="AM114">
        <v>0</v>
      </c>
      <c r="AN114">
        <v>0</v>
      </c>
      <c r="AO114">
        <v>3100</v>
      </c>
      <c r="AP114">
        <v>5000</v>
      </c>
      <c r="AQ114">
        <v>15000</v>
      </c>
      <c r="AR114">
        <v>0</v>
      </c>
      <c r="AS114">
        <v>0</v>
      </c>
      <c r="AT114">
        <v>0</v>
      </c>
      <c r="AU114">
        <v>0</v>
      </c>
      <c r="AV114">
        <v>5000</v>
      </c>
      <c r="AW114">
        <v>0</v>
      </c>
      <c r="AX114">
        <v>0</v>
      </c>
      <c r="AY114">
        <v>38100</v>
      </c>
      <c r="AZ114">
        <v>522900</v>
      </c>
      <c r="BA114">
        <v>30000</v>
      </c>
      <c r="BB114">
        <v>0</v>
      </c>
      <c r="BC114">
        <v>0</v>
      </c>
      <c r="BD114">
        <v>51000</v>
      </c>
      <c r="BE114" t="s">
        <v>234</v>
      </c>
      <c r="BF114">
        <v>8744</v>
      </c>
      <c r="BG114">
        <v>2726</v>
      </c>
      <c r="BH114" t="s">
        <v>209</v>
      </c>
      <c r="BI114">
        <v>24130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500</v>
      </c>
      <c r="BT114">
        <v>0</v>
      </c>
      <c r="BU114">
        <v>0</v>
      </c>
      <c r="BV114">
        <v>0</v>
      </c>
      <c r="BW114">
        <v>0</v>
      </c>
      <c r="BX114">
        <v>640000</v>
      </c>
      <c r="BY114">
        <v>0</v>
      </c>
      <c r="BZ114">
        <v>102905</v>
      </c>
      <c r="CA114">
        <v>0</v>
      </c>
      <c r="CB114">
        <v>849</v>
      </c>
      <c r="CC114">
        <v>0</v>
      </c>
      <c r="CD114">
        <v>0</v>
      </c>
      <c r="CE114">
        <v>103754</v>
      </c>
      <c r="CF114">
        <v>0</v>
      </c>
      <c r="CG114">
        <v>0</v>
      </c>
      <c r="CH114">
        <v>537095</v>
      </c>
      <c r="CJ114" t="s">
        <v>299</v>
      </c>
      <c r="CL114" t="s">
        <v>211</v>
      </c>
      <c r="CM114">
        <v>0</v>
      </c>
      <c r="CN114">
        <v>0</v>
      </c>
      <c r="CO114">
        <v>0</v>
      </c>
      <c r="CP114">
        <v>0</v>
      </c>
      <c r="CQ114" t="s">
        <v>1439</v>
      </c>
      <c r="CU114">
        <v>-849</v>
      </c>
      <c r="CV114">
        <v>1782</v>
      </c>
      <c r="CW114" t="s">
        <v>1285</v>
      </c>
      <c r="CX114">
        <v>702</v>
      </c>
      <c r="CY114" t="s">
        <v>492</v>
      </c>
      <c r="CZ114" t="s">
        <v>217</v>
      </c>
      <c r="DB114" t="s">
        <v>1440</v>
      </c>
      <c r="DD114" t="s">
        <v>1441</v>
      </c>
      <c r="DF114" t="s">
        <v>220</v>
      </c>
      <c r="DG114">
        <v>451001</v>
      </c>
      <c r="DL114">
        <v>0</v>
      </c>
      <c r="DN114">
        <v>0</v>
      </c>
      <c r="DP114" t="s">
        <v>1442</v>
      </c>
      <c r="DQ114">
        <v>4249978</v>
      </c>
      <c r="DR114" t="s">
        <v>223</v>
      </c>
      <c r="DS114">
        <v>8743.7999999999993</v>
      </c>
      <c r="DT114" s="1">
        <v>45456</v>
      </c>
      <c r="DU114" t="s">
        <v>1443</v>
      </c>
      <c r="DV114">
        <v>0</v>
      </c>
      <c r="DW114">
        <v>1.5</v>
      </c>
      <c r="DX114">
        <v>8056.43</v>
      </c>
      <c r="DY114">
        <v>1450.16</v>
      </c>
      <c r="DZ114">
        <v>9506.59</v>
      </c>
      <c r="EC114">
        <v>0</v>
      </c>
      <c r="EQ114" t="s">
        <v>1444</v>
      </c>
      <c r="ER114" s="1">
        <v>45412</v>
      </c>
      <c r="ES114">
        <v>3000</v>
      </c>
      <c r="ET114">
        <v>404981.86</v>
      </c>
      <c r="EU114">
        <v>5426.4</v>
      </c>
      <c r="EV114">
        <v>251173</v>
      </c>
      <c r="EW114" t="s">
        <v>1445</v>
      </c>
      <c r="EX114">
        <v>0</v>
      </c>
      <c r="EY114" t="s">
        <v>226</v>
      </c>
      <c r="EZ114" t="s">
        <v>226</v>
      </c>
      <c r="FA114" t="s">
        <v>226</v>
      </c>
      <c r="FB114" t="s">
        <v>226</v>
      </c>
      <c r="FC114" t="s">
        <v>202</v>
      </c>
      <c r="FD114" t="s">
        <v>202</v>
      </c>
      <c r="FE114" t="s">
        <v>202</v>
      </c>
      <c r="FF114" t="s">
        <v>202</v>
      </c>
      <c r="FG114" t="s">
        <v>202</v>
      </c>
      <c r="FH114" t="s">
        <v>202</v>
      </c>
      <c r="FI114" t="s">
        <v>202</v>
      </c>
      <c r="FJ114" t="s">
        <v>202</v>
      </c>
      <c r="FK114" t="s">
        <v>202</v>
      </c>
      <c r="FL114" t="s">
        <v>202</v>
      </c>
      <c r="FM114" t="s">
        <v>202</v>
      </c>
      <c r="FN114" t="s">
        <v>202</v>
      </c>
      <c r="FO114">
        <v>30846</v>
      </c>
      <c r="FP114">
        <v>-846</v>
      </c>
      <c r="FQ114">
        <v>0</v>
      </c>
      <c r="FR114">
        <v>4763</v>
      </c>
      <c r="FS114">
        <v>0</v>
      </c>
      <c r="FT114">
        <v>0</v>
      </c>
      <c r="FW114">
        <v>0</v>
      </c>
      <c r="FX114">
        <v>0</v>
      </c>
      <c r="FY114">
        <v>0</v>
      </c>
      <c r="GA114">
        <v>0</v>
      </c>
    </row>
    <row r="115" spans="1:183" x14ac:dyDescent="0.3">
      <c r="A115">
        <v>11136</v>
      </c>
      <c r="B115">
        <v>169</v>
      </c>
      <c r="C115" t="s">
        <v>1281</v>
      </c>
      <c r="D115" t="s">
        <v>1281</v>
      </c>
      <c r="E115" t="s">
        <v>1446</v>
      </c>
      <c r="F115">
        <v>2457243347</v>
      </c>
      <c r="G115">
        <v>2457243347</v>
      </c>
      <c r="H115" t="s">
        <v>1447</v>
      </c>
      <c r="I115" t="s">
        <v>198</v>
      </c>
      <c r="J115" t="s">
        <v>199</v>
      </c>
      <c r="L115" t="s">
        <v>260</v>
      </c>
      <c r="O115">
        <v>9977552003</v>
      </c>
      <c r="P115" t="s">
        <v>1448</v>
      </c>
      <c r="Q115" s="1">
        <v>45456</v>
      </c>
      <c r="R115" s="1">
        <v>45456</v>
      </c>
      <c r="S115" s="1">
        <v>45456</v>
      </c>
      <c r="U115" t="s">
        <v>1448</v>
      </c>
      <c r="W115" t="s">
        <v>202</v>
      </c>
      <c r="AB115">
        <v>504318</v>
      </c>
      <c r="AD115" t="s">
        <v>899</v>
      </c>
      <c r="AE115">
        <v>4701</v>
      </c>
      <c r="AF115" t="s">
        <v>900</v>
      </c>
      <c r="AG115" t="s">
        <v>232</v>
      </c>
      <c r="AH115" t="s">
        <v>1261</v>
      </c>
      <c r="AI115">
        <v>426744.19379799999</v>
      </c>
      <c r="AJ115">
        <v>550500</v>
      </c>
      <c r="AK115">
        <v>29</v>
      </c>
      <c r="AL115">
        <v>18000</v>
      </c>
      <c r="AM115">
        <v>0</v>
      </c>
      <c r="AN115">
        <v>0</v>
      </c>
      <c r="AO115">
        <v>3100</v>
      </c>
      <c r="AP115">
        <v>10000</v>
      </c>
      <c r="AQ115">
        <v>17000</v>
      </c>
      <c r="AR115">
        <v>0</v>
      </c>
      <c r="AS115">
        <v>0</v>
      </c>
      <c r="AT115">
        <v>0</v>
      </c>
      <c r="AU115">
        <v>0</v>
      </c>
      <c r="AV115">
        <v>9700</v>
      </c>
      <c r="AW115">
        <v>0</v>
      </c>
      <c r="AX115">
        <v>0</v>
      </c>
      <c r="AY115">
        <v>57800</v>
      </c>
      <c r="AZ115">
        <v>492700</v>
      </c>
      <c r="BA115">
        <v>30700</v>
      </c>
      <c r="BB115">
        <v>0</v>
      </c>
      <c r="BC115">
        <v>0</v>
      </c>
      <c r="BD115">
        <v>51711</v>
      </c>
      <c r="BE115" t="s">
        <v>234</v>
      </c>
      <c r="BF115">
        <v>8579</v>
      </c>
      <c r="BG115">
        <v>2667</v>
      </c>
      <c r="BH115" t="s">
        <v>209</v>
      </c>
      <c r="BI115">
        <v>19082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500</v>
      </c>
      <c r="BT115">
        <v>0</v>
      </c>
      <c r="BU115">
        <v>0</v>
      </c>
      <c r="BV115">
        <v>0</v>
      </c>
      <c r="BW115">
        <v>0</v>
      </c>
      <c r="BX115">
        <v>605939</v>
      </c>
      <c r="BY115">
        <v>0</v>
      </c>
      <c r="BZ115">
        <v>199900</v>
      </c>
      <c r="CA115">
        <v>0</v>
      </c>
      <c r="CB115">
        <v>10000</v>
      </c>
      <c r="CC115">
        <v>0</v>
      </c>
      <c r="CD115">
        <v>0</v>
      </c>
      <c r="CE115">
        <v>209900</v>
      </c>
      <c r="CF115">
        <v>0</v>
      </c>
      <c r="CG115">
        <v>0</v>
      </c>
      <c r="CH115">
        <v>390000</v>
      </c>
      <c r="CJ115" t="s">
        <v>210</v>
      </c>
      <c r="CL115" t="s">
        <v>211</v>
      </c>
      <c r="CM115">
        <v>0</v>
      </c>
      <c r="CN115">
        <v>0</v>
      </c>
      <c r="CO115">
        <v>0</v>
      </c>
      <c r="CP115">
        <v>0</v>
      </c>
      <c r="CQ115" t="s">
        <v>1449</v>
      </c>
      <c r="CT115" t="s">
        <v>1450</v>
      </c>
      <c r="CU115">
        <v>6039</v>
      </c>
      <c r="CV115">
        <v>702</v>
      </c>
      <c r="CW115" t="s">
        <v>492</v>
      </c>
      <c r="CX115">
        <v>702</v>
      </c>
      <c r="CY115" t="s">
        <v>492</v>
      </c>
      <c r="CZ115" t="s">
        <v>217</v>
      </c>
      <c r="DB115" t="s">
        <v>1451</v>
      </c>
      <c r="DD115" t="s">
        <v>1452</v>
      </c>
      <c r="DF115" t="s">
        <v>220</v>
      </c>
      <c r="DG115">
        <v>451001</v>
      </c>
      <c r="DL115">
        <v>0</v>
      </c>
      <c r="DN115">
        <v>0</v>
      </c>
      <c r="DP115" t="s">
        <v>1453</v>
      </c>
      <c r="DQ115" t="s">
        <v>1454</v>
      </c>
      <c r="DR115" t="s">
        <v>223</v>
      </c>
      <c r="DS115">
        <v>8578.6</v>
      </c>
      <c r="DT115" s="1">
        <v>45456</v>
      </c>
      <c r="DU115" t="s">
        <v>1455</v>
      </c>
      <c r="DV115">
        <v>0</v>
      </c>
      <c r="DW115">
        <v>1.5</v>
      </c>
      <c r="DX115">
        <v>5850</v>
      </c>
      <c r="DY115">
        <v>1053</v>
      </c>
      <c r="DZ115">
        <v>6903</v>
      </c>
      <c r="EC115">
        <v>0</v>
      </c>
      <c r="EQ115" t="s">
        <v>1456</v>
      </c>
      <c r="ER115" s="1">
        <v>45429</v>
      </c>
      <c r="ES115">
        <v>4500</v>
      </c>
      <c r="ET115">
        <v>390616.94</v>
      </c>
      <c r="EU115">
        <v>10852.7</v>
      </c>
      <c r="EV115">
        <v>251374</v>
      </c>
      <c r="EW115" t="s">
        <v>1457</v>
      </c>
      <c r="EX115">
        <v>0</v>
      </c>
      <c r="EY115" t="s">
        <v>226</v>
      </c>
      <c r="EZ115" t="s">
        <v>226</v>
      </c>
      <c r="FA115" t="s">
        <v>226</v>
      </c>
      <c r="FB115" t="s">
        <v>226</v>
      </c>
      <c r="FC115" t="s">
        <v>202</v>
      </c>
      <c r="FD115" t="s">
        <v>202</v>
      </c>
      <c r="FE115" t="s">
        <v>202</v>
      </c>
      <c r="FF115" t="s">
        <v>202</v>
      </c>
      <c r="FG115" t="s">
        <v>202</v>
      </c>
      <c r="FH115" t="s">
        <v>202</v>
      </c>
      <c r="FI115" t="s">
        <v>202</v>
      </c>
      <c r="FJ115" t="s">
        <v>202</v>
      </c>
      <c r="FK115" t="s">
        <v>202</v>
      </c>
      <c r="FL115" t="s">
        <v>202</v>
      </c>
      <c r="FM115" t="s">
        <v>202</v>
      </c>
      <c r="FN115" t="s">
        <v>202</v>
      </c>
      <c r="FO115">
        <v>30700</v>
      </c>
      <c r="FP115">
        <v>0</v>
      </c>
      <c r="FQ115">
        <v>0</v>
      </c>
      <c r="FR115">
        <v>4701</v>
      </c>
      <c r="FS115">
        <v>0</v>
      </c>
      <c r="FT115">
        <v>0</v>
      </c>
      <c r="FW115">
        <v>0</v>
      </c>
      <c r="FX115">
        <v>0</v>
      </c>
      <c r="FY115">
        <v>0</v>
      </c>
      <c r="GA115">
        <v>6275</v>
      </c>
    </row>
    <row r="116" spans="1:183" x14ac:dyDescent="0.3">
      <c r="A116">
        <v>11158</v>
      </c>
      <c r="B116">
        <v>170</v>
      </c>
      <c r="C116" t="s">
        <v>1281</v>
      </c>
      <c r="D116" t="s">
        <v>1281</v>
      </c>
      <c r="E116" t="s">
        <v>1458</v>
      </c>
      <c r="F116">
        <v>2457286487</v>
      </c>
      <c r="G116">
        <v>2457286487</v>
      </c>
      <c r="H116" t="s">
        <v>1459</v>
      </c>
      <c r="I116" t="s">
        <v>198</v>
      </c>
      <c r="J116" t="s">
        <v>199</v>
      </c>
      <c r="L116" t="s">
        <v>393</v>
      </c>
      <c r="O116">
        <v>8889762377</v>
      </c>
      <c r="P116" t="s">
        <v>1460</v>
      </c>
      <c r="Q116" s="1">
        <v>45460</v>
      </c>
      <c r="R116" s="1">
        <v>45460</v>
      </c>
      <c r="S116" s="1">
        <v>45459</v>
      </c>
      <c r="U116" t="s">
        <v>1460</v>
      </c>
      <c r="W116" t="s">
        <v>202</v>
      </c>
      <c r="AB116" t="s">
        <v>1461</v>
      </c>
      <c r="AD116" t="s">
        <v>310</v>
      </c>
      <c r="AE116">
        <v>4763</v>
      </c>
      <c r="AF116" t="s">
        <v>355</v>
      </c>
      <c r="AG116" t="s">
        <v>232</v>
      </c>
      <c r="AH116" t="s">
        <v>207</v>
      </c>
      <c r="AI116">
        <v>434883.62790700002</v>
      </c>
      <c r="AJ116">
        <v>561000</v>
      </c>
      <c r="AK116">
        <v>29</v>
      </c>
      <c r="AL116">
        <v>10000</v>
      </c>
      <c r="AM116">
        <v>0</v>
      </c>
      <c r="AN116">
        <v>0</v>
      </c>
      <c r="AO116">
        <v>3100</v>
      </c>
      <c r="AP116">
        <v>0</v>
      </c>
      <c r="AQ116">
        <v>15000</v>
      </c>
      <c r="AR116">
        <v>0</v>
      </c>
      <c r="AS116">
        <v>0</v>
      </c>
      <c r="AT116">
        <v>0</v>
      </c>
      <c r="AU116">
        <v>0</v>
      </c>
      <c r="AV116">
        <v>13590</v>
      </c>
      <c r="AW116">
        <v>0</v>
      </c>
      <c r="AX116">
        <v>0</v>
      </c>
      <c r="AY116">
        <v>41690</v>
      </c>
      <c r="AZ116">
        <v>519310</v>
      </c>
      <c r="BA116">
        <v>27690</v>
      </c>
      <c r="BB116">
        <v>0</v>
      </c>
      <c r="BC116">
        <v>0</v>
      </c>
      <c r="BD116">
        <v>53351</v>
      </c>
      <c r="BE116" t="s">
        <v>234</v>
      </c>
      <c r="BF116">
        <v>8744</v>
      </c>
      <c r="BG116">
        <v>0</v>
      </c>
      <c r="BH116" t="s">
        <v>209</v>
      </c>
      <c r="BI116">
        <v>24520</v>
      </c>
      <c r="BJ116">
        <v>885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500</v>
      </c>
      <c r="BT116">
        <v>0</v>
      </c>
      <c r="BU116">
        <v>0</v>
      </c>
      <c r="BV116">
        <v>0</v>
      </c>
      <c r="BW116">
        <v>0</v>
      </c>
      <c r="BX116">
        <v>635000</v>
      </c>
      <c r="BY116">
        <v>0</v>
      </c>
      <c r="BZ116">
        <v>0</v>
      </c>
      <c r="CA116">
        <v>0</v>
      </c>
      <c r="CB116">
        <v>136000</v>
      </c>
      <c r="CC116">
        <v>0</v>
      </c>
      <c r="CD116">
        <v>0</v>
      </c>
      <c r="CE116">
        <v>136000</v>
      </c>
      <c r="CF116">
        <v>0</v>
      </c>
      <c r="CG116">
        <v>0</v>
      </c>
      <c r="CH116">
        <v>497000</v>
      </c>
      <c r="CJ116" t="s">
        <v>522</v>
      </c>
      <c r="CL116" t="s">
        <v>211</v>
      </c>
      <c r="CM116">
        <v>0</v>
      </c>
      <c r="CN116">
        <v>0</v>
      </c>
      <c r="CO116">
        <v>0</v>
      </c>
      <c r="CP116">
        <v>0</v>
      </c>
      <c r="CU116">
        <v>2000</v>
      </c>
      <c r="CV116">
        <v>2257</v>
      </c>
      <c r="CW116" t="s">
        <v>1462</v>
      </c>
      <c r="CX116">
        <v>702</v>
      </c>
      <c r="CY116" t="s">
        <v>492</v>
      </c>
      <c r="CZ116" t="s">
        <v>217</v>
      </c>
      <c r="DB116" t="s">
        <v>1463</v>
      </c>
      <c r="DD116" t="s">
        <v>1464</v>
      </c>
      <c r="DF116" t="s">
        <v>220</v>
      </c>
      <c r="DG116">
        <v>451551</v>
      </c>
      <c r="DL116">
        <v>0</v>
      </c>
      <c r="DN116">
        <v>0</v>
      </c>
      <c r="DP116" t="s">
        <v>1465</v>
      </c>
      <c r="DQ116">
        <v>4256539</v>
      </c>
      <c r="DR116" t="s">
        <v>223</v>
      </c>
      <c r="DS116">
        <v>8743.7999999999993</v>
      </c>
      <c r="DT116" s="1">
        <v>45460</v>
      </c>
      <c r="DU116" t="s">
        <v>1466</v>
      </c>
      <c r="DV116">
        <v>0</v>
      </c>
      <c r="DW116">
        <v>1</v>
      </c>
      <c r="DX116">
        <v>4970</v>
      </c>
      <c r="DY116">
        <v>894.6</v>
      </c>
      <c r="DZ116">
        <v>5864.6</v>
      </c>
      <c r="EC116">
        <v>0</v>
      </c>
      <c r="EQ116" t="s">
        <v>1467</v>
      </c>
      <c r="ER116" s="1">
        <v>45427</v>
      </c>
      <c r="ES116">
        <v>3000</v>
      </c>
      <c r="ET116">
        <v>404981.86</v>
      </c>
      <c r="EU116">
        <v>5426.4</v>
      </c>
      <c r="EV116">
        <v>251950</v>
      </c>
      <c r="EW116" t="s">
        <v>1468</v>
      </c>
      <c r="EX116">
        <v>0</v>
      </c>
      <c r="EY116" t="s">
        <v>226</v>
      </c>
      <c r="EZ116" t="s">
        <v>226</v>
      </c>
      <c r="FA116" t="s">
        <v>226</v>
      </c>
      <c r="FB116" t="s">
        <v>226</v>
      </c>
      <c r="FC116" t="s">
        <v>202</v>
      </c>
      <c r="FD116" t="s">
        <v>202</v>
      </c>
      <c r="FE116" t="s">
        <v>202</v>
      </c>
      <c r="FF116" t="s">
        <v>202</v>
      </c>
      <c r="FG116" t="s">
        <v>202</v>
      </c>
      <c r="FH116" t="s">
        <v>202</v>
      </c>
      <c r="FI116" t="s">
        <v>202</v>
      </c>
      <c r="FJ116" t="s">
        <v>202</v>
      </c>
      <c r="FK116" t="s">
        <v>202</v>
      </c>
      <c r="FL116" t="s">
        <v>202</v>
      </c>
      <c r="FM116" t="s">
        <v>202</v>
      </c>
      <c r="FN116" t="s">
        <v>202</v>
      </c>
      <c r="FO116">
        <v>27690</v>
      </c>
      <c r="FP116">
        <v>0</v>
      </c>
      <c r="FQ116">
        <v>0</v>
      </c>
      <c r="FR116">
        <v>4763</v>
      </c>
      <c r="FS116">
        <v>0</v>
      </c>
      <c r="FT116">
        <v>0</v>
      </c>
      <c r="FW116">
        <v>0</v>
      </c>
      <c r="FX116">
        <v>0</v>
      </c>
      <c r="FY116">
        <v>0</v>
      </c>
      <c r="GA116">
        <v>498115</v>
      </c>
    </row>
    <row r="117" spans="1:183" x14ac:dyDescent="0.3">
      <c r="A117">
        <v>11164</v>
      </c>
      <c r="B117">
        <v>171</v>
      </c>
      <c r="C117" t="s">
        <v>1281</v>
      </c>
      <c r="D117" t="s">
        <v>1281</v>
      </c>
      <c r="E117" t="s">
        <v>1469</v>
      </c>
      <c r="F117">
        <v>2457196333</v>
      </c>
      <c r="G117">
        <v>2457196333</v>
      </c>
      <c r="H117" t="s">
        <v>1470</v>
      </c>
      <c r="I117" t="s">
        <v>198</v>
      </c>
      <c r="J117" t="s">
        <v>199</v>
      </c>
      <c r="L117" t="s">
        <v>260</v>
      </c>
      <c r="O117">
        <v>6263936810</v>
      </c>
      <c r="P117" t="s">
        <v>1471</v>
      </c>
      <c r="Q117" s="1">
        <v>45458</v>
      </c>
      <c r="R117" s="1">
        <v>45458</v>
      </c>
      <c r="S117" s="1">
        <v>45460</v>
      </c>
      <c r="U117" t="s">
        <v>1471</v>
      </c>
      <c r="W117" t="s">
        <v>202</v>
      </c>
      <c r="AB117" t="s">
        <v>1472</v>
      </c>
      <c r="AD117" t="s">
        <v>310</v>
      </c>
      <c r="AE117">
        <v>4763</v>
      </c>
      <c r="AF117" t="s">
        <v>355</v>
      </c>
      <c r="AG117" t="s">
        <v>232</v>
      </c>
      <c r="AH117" t="s">
        <v>356</v>
      </c>
      <c r="AI117">
        <v>434883.62790700002</v>
      </c>
      <c r="AJ117">
        <v>561000</v>
      </c>
      <c r="AK117">
        <v>29</v>
      </c>
      <c r="AL117">
        <v>10000</v>
      </c>
      <c r="AM117">
        <v>0</v>
      </c>
      <c r="AN117">
        <v>0</v>
      </c>
      <c r="AO117">
        <v>3100</v>
      </c>
      <c r="AP117">
        <v>0</v>
      </c>
      <c r="AQ117">
        <v>15000</v>
      </c>
      <c r="AR117">
        <v>0</v>
      </c>
      <c r="AS117">
        <v>0</v>
      </c>
      <c r="AT117">
        <v>0</v>
      </c>
      <c r="AU117">
        <v>0</v>
      </c>
      <c r="AV117">
        <v>7221</v>
      </c>
      <c r="AW117">
        <v>0</v>
      </c>
      <c r="AX117">
        <v>0</v>
      </c>
      <c r="AY117">
        <v>35321</v>
      </c>
      <c r="AZ117">
        <v>525679</v>
      </c>
      <c r="BA117">
        <v>30000</v>
      </c>
      <c r="BB117">
        <v>0</v>
      </c>
      <c r="BC117">
        <v>0</v>
      </c>
      <c r="BD117">
        <v>53351</v>
      </c>
      <c r="BE117" t="s">
        <v>234</v>
      </c>
      <c r="BF117">
        <v>8744</v>
      </c>
      <c r="BG117">
        <v>2726</v>
      </c>
      <c r="BH117" t="s">
        <v>209</v>
      </c>
      <c r="BI117">
        <v>24000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500</v>
      </c>
      <c r="BT117">
        <v>0</v>
      </c>
      <c r="BU117">
        <v>0</v>
      </c>
      <c r="BV117">
        <v>0</v>
      </c>
      <c r="BW117">
        <v>0</v>
      </c>
      <c r="BX117">
        <v>645000</v>
      </c>
      <c r="BY117">
        <v>0</v>
      </c>
      <c r="BZ117">
        <v>95000</v>
      </c>
      <c r="CA117">
        <v>0</v>
      </c>
      <c r="CB117">
        <v>550000</v>
      </c>
      <c r="CC117">
        <v>0</v>
      </c>
      <c r="CD117">
        <v>0</v>
      </c>
      <c r="CE117">
        <v>645000</v>
      </c>
      <c r="CF117">
        <v>0</v>
      </c>
      <c r="CG117">
        <v>0</v>
      </c>
      <c r="CH117">
        <v>550000</v>
      </c>
      <c r="CJ117" t="s">
        <v>235</v>
      </c>
      <c r="CL117" t="s">
        <v>236</v>
      </c>
      <c r="CM117">
        <v>0</v>
      </c>
      <c r="CN117">
        <v>0</v>
      </c>
      <c r="CO117">
        <v>0</v>
      </c>
      <c r="CP117">
        <v>0</v>
      </c>
      <c r="CU117">
        <v>-550000</v>
      </c>
      <c r="CV117">
        <v>1782</v>
      </c>
      <c r="CW117" t="s">
        <v>1285</v>
      </c>
      <c r="CX117">
        <v>1782</v>
      </c>
      <c r="CY117" t="s">
        <v>1285</v>
      </c>
      <c r="CZ117" t="s">
        <v>217</v>
      </c>
      <c r="DB117" t="s">
        <v>1473</v>
      </c>
      <c r="DD117" t="s">
        <v>1474</v>
      </c>
      <c r="DF117" t="s">
        <v>220</v>
      </c>
      <c r="DG117">
        <v>451001</v>
      </c>
      <c r="DL117">
        <v>0</v>
      </c>
      <c r="DN117">
        <v>0</v>
      </c>
      <c r="DP117" t="s">
        <v>1475</v>
      </c>
      <c r="DQ117">
        <v>4266309</v>
      </c>
      <c r="DR117" t="s">
        <v>223</v>
      </c>
      <c r="DS117">
        <v>8743.7999999999993</v>
      </c>
      <c r="DT117" s="1">
        <v>45460</v>
      </c>
      <c r="DU117" t="s">
        <v>1476</v>
      </c>
      <c r="DV117">
        <v>0</v>
      </c>
      <c r="DW117">
        <v>0.97</v>
      </c>
      <c r="DX117">
        <v>5335</v>
      </c>
      <c r="DY117">
        <v>960.3</v>
      </c>
      <c r="DZ117">
        <v>6295.3</v>
      </c>
      <c r="EC117">
        <v>0</v>
      </c>
      <c r="EQ117" t="s">
        <v>1477</v>
      </c>
      <c r="ER117" s="1">
        <v>45446</v>
      </c>
      <c r="ES117">
        <v>3000</v>
      </c>
      <c r="ET117">
        <v>404981.86</v>
      </c>
      <c r="EU117">
        <v>5426.4</v>
      </c>
      <c r="EV117">
        <v>250982</v>
      </c>
      <c r="EW117" t="s">
        <v>1478</v>
      </c>
      <c r="EX117">
        <v>0</v>
      </c>
      <c r="EY117" t="s">
        <v>226</v>
      </c>
      <c r="EZ117" t="s">
        <v>226</v>
      </c>
      <c r="FA117" t="s">
        <v>226</v>
      </c>
      <c r="FB117" t="s">
        <v>226</v>
      </c>
      <c r="FC117" t="s">
        <v>202</v>
      </c>
      <c r="FD117" t="s">
        <v>202</v>
      </c>
      <c r="FE117" t="s">
        <v>202</v>
      </c>
      <c r="FF117" t="s">
        <v>202</v>
      </c>
      <c r="FG117" t="s">
        <v>202</v>
      </c>
      <c r="FH117" t="s">
        <v>202</v>
      </c>
      <c r="FI117" t="s">
        <v>202</v>
      </c>
      <c r="FJ117" t="s">
        <v>202</v>
      </c>
      <c r="FK117" t="s">
        <v>202</v>
      </c>
      <c r="FL117" t="s">
        <v>202</v>
      </c>
      <c r="FM117" t="s">
        <v>202</v>
      </c>
      <c r="FN117" t="s">
        <v>202</v>
      </c>
      <c r="FO117">
        <v>29998</v>
      </c>
      <c r="FP117">
        <v>2</v>
      </c>
      <c r="FQ117">
        <v>0</v>
      </c>
      <c r="FR117">
        <v>4763</v>
      </c>
      <c r="FS117">
        <v>0</v>
      </c>
      <c r="FT117">
        <v>0</v>
      </c>
      <c r="FW117">
        <v>0</v>
      </c>
      <c r="FX117">
        <v>0</v>
      </c>
      <c r="FY117">
        <v>0</v>
      </c>
      <c r="GA117">
        <v>0</v>
      </c>
    </row>
    <row r="118" spans="1:183" x14ac:dyDescent="0.3">
      <c r="A118">
        <v>11165</v>
      </c>
      <c r="B118">
        <v>172</v>
      </c>
      <c r="C118" t="s">
        <v>1281</v>
      </c>
      <c r="D118" t="s">
        <v>1281</v>
      </c>
      <c r="E118" t="s">
        <v>1479</v>
      </c>
      <c r="F118">
        <v>2457295226</v>
      </c>
      <c r="G118">
        <v>2457295226</v>
      </c>
      <c r="H118" t="s">
        <v>1480</v>
      </c>
      <c r="I118" t="s">
        <v>198</v>
      </c>
      <c r="J118" t="s">
        <v>199</v>
      </c>
      <c r="L118" t="s">
        <v>260</v>
      </c>
      <c r="O118">
        <v>7566746205</v>
      </c>
      <c r="P118" t="s">
        <v>1481</v>
      </c>
      <c r="Q118" s="1">
        <v>45460</v>
      </c>
      <c r="R118" s="1">
        <v>45460</v>
      </c>
      <c r="S118" s="1">
        <v>45460</v>
      </c>
      <c r="U118" t="s">
        <v>1481</v>
      </c>
      <c r="W118" t="s">
        <v>202</v>
      </c>
      <c r="AB118">
        <v>809319</v>
      </c>
      <c r="AD118" t="s">
        <v>287</v>
      </c>
      <c r="AE118">
        <v>4725</v>
      </c>
      <c r="AF118" t="s">
        <v>405</v>
      </c>
      <c r="AG118" t="s">
        <v>232</v>
      </c>
      <c r="AH118" t="s">
        <v>250</v>
      </c>
      <c r="AI118">
        <v>677931.02069000003</v>
      </c>
      <c r="AJ118">
        <v>983000</v>
      </c>
      <c r="AK118">
        <v>45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5710</v>
      </c>
      <c r="AW118">
        <v>0</v>
      </c>
      <c r="AX118">
        <v>0</v>
      </c>
      <c r="AY118">
        <v>5710</v>
      </c>
      <c r="AZ118">
        <v>977290</v>
      </c>
      <c r="BA118">
        <v>28710</v>
      </c>
      <c r="BB118">
        <v>0</v>
      </c>
      <c r="BC118">
        <v>0</v>
      </c>
      <c r="BD118">
        <v>83791</v>
      </c>
      <c r="BE118" t="s">
        <v>234</v>
      </c>
      <c r="BF118">
        <v>16710</v>
      </c>
      <c r="BG118">
        <v>0</v>
      </c>
      <c r="BH118" t="s">
        <v>209</v>
      </c>
      <c r="BI118">
        <v>28000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500</v>
      </c>
      <c r="BT118">
        <v>0</v>
      </c>
      <c r="BU118">
        <v>0</v>
      </c>
      <c r="BV118">
        <v>0</v>
      </c>
      <c r="BW118">
        <v>0</v>
      </c>
      <c r="BX118">
        <v>1135001</v>
      </c>
      <c r="BY118">
        <v>0</v>
      </c>
      <c r="BZ118">
        <v>199000</v>
      </c>
      <c r="CA118">
        <v>0</v>
      </c>
      <c r="CB118">
        <v>0</v>
      </c>
      <c r="CC118">
        <v>0</v>
      </c>
      <c r="CD118">
        <v>0</v>
      </c>
      <c r="CE118">
        <v>199000</v>
      </c>
      <c r="CF118">
        <v>0</v>
      </c>
      <c r="CG118">
        <v>0</v>
      </c>
      <c r="CH118">
        <v>893665</v>
      </c>
      <c r="CJ118" t="s">
        <v>299</v>
      </c>
      <c r="CL118" t="s">
        <v>211</v>
      </c>
      <c r="CM118">
        <v>0</v>
      </c>
      <c r="CN118">
        <v>0</v>
      </c>
      <c r="CO118">
        <v>0</v>
      </c>
      <c r="CP118">
        <v>0</v>
      </c>
      <c r="CU118">
        <v>42336</v>
      </c>
      <c r="CV118">
        <v>679</v>
      </c>
      <c r="CW118" t="s">
        <v>1482</v>
      </c>
      <c r="CX118">
        <v>702</v>
      </c>
      <c r="CY118" t="s">
        <v>492</v>
      </c>
      <c r="CZ118" t="s">
        <v>217</v>
      </c>
      <c r="DB118" t="s">
        <v>1483</v>
      </c>
      <c r="DD118" t="s">
        <v>1484</v>
      </c>
      <c r="DF118" t="s">
        <v>220</v>
      </c>
      <c r="DG118">
        <v>451001</v>
      </c>
      <c r="DL118">
        <v>0</v>
      </c>
      <c r="DN118">
        <v>0</v>
      </c>
      <c r="DP118" t="s">
        <v>1485</v>
      </c>
      <c r="DQ118">
        <v>9519364</v>
      </c>
      <c r="DR118" t="s">
        <v>223</v>
      </c>
      <c r="DS118">
        <v>16708.8</v>
      </c>
      <c r="DT118" s="1">
        <v>45460</v>
      </c>
      <c r="DU118" t="s">
        <v>1486</v>
      </c>
      <c r="DV118">
        <v>0</v>
      </c>
      <c r="DW118">
        <v>1.5</v>
      </c>
      <c r="DX118">
        <v>13404.98</v>
      </c>
      <c r="DY118">
        <v>2412.9</v>
      </c>
      <c r="DZ118">
        <v>15817.88</v>
      </c>
      <c r="EC118">
        <v>0</v>
      </c>
      <c r="EQ118" t="s">
        <v>1487</v>
      </c>
      <c r="ER118" s="1">
        <v>45443</v>
      </c>
      <c r="ES118">
        <v>8500</v>
      </c>
      <c r="ET118">
        <v>632556.03</v>
      </c>
      <c r="EU118">
        <v>0</v>
      </c>
      <c r="EV118">
        <v>252014</v>
      </c>
      <c r="EW118" t="s">
        <v>1488</v>
      </c>
      <c r="EX118">
        <v>0</v>
      </c>
      <c r="EY118" t="s">
        <v>226</v>
      </c>
      <c r="EZ118" t="s">
        <v>226</v>
      </c>
      <c r="FA118" t="s">
        <v>226</v>
      </c>
      <c r="FB118" t="s">
        <v>226</v>
      </c>
      <c r="FC118" t="s">
        <v>202</v>
      </c>
      <c r="FD118" t="s">
        <v>202</v>
      </c>
      <c r="FE118" t="s">
        <v>202</v>
      </c>
      <c r="FF118" t="s">
        <v>202</v>
      </c>
      <c r="FG118" t="s">
        <v>202</v>
      </c>
      <c r="FH118" t="s">
        <v>202</v>
      </c>
      <c r="FI118" t="s">
        <v>202</v>
      </c>
      <c r="FJ118" t="s">
        <v>202</v>
      </c>
      <c r="FK118" t="s">
        <v>202</v>
      </c>
      <c r="FL118" t="s">
        <v>202</v>
      </c>
      <c r="FM118" t="s">
        <v>202</v>
      </c>
      <c r="FN118" t="s">
        <v>202</v>
      </c>
      <c r="FO118">
        <v>28709</v>
      </c>
      <c r="FP118">
        <v>1</v>
      </c>
      <c r="FQ118">
        <v>0</v>
      </c>
      <c r="FR118">
        <v>4725</v>
      </c>
      <c r="FS118">
        <v>0</v>
      </c>
      <c r="FT118">
        <v>0</v>
      </c>
      <c r="FW118">
        <v>0</v>
      </c>
      <c r="FX118">
        <v>0</v>
      </c>
      <c r="FY118">
        <v>0</v>
      </c>
      <c r="GA118">
        <v>42260</v>
      </c>
    </row>
    <row r="119" spans="1:183" x14ac:dyDescent="0.3">
      <c r="A119">
        <v>11166</v>
      </c>
      <c r="B119">
        <v>173</v>
      </c>
      <c r="C119" t="s">
        <v>1281</v>
      </c>
      <c r="D119" t="s">
        <v>1281</v>
      </c>
      <c r="E119" t="s">
        <v>1489</v>
      </c>
      <c r="F119">
        <v>2457186209</v>
      </c>
      <c r="G119">
        <v>2457186209</v>
      </c>
      <c r="H119" t="s">
        <v>1490</v>
      </c>
      <c r="I119" t="s">
        <v>198</v>
      </c>
      <c r="J119" t="s">
        <v>199</v>
      </c>
      <c r="L119" t="s">
        <v>393</v>
      </c>
      <c r="O119">
        <v>7247081842</v>
      </c>
      <c r="P119" t="s">
        <v>1491</v>
      </c>
      <c r="Q119" s="1">
        <v>45460</v>
      </c>
      <c r="R119" s="1">
        <v>45460</v>
      </c>
      <c r="S119" s="1">
        <v>45460</v>
      </c>
      <c r="U119" t="s">
        <v>1491</v>
      </c>
      <c r="W119" t="s">
        <v>202</v>
      </c>
      <c r="AB119" t="s">
        <v>1492</v>
      </c>
      <c r="AD119" t="s">
        <v>310</v>
      </c>
      <c r="AE119">
        <v>4763</v>
      </c>
      <c r="AF119" t="s">
        <v>355</v>
      </c>
      <c r="AG119" t="s">
        <v>232</v>
      </c>
      <c r="AH119" t="s">
        <v>207</v>
      </c>
      <c r="AI119">
        <v>434883.62790700002</v>
      </c>
      <c r="AJ119">
        <v>561000</v>
      </c>
      <c r="AK119">
        <v>29</v>
      </c>
      <c r="AL119">
        <v>10000</v>
      </c>
      <c r="AM119">
        <v>0</v>
      </c>
      <c r="AN119">
        <v>0</v>
      </c>
      <c r="AO119">
        <v>0</v>
      </c>
      <c r="AP119">
        <v>0</v>
      </c>
      <c r="AQ119">
        <v>15000</v>
      </c>
      <c r="AR119">
        <v>0</v>
      </c>
      <c r="AS119">
        <v>0</v>
      </c>
      <c r="AT119">
        <v>0</v>
      </c>
      <c r="AU119">
        <v>0</v>
      </c>
      <c r="AV119">
        <v>11546</v>
      </c>
      <c r="AW119">
        <v>0</v>
      </c>
      <c r="AX119">
        <v>0</v>
      </c>
      <c r="AY119">
        <v>36546</v>
      </c>
      <c r="AZ119">
        <v>524454</v>
      </c>
      <c r="BA119">
        <v>25800</v>
      </c>
      <c r="BB119">
        <v>0</v>
      </c>
      <c r="BC119">
        <v>0</v>
      </c>
      <c r="BD119">
        <v>53351</v>
      </c>
      <c r="BE119" t="s">
        <v>234</v>
      </c>
      <c r="BF119">
        <v>8744</v>
      </c>
      <c r="BG119">
        <v>2726</v>
      </c>
      <c r="BH119" t="s">
        <v>209</v>
      </c>
      <c r="BI119">
        <v>25248</v>
      </c>
      <c r="BJ119">
        <v>885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500</v>
      </c>
      <c r="BT119">
        <v>0</v>
      </c>
      <c r="BU119">
        <v>0</v>
      </c>
      <c r="BV119">
        <v>0</v>
      </c>
      <c r="BW119">
        <v>0</v>
      </c>
      <c r="BX119">
        <v>641708</v>
      </c>
      <c r="BY119">
        <v>0</v>
      </c>
      <c r="BZ119">
        <v>0</v>
      </c>
      <c r="CA119">
        <v>0</v>
      </c>
      <c r="CB119">
        <v>630854</v>
      </c>
      <c r="CC119">
        <v>39453</v>
      </c>
      <c r="CD119">
        <v>0</v>
      </c>
      <c r="CE119">
        <v>630854</v>
      </c>
      <c r="CF119">
        <v>0</v>
      </c>
      <c r="CG119">
        <v>0</v>
      </c>
      <c r="CH119">
        <v>0</v>
      </c>
      <c r="CJ119" t="s">
        <v>1158</v>
      </c>
      <c r="CL119" t="s">
        <v>236</v>
      </c>
      <c r="CM119">
        <v>0</v>
      </c>
      <c r="CN119">
        <v>0</v>
      </c>
      <c r="CO119">
        <v>0</v>
      </c>
      <c r="CP119">
        <v>0</v>
      </c>
      <c r="CU119">
        <v>10854</v>
      </c>
      <c r="CV119">
        <v>2111</v>
      </c>
      <c r="CW119" t="s">
        <v>1493</v>
      </c>
      <c r="CX119">
        <v>366</v>
      </c>
      <c r="CY119" t="s">
        <v>1310</v>
      </c>
      <c r="CZ119" t="s">
        <v>217</v>
      </c>
      <c r="DB119" t="s">
        <v>1494</v>
      </c>
      <c r="DD119" t="s">
        <v>1495</v>
      </c>
      <c r="DF119" t="s">
        <v>220</v>
      </c>
      <c r="DG119">
        <v>451551</v>
      </c>
      <c r="DL119">
        <v>0</v>
      </c>
      <c r="DN119">
        <v>0</v>
      </c>
      <c r="DP119" t="s">
        <v>1496</v>
      </c>
      <c r="DQ119">
        <v>4259363</v>
      </c>
      <c r="DR119" t="s">
        <v>223</v>
      </c>
      <c r="DS119">
        <v>8743.7999999999993</v>
      </c>
      <c r="DT119" s="1">
        <v>45460</v>
      </c>
      <c r="DU119" t="s">
        <v>1497</v>
      </c>
      <c r="DV119">
        <v>0</v>
      </c>
      <c r="EQ119" t="s">
        <v>1498</v>
      </c>
      <c r="ER119" s="1">
        <v>45434</v>
      </c>
      <c r="ES119">
        <v>3000</v>
      </c>
      <c r="ET119">
        <v>404981.86</v>
      </c>
      <c r="EU119">
        <v>5426.4</v>
      </c>
      <c r="EV119">
        <v>251594</v>
      </c>
      <c r="EW119" t="s">
        <v>1499</v>
      </c>
      <c r="EX119">
        <v>0</v>
      </c>
      <c r="EY119" t="s">
        <v>226</v>
      </c>
      <c r="EZ119" t="s">
        <v>226</v>
      </c>
      <c r="FA119" t="s">
        <v>226</v>
      </c>
      <c r="FB119" t="s">
        <v>226</v>
      </c>
      <c r="FC119" t="s">
        <v>202</v>
      </c>
      <c r="FD119" t="s">
        <v>202</v>
      </c>
      <c r="FE119" t="s">
        <v>202</v>
      </c>
      <c r="FF119" t="s">
        <v>202</v>
      </c>
      <c r="FG119" t="s">
        <v>202</v>
      </c>
      <c r="FH119" t="s">
        <v>202</v>
      </c>
      <c r="FI119" t="s">
        <v>202</v>
      </c>
      <c r="FJ119" t="s">
        <v>202</v>
      </c>
      <c r="FK119" t="s">
        <v>202</v>
      </c>
      <c r="FL119" t="s">
        <v>202</v>
      </c>
      <c r="FM119" t="s">
        <v>202</v>
      </c>
      <c r="FN119" t="s">
        <v>202</v>
      </c>
      <c r="FO119">
        <v>27200</v>
      </c>
      <c r="FP119">
        <v>-1400</v>
      </c>
      <c r="FQ119">
        <v>44.67</v>
      </c>
      <c r="FR119">
        <v>4763</v>
      </c>
      <c r="FS119">
        <v>0</v>
      </c>
      <c r="FT119">
        <v>0</v>
      </c>
      <c r="FW119">
        <v>0</v>
      </c>
      <c r="FX119">
        <v>0</v>
      </c>
      <c r="FY119">
        <v>0</v>
      </c>
      <c r="GA119">
        <v>11370</v>
      </c>
    </row>
    <row r="120" spans="1:183" x14ac:dyDescent="0.3">
      <c r="A120">
        <v>11171</v>
      </c>
      <c r="B120">
        <v>174</v>
      </c>
      <c r="C120" t="s">
        <v>1281</v>
      </c>
      <c r="D120" t="s">
        <v>1281</v>
      </c>
      <c r="E120" t="s">
        <v>1500</v>
      </c>
      <c r="F120">
        <v>2457314063</v>
      </c>
      <c r="G120">
        <v>2457314063</v>
      </c>
      <c r="H120" t="s">
        <v>1501</v>
      </c>
      <c r="I120" t="s">
        <v>198</v>
      </c>
      <c r="J120" t="s">
        <v>199</v>
      </c>
      <c r="L120" t="s">
        <v>260</v>
      </c>
      <c r="O120">
        <v>7828558022</v>
      </c>
      <c r="P120" t="s">
        <v>1502</v>
      </c>
      <c r="Q120" s="1">
        <v>45461</v>
      </c>
      <c r="R120" s="1">
        <v>45461</v>
      </c>
      <c r="S120" s="1">
        <v>45461</v>
      </c>
      <c r="U120" t="s">
        <v>1502</v>
      </c>
      <c r="W120" t="s">
        <v>202</v>
      </c>
      <c r="AB120">
        <v>505356</v>
      </c>
      <c r="AD120" t="s">
        <v>899</v>
      </c>
      <c r="AE120">
        <v>4700</v>
      </c>
      <c r="AF120" t="s">
        <v>900</v>
      </c>
      <c r="AG120" t="s">
        <v>232</v>
      </c>
      <c r="AH120" t="s">
        <v>1261</v>
      </c>
      <c r="AI120">
        <v>404263.57364299998</v>
      </c>
      <c r="AJ120">
        <v>521500</v>
      </c>
      <c r="AK120">
        <v>29</v>
      </c>
      <c r="AL120">
        <v>18000</v>
      </c>
      <c r="AM120">
        <v>0</v>
      </c>
      <c r="AN120">
        <v>0</v>
      </c>
      <c r="AO120">
        <v>3100</v>
      </c>
      <c r="AP120">
        <v>0</v>
      </c>
      <c r="AQ120">
        <v>31853</v>
      </c>
      <c r="AR120">
        <v>0</v>
      </c>
      <c r="AS120">
        <v>0</v>
      </c>
      <c r="AT120">
        <v>0</v>
      </c>
      <c r="AU120">
        <v>0</v>
      </c>
      <c r="AV120">
        <v>3958</v>
      </c>
      <c r="AW120">
        <v>0</v>
      </c>
      <c r="AX120">
        <v>0</v>
      </c>
      <c r="AY120">
        <v>56911</v>
      </c>
      <c r="AZ120">
        <v>464589</v>
      </c>
      <c r="BA120">
        <v>28980</v>
      </c>
      <c r="BB120">
        <v>0</v>
      </c>
      <c r="BC120">
        <v>0</v>
      </c>
      <c r="BD120">
        <v>49391</v>
      </c>
      <c r="BE120" t="s">
        <v>234</v>
      </c>
      <c r="BF120">
        <v>8131</v>
      </c>
      <c r="BG120">
        <v>2526</v>
      </c>
      <c r="BH120" t="s">
        <v>209</v>
      </c>
      <c r="BI120">
        <v>19998</v>
      </c>
      <c r="BJ120">
        <v>885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500</v>
      </c>
      <c r="BT120">
        <v>0</v>
      </c>
      <c r="BU120">
        <v>0</v>
      </c>
      <c r="BV120">
        <v>0</v>
      </c>
      <c r="BW120">
        <v>0</v>
      </c>
      <c r="BX120">
        <v>575000</v>
      </c>
      <c r="BY120">
        <v>0</v>
      </c>
      <c r="BZ120">
        <v>0</v>
      </c>
      <c r="CA120">
        <v>0</v>
      </c>
      <c r="CB120">
        <v>575000</v>
      </c>
      <c r="CC120">
        <v>0</v>
      </c>
      <c r="CD120">
        <v>0</v>
      </c>
      <c r="CE120">
        <v>575000</v>
      </c>
      <c r="CF120">
        <v>0</v>
      </c>
      <c r="CG120">
        <v>0</v>
      </c>
      <c r="CH120">
        <v>575000</v>
      </c>
      <c r="CJ120" t="s">
        <v>235</v>
      </c>
      <c r="CL120" t="s">
        <v>236</v>
      </c>
      <c r="CM120">
        <v>0</v>
      </c>
      <c r="CN120">
        <v>0</v>
      </c>
      <c r="CO120">
        <v>0</v>
      </c>
      <c r="CP120">
        <v>0</v>
      </c>
      <c r="CU120">
        <v>-575000</v>
      </c>
      <c r="CV120">
        <v>1601</v>
      </c>
      <c r="CW120" t="s">
        <v>1503</v>
      </c>
      <c r="CX120">
        <v>702</v>
      </c>
      <c r="CY120" t="s">
        <v>492</v>
      </c>
      <c r="CZ120" t="s">
        <v>217</v>
      </c>
      <c r="DB120" t="s">
        <v>1504</v>
      </c>
      <c r="DD120" t="s">
        <v>1505</v>
      </c>
      <c r="DF120" t="s">
        <v>220</v>
      </c>
      <c r="DG120">
        <v>451001</v>
      </c>
      <c r="DL120">
        <v>0</v>
      </c>
      <c r="DN120">
        <v>0</v>
      </c>
      <c r="DP120" t="s">
        <v>1506</v>
      </c>
      <c r="DQ120" t="s">
        <v>1507</v>
      </c>
      <c r="DR120" t="s">
        <v>223</v>
      </c>
      <c r="DS120">
        <v>8130.2</v>
      </c>
      <c r="DT120" s="1">
        <v>45461</v>
      </c>
      <c r="DU120" t="s">
        <v>1508</v>
      </c>
      <c r="DV120">
        <v>0</v>
      </c>
      <c r="DW120">
        <v>0.97</v>
      </c>
      <c r="DX120">
        <v>5577.5</v>
      </c>
      <c r="DY120">
        <v>1003.95</v>
      </c>
      <c r="DZ120">
        <v>6581.45</v>
      </c>
      <c r="EC120">
        <v>0</v>
      </c>
      <c r="EQ120" t="s">
        <v>1509</v>
      </c>
      <c r="ER120" s="1">
        <v>45440</v>
      </c>
      <c r="ES120">
        <v>4500</v>
      </c>
      <c r="ET120">
        <v>368135.94</v>
      </c>
      <c r="EU120">
        <v>10852.7</v>
      </c>
      <c r="EV120">
        <v>252182</v>
      </c>
      <c r="EW120" t="s">
        <v>1510</v>
      </c>
      <c r="EX120">
        <v>0</v>
      </c>
      <c r="EY120" t="s">
        <v>226</v>
      </c>
      <c r="EZ120" t="s">
        <v>226</v>
      </c>
      <c r="FA120" t="s">
        <v>226</v>
      </c>
      <c r="FB120" t="s">
        <v>226</v>
      </c>
      <c r="FC120" t="s">
        <v>202</v>
      </c>
      <c r="FD120" t="s">
        <v>202</v>
      </c>
      <c r="FE120" t="s">
        <v>202</v>
      </c>
      <c r="FF120" t="s">
        <v>202</v>
      </c>
      <c r="FG120" t="s">
        <v>202</v>
      </c>
      <c r="FH120" t="s">
        <v>202</v>
      </c>
      <c r="FI120" t="s">
        <v>202</v>
      </c>
      <c r="FJ120" t="s">
        <v>202</v>
      </c>
      <c r="FK120" t="s">
        <v>202</v>
      </c>
      <c r="FL120" t="s">
        <v>202</v>
      </c>
      <c r="FM120" t="s">
        <v>202</v>
      </c>
      <c r="FN120" t="s">
        <v>202</v>
      </c>
      <c r="FO120">
        <v>14990</v>
      </c>
      <c r="FP120">
        <v>13990</v>
      </c>
      <c r="FQ120">
        <v>0</v>
      </c>
      <c r="FR120">
        <v>4700</v>
      </c>
      <c r="FS120">
        <v>0</v>
      </c>
      <c r="FT120">
        <v>0</v>
      </c>
      <c r="FW120">
        <v>0</v>
      </c>
      <c r="FX120">
        <v>0</v>
      </c>
      <c r="FY120">
        <v>0</v>
      </c>
      <c r="GA120">
        <v>-15385</v>
      </c>
    </row>
    <row r="121" spans="1:183" x14ac:dyDescent="0.3">
      <c r="A121">
        <v>11182</v>
      </c>
      <c r="B121">
        <v>175</v>
      </c>
      <c r="C121" t="s">
        <v>1281</v>
      </c>
      <c r="D121" t="s">
        <v>1281</v>
      </c>
      <c r="E121" t="s">
        <v>1511</v>
      </c>
      <c r="F121">
        <v>2457312873</v>
      </c>
      <c r="G121">
        <v>2457312873</v>
      </c>
      <c r="H121" t="s">
        <v>1512</v>
      </c>
      <c r="I121" t="s">
        <v>198</v>
      </c>
      <c r="J121" t="s">
        <v>199</v>
      </c>
      <c r="L121" t="s">
        <v>260</v>
      </c>
      <c r="O121">
        <v>7869851470</v>
      </c>
      <c r="P121" t="s">
        <v>1513</v>
      </c>
      <c r="Q121" s="1">
        <v>45462</v>
      </c>
      <c r="R121" s="1">
        <v>45462</v>
      </c>
      <c r="S121" s="1">
        <v>45462</v>
      </c>
      <c r="U121" t="s">
        <v>1513</v>
      </c>
      <c r="W121" t="s">
        <v>202</v>
      </c>
      <c r="AB121">
        <v>897400</v>
      </c>
      <c r="AD121" t="s">
        <v>248</v>
      </c>
      <c r="AE121">
        <v>4747</v>
      </c>
      <c r="AF121" t="s">
        <v>1039</v>
      </c>
      <c r="AG121" t="s">
        <v>232</v>
      </c>
      <c r="AH121" t="s">
        <v>250</v>
      </c>
      <c r="AI121">
        <v>508714.72868200002</v>
      </c>
      <c r="AJ121">
        <v>656242</v>
      </c>
      <c r="AK121">
        <v>29</v>
      </c>
      <c r="AL121">
        <v>10000</v>
      </c>
      <c r="AM121">
        <v>0</v>
      </c>
      <c r="AN121">
        <v>0</v>
      </c>
      <c r="AO121">
        <v>0</v>
      </c>
      <c r="AP121">
        <v>15000</v>
      </c>
      <c r="AQ121">
        <v>5000</v>
      </c>
      <c r="AR121">
        <v>0</v>
      </c>
      <c r="AS121">
        <v>0</v>
      </c>
      <c r="AT121">
        <v>0</v>
      </c>
      <c r="AU121">
        <v>0</v>
      </c>
      <c r="AV121">
        <v>7900</v>
      </c>
      <c r="AW121">
        <v>0</v>
      </c>
      <c r="AX121">
        <v>0</v>
      </c>
      <c r="AY121">
        <v>37900</v>
      </c>
      <c r="AZ121">
        <v>618342</v>
      </c>
      <c r="BA121">
        <v>8000</v>
      </c>
      <c r="BB121">
        <v>0</v>
      </c>
      <c r="BC121">
        <v>0</v>
      </c>
      <c r="BD121">
        <v>60170</v>
      </c>
      <c r="BE121" t="s">
        <v>234</v>
      </c>
      <c r="BF121">
        <v>11163</v>
      </c>
      <c r="BG121">
        <v>3464</v>
      </c>
      <c r="BH121" t="s">
        <v>209</v>
      </c>
      <c r="BI121">
        <v>22577</v>
      </c>
      <c r="BJ121">
        <v>885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500</v>
      </c>
      <c r="BT121">
        <v>0</v>
      </c>
      <c r="BU121">
        <v>0</v>
      </c>
      <c r="BV121">
        <v>0</v>
      </c>
      <c r="BW121">
        <v>0</v>
      </c>
      <c r="BX121">
        <v>725101</v>
      </c>
      <c r="BY121">
        <v>0</v>
      </c>
      <c r="BZ121">
        <v>15100</v>
      </c>
      <c r="CA121">
        <v>0</v>
      </c>
      <c r="CB121">
        <v>0</v>
      </c>
      <c r="CC121">
        <v>0</v>
      </c>
      <c r="CD121">
        <v>0</v>
      </c>
      <c r="CE121">
        <v>15100</v>
      </c>
      <c r="CF121">
        <v>0</v>
      </c>
      <c r="CG121">
        <v>0</v>
      </c>
      <c r="CH121">
        <v>540000</v>
      </c>
      <c r="CJ121" t="s">
        <v>210</v>
      </c>
      <c r="CL121" t="s">
        <v>211</v>
      </c>
      <c r="CM121">
        <v>170000</v>
      </c>
      <c r="CN121">
        <v>0</v>
      </c>
      <c r="CO121">
        <v>0</v>
      </c>
      <c r="CP121">
        <v>170000</v>
      </c>
      <c r="CQ121" t="s">
        <v>1514</v>
      </c>
      <c r="CT121" t="s">
        <v>1390</v>
      </c>
      <c r="CU121">
        <v>1</v>
      </c>
      <c r="CV121">
        <v>2160</v>
      </c>
      <c r="CW121" t="s">
        <v>1515</v>
      </c>
      <c r="CX121">
        <v>366</v>
      </c>
      <c r="CY121" t="s">
        <v>1310</v>
      </c>
      <c r="CZ121" t="s">
        <v>217</v>
      </c>
      <c r="DB121" t="s">
        <v>1516</v>
      </c>
      <c r="DD121" t="s">
        <v>1517</v>
      </c>
      <c r="DF121" t="s">
        <v>220</v>
      </c>
      <c r="DG121">
        <v>451001</v>
      </c>
      <c r="DL121">
        <v>0</v>
      </c>
      <c r="DN121">
        <v>0</v>
      </c>
      <c r="DP121" t="s">
        <v>1518</v>
      </c>
      <c r="DQ121">
        <v>9218683</v>
      </c>
      <c r="DR121" t="s">
        <v>223</v>
      </c>
      <c r="DS121">
        <v>11162.8</v>
      </c>
      <c r="DT121" s="1">
        <v>45463</v>
      </c>
      <c r="DU121" t="s">
        <v>1519</v>
      </c>
      <c r="DV121">
        <v>0</v>
      </c>
      <c r="DW121">
        <v>1.5</v>
      </c>
      <c r="DX121">
        <v>8100</v>
      </c>
      <c r="DY121">
        <v>1458</v>
      </c>
      <c r="DZ121">
        <v>9558</v>
      </c>
      <c r="EC121">
        <v>0</v>
      </c>
      <c r="EQ121" t="s">
        <v>1520</v>
      </c>
      <c r="ER121" s="1">
        <v>45454</v>
      </c>
      <c r="ES121">
        <v>6000</v>
      </c>
      <c r="ET121">
        <v>469913.3</v>
      </c>
      <c r="EU121">
        <v>5426.4</v>
      </c>
      <c r="EV121">
        <v>252148</v>
      </c>
      <c r="EW121" t="s">
        <v>1521</v>
      </c>
      <c r="EX121">
        <v>0</v>
      </c>
      <c r="EY121" t="s">
        <v>226</v>
      </c>
      <c r="EZ121" t="s">
        <v>226</v>
      </c>
      <c r="FA121" t="s">
        <v>226</v>
      </c>
      <c r="FB121" t="s">
        <v>226</v>
      </c>
      <c r="FC121" t="s">
        <v>202</v>
      </c>
      <c r="FD121" t="s">
        <v>202</v>
      </c>
      <c r="FE121" t="s">
        <v>202</v>
      </c>
      <c r="FF121" t="s">
        <v>202</v>
      </c>
      <c r="FG121" t="s">
        <v>202</v>
      </c>
      <c r="FH121" t="s">
        <v>202</v>
      </c>
      <c r="FI121" t="s">
        <v>202</v>
      </c>
      <c r="FJ121" t="s">
        <v>202</v>
      </c>
      <c r="FK121" t="s">
        <v>202</v>
      </c>
      <c r="FL121" t="s">
        <v>202</v>
      </c>
      <c r="FM121" t="s">
        <v>202</v>
      </c>
      <c r="FN121" t="s">
        <v>202</v>
      </c>
      <c r="FO121">
        <v>8000</v>
      </c>
      <c r="FP121">
        <v>0</v>
      </c>
      <c r="FQ121">
        <v>179.75</v>
      </c>
      <c r="FR121">
        <v>4747</v>
      </c>
      <c r="FS121">
        <v>0</v>
      </c>
      <c r="FT121">
        <v>0</v>
      </c>
      <c r="FW121">
        <v>0</v>
      </c>
      <c r="FX121">
        <v>0</v>
      </c>
      <c r="FY121">
        <v>0</v>
      </c>
      <c r="GA121">
        <v>-1500</v>
      </c>
    </row>
    <row r="122" spans="1:183" x14ac:dyDescent="0.3">
      <c r="A122">
        <v>11184</v>
      </c>
      <c r="B122">
        <v>176</v>
      </c>
      <c r="C122" t="s">
        <v>1281</v>
      </c>
      <c r="D122" t="s">
        <v>1281</v>
      </c>
      <c r="E122" t="s">
        <v>1522</v>
      </c>
      <c r="F122">
        <v>2456745580</v>
      </c>
      <c r="G122">
        <v>2456745580</v>
      </c>
      <c r="H122" t="s">
        <v>1523</v>
      </c>
      <c r="I122" t="s">
        <v>198</v>
      </c>
      <c r="J122" t="s">
        <v>199</v>
      </c>
      <c r="L122" t="s">
        <v>260</v>
      </c>
      <c r="O122">
        <v>8878898331</v>
      </c>
      <c r="P122" t="s">
        <v>1524</v>
      </c>
      <c r="Q122" s="1">
        <v>45463</v>
      </c>
      <c r="R122" s="1">
        <v>45463</v>
      </c>
      <c r="S122" s="1">
        <v>45463</v>
      </c>
      <c r="U122" t="s">
        <v>1524</v>
      </c>
      <c r="W122" t="s">
        <v>202</v>
      </c>
      <c r="AB122" t="s">
        <v>1525</v>
      </c>
      <c r="AD122" t="s">
        <v>204</v>
      </c>
      <c r="AE122">
        <v>4804</v>
      </c>
      <c r="AF122" t="s">
        <v>205</v>
      </c>
      <c r="AG122" t="s">
        <v>206</v>
      </c>
      <c r="AH122" t="s">
        <v>207</v>
      </c>
      <c r="AI122">
        <v>534495.68992200005</v>
      </c>
      <c r="AJ122">
        <v>689500</v>
      </c>
      <c r="AK122">
        <v>29</v>
      </c>
      <c r="AL122">
        <v>10000</v>
      </c>
      <c r="AM122">
        <v>0</v>
      </c>
      <c r="AN122">
        <v>0</v>
      </c>
      <c r="AO122">
        <v>3100</v>
      </c>
      <c r="AP122">
        <v>0</v>
      </c>
      <c r="AQ122">
        <v>5000</v>
      </c>
      <c r="AR122">
        <v>0</v>
      </c>
      <c r="AS122">
        <v>0</v>
      </c>
      <c r="AT122">
        <v>0</v>
      </c>
      <c r="AU122">
        <v>0</v>
      </c>
      <c r="AV122">
        <v>25770</v>
      </c>
      <c r="AW122">
        <v>0</v>
      </c>
      <c r="AX122">
        <v>0</v>
      </c>
      <c r="AY122">
        <v>43870</v>
      </c>
      <c r="AZ122">
        <v>645630</v>
      </c>
      <c r="BA122">
        <v>11130</v>
      </c>
      <c r="BB122">
        <v>0</v>
      </c>
      <c r="BC122">
        <v>0</v>
      </c>
      <c r="BD122">
        <v>63731</v>
      </c>
      <c r="BE122" t="s">
        <v>234</v>
      </c>
      <c r="BF122">
        <v>10750</v>
      </c>
      <c r="BG122">
        <v>3629</v>
      </c>
      <c r="BH122" t="s">
        <v>209</v>
      </c>
      <c r="BI122">
        <v>22005</v>
      </c>
      <c r="BJ122">
        <v>885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500</v>
      </c>
      <c r="BT122">
        <v>0</v>
      </c>
      <c r="BU122">
        <v>0</v>
      </c>
      <c r="BV122">
        <v>0</v>
      </c>
      <c r="BW122">
        <v>0</v>
      </c>
      <c r="BX122">
        <v>758260</v>
      </c>
      <c r="BY122">
        <v>0</v>
      </c>
      <c r="BZ122">
        <v>185000</v>
      </c>
      <c r="CA122">
        <v>0</v>
      </c>
      <c r="CB122">
        <v>587750</v>
      </c>
      <c r="CC122">
        <v>0</v>
      </c>
      <c r="CD122">
        <v>0</v>
      </c>
      <c r="CE122">
        <v>772750</v>
      </c>
      <c r="CF122">
        <v>0</v>
      </c>
      <c r="CG122">
        <v>0</v>
      </c>
      <c r="CH122">
        <v>400000</v>
      </c>
      <c r="CJ122" t="s">
        <v>406</v>
      </c>
      <c r="CL122" t="s">
        <v>236</v>
      </c>
      <c r="CM122">
        <v>0</v>
      </c>
      <c r="CN122">
        <v>0</v>
      </c>
      <c r="CO122">
        <v>0</v>
      </c>
      <c r="CP122">
        <v>0</v>
      </c>
      <c r="CU122">
        <v>-414490</v>
      </c>
      <c r="CV122">
        <v>1195</v>
      </c>
      <c r="CW122" t="s">
        <v>1401</v>
      </c>
      <c r="CX122">
        <v>702</v>
      </c>
      <c r="CY122" t="s">
        <v>492</v>
      </c>
      <c r="CZ122" t="s">
        <v>217</v>
      </c>
      <c r="DB122" t="s">
        <v>1526</v>
      </c>
      <c r="DD122" t="s">
        <v>1527</v>
      </c>
      <c r="DF122" t="s">
        <v>220</v>
      </c>
      <c r="DG122">
        <v>451001</v>
      </c>
      <c r="DL122">
        <v>0</v>
      </c>
      <c r="DN122">
        <v>0</v>
      </c>
      <c r="DP122" t="s">
        <v>1528</v>
      </c>
      <c r="DQ122" t="s">
        <v>1529</v>
      </c>
      <c r="DR122" t="s">
        <v>223</v>
      </c>
      <c r="DS122">
        <v>10749.8</v>
      </c>
      <c r="DT122" s="1">
        <v>45463</v>
      </c>
      <c r="DU122" t="s">
        <v>1530</v>
      </c>
      <c r="DV122">
        <v>0</v>
      </c>
      <c r="DW122">
        <v>1.27</v>
      </c>
      <c r="DX122">
        <v>5080</v>
      </c>
      <c r="DY122">
        <v>914.4</v>
      </c>
      <c r="DZ122">
        <v>5994.4</v>
      </c>
      <c r="EC122">
        <v>0</v>
      </c>
      <c r="EQ122" t="s">
        <v>1531</v>
      </c>
      <c r="ER122" s="1">
        <v>45449</v>
      </c>
      <c r="ES122">
        <v>4000</v>
      </c>
      <c r="ET122">
        <v>498744.29</v>
      </c>
      <c r="EU122">
        <v>5426.4</v>
      </c>
      <c r="EV122">
        <v>245856</v>
      </c>
      <c r="EW122" t="s">
        <v>1532</v>
      </c>
      <c r="EX122">
        <v>0</v>
      </c>
      <c r="EY122" t="s">
        <v>226</v>
      </c>
      <c r="EZ122" t="s">
        <v>226</v>
      </c>
      <c r="FA122" t="s">
        <v>226</v>
      </c>
      <c r="FB122" t="s">
        <v>226</v>
      </c>
      <c r="FC122" t="s">
        <v>202</v>
      </c>
      <c r="FD122" t="s">
        <v>202</v>
      </c>
      <c r="FE122" t="s">
        <v>202</v>
      </c>
      <c r="FF122" t="s">
        <v>202</v>
      </c>
      <c r="FG122" t="s">
        <v>202</v>
      </c>
      <c r="FH122" t="s">
        <v>202</v>
      </c>
      <c r="FI122" t="s">
        <v>202</v>
      </c>
      <c r="FJ122" t="s">
        <v>202</v>
      </c>
      <c r="FK122" t="s">
        <v>202</v>
      </c>
      <c r="FL122" t="s">
        <v>202</v>
      </c>
      <c r="FM122" t="s">
        <v>202</v>
      </c>
      <c r="FN122" t="s">
        <v>202</v>
      </c>
      <c r="FO122">
        <v>11130</v>
      </c>
      <c r="FP122">
        <v>0</v>
      </c>
      <c r="FQ122">
        <v>0</v>
      </c>
      <c r="FR122">
        <v>4804</v>
      </c>
      <c r="FS122">
        <v>0</v>
      </c>
      <c r="FT122">
        <v>0</v>
      </c>
      <c r="FW122">
        <v>0</v>
      </c>
      <c r="FX122">
        <v>0</v>
      </c>
      <c r="FY122">
        <v>0</v>
      </c>
      <c r="GA122">
        <v>-15385</v>
      </c>
    </row>
    <row r="123" spans="1:183" x14ac:dyDescent="0.3">
      <c r="A123">
        <v>11191</v>
      </c>
      <c r="B123">
        <v>177</v>
      </c>
      <c r="C123" t="s">
        <v>1281</v>
      </c>
      <c r="D123" t="s">
        <v>1281</v>
      </c>
      <c r="E123" t="s">
        <v>1533</v>
      </c>
      <c r="F123">
        <v>2457223004</v>
      </c>
      <c r="G123">
        <v>2457223004</v>
      </c>
      <c r="H123" t="s">
        <v>1534</v>
      </c>
      <c r="I123" t="s">
        <v>198</v>
      </c>
      <c r="J123" t="s">
        <v>199</v>
      </c>
      <c r="L123" t="s">
        <v>393</v>
      </c>
      <c r="O123">
        <v>9893371584</v>
      </c>
      <c r="P123" t="s">
        <v>1535</v>
      </c>
      <c r="Q123" s="1">
        <v>45458</v>
      </c>
      <c r="R123" s="1">
        <v>45458</v>
      </c>
      <c r="S123" s="1">
        <v>45463</v>
      </c>
      <c r="U123" t="s">
        <v>1535</v>
      </c>
      <c r="W123" t="s">
        <v>202</v>
      </c>
      <c r="AB123" t="s">
        <v>1536</v>
      </c>
      <c r="AD123" t="s">
        <v>310</v>
      </c>
      <c r="AE123">
        <v>4763</v>
      </c>
      <c r="AF123" t="s">
        <v>355</v>
      </c>
      <c r="AG123" t="s">
        <v>232</v>
      </c>
      <c r="AH123" t="s">
        <v>356</v>
      </c>
      <c r="AI123">
        <v>434883.62790700002</v>
      </c>
      <c r="AJ123">
        <v>561000</v>
      </c>
      <c r="AK123">
        <v>29</v>
      </c>
      <c r="AL123">
        <v>10000</v>
      </c>
      <c r="AM123">
        <v>0</v>
      </c>
      <c r="AN123">
        <v>0</v>
      </c>
      <c r="AO123">
        <v>0</v>
      </c>
      <c r="AP123">
        <v>0</v>
      </c>
      <c r="AQ123">
        <v>15000</v>
      </c>
      <c r="AR123">
        <v>0</v>
      </c>
      <c r="AS123">
        <v>0</v>
      </c>
      <c r="AT123">
        <v>0</v>
      </c>
      <c r="AU123">
        <v>0</v>
      </c>
      <c r="AV123">
        <v>16351</v>
      </c>
      <c r="AW123">
        <v>0</v>
      </c>
      <c r="AX123">
        <v>0</v>
      </c>
      <c r="AY123">
        <v>41351</v>
      </c>
      <c r="AZ123">
        <v>519649</v>
      </c>
      <c r="BA123">
        <v>26500</v>
      </c>
      <c r="BB123">
        <v>0</v>
      </c>
      <c r="BC123">
        <v>0</v>
      </c>
      <c r="BD123">
        <v>53351</v>
      </c>
      <c r="BE123" t="s">
        <v>208</v>
      </c>
      <c r="BF123">
        <v>0</v>
      </c>
      <c r="BG123">
        <v>0</v>
      </c>
      <c r="BH123" t="s">
        <v>209</v>
      </c>
      <c r="BI123">
        <v>24999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500</v>
      </c>
      <c r="BT123">
        <v>0</v>
      </c>
      <c r="BU123">
        <v>0</v>
      </c>
      <c r="BV123">
        <v>0</v>
      </c>
      <c r="BW123">
        <v>0</v>
      </c>
      <c r="BX123">
        <v>624999</v>
      </c>
      <c r="BY123">
        <v>0</v>
      </c>
      <c r="BZ123">
        <v>0</v>
      </c>
      <c r="CA123">
        <v>0</v>
      </c>
      <c r="CB123">
        <v>275000</v>
      </c>
      <c r="CC123">
        <v>5000</v>
      </c>
      <c r="CD123">
        <v>0</v>
      </c>
      <c r="CE123">
        <v>275000</v>
      </c>
      <c r="CF123">
        <v>0</v>
      </c>
      <c r="CG123">
        <v>0</v>
      </c>
      <c r="CH123">
        <v>338000</v>
      </c>
      <c r="CJ123" t="s">
        <v>276</v>
      </c>
      <c r="CL123" t="s">
        <v>211</v>
      </c>
      <c r="CM123">
        <v>0</v>
      </c>
      <c r="CN123">
        <v>0</v>
      </c>
      <c r="CO123">
        <v>0</v>
      </c>
      <c r="CP123">
        <v>0</v>
      </c>
      <c r="CU123">
        <v>11999</v>
      </c>
      <c r="CV123">
        <v>981</v>
      </c>
      <c r="CW123" t="s">
        <v>1299</v>
      </c>
      <c r="CX123">
        <v>981</v>
      </c>
      <c r="CY123" t="s">
        <v>1299</v>
      </c>
      <c r="CZ123" t="s">
        <v>217</v>
      </c>
      <c r="DB123" t="s">
        <v>797</v>
      </c>
      <c r="DD123" t="s">
        <v>1537</v>
      </c>
      <c r="DF123" t="s">
        <v>220</v>
      </c>
      <c r="DG123">
        <v>451551</v>
      </c>
      <c r="DL123">
        <v>0</v>
      </c>
      <c r="DN123">
        <v>0</v>
      </c>
      <c r="DP123" t="s">
        <v>1538</v>
      </c>
      <c r="DQ123">
        <v>4258424</v>
      </c>
      <c r="DR123" t="s">
        <v>223</v>
      </c>
      <c r="DS123">
        <v>0</v>
      </c>
      <c r="DV123">
        <v>0</v>
      </c>
      <c r="DW123">
        <v>1</v>
      </c>
      <c r="DX123">
        <v>3380</v>
      </c>
      <c r="DY123">
        <v>608.4</v>
      </c>
      <c r="DZ123">
        <v>3988.4</v>
      </c>
      <c r="EC123">
        <v>0</v>
      </c>
      <c r="EQ123" t="s">
        <v>1539</v>
      </c>
      <c r="ER123" s="1">
        <v>45427</v>
      </c>
      <c r="ES123">
        <v>3000</v>
      </c>
      <c r="ET123">
        <v>404981.86</v>
      </c>
      <c r="EU123">
        <v>5426.4</v>
      </c>
      <c r="EV123">
        <v>251461</v>
      </c>
      <c r="EW123" t="s">
        <v>1540</v>
      </c>
      <c r="EX123">
        <v>0</v>
      </c>
      <c r="EY123" t="s">
        <v>226</v>
      </c>
      <c r="EZ123" t="s">
        <v>202</v>
      </c>
      <c r="FA123" t="s">
        <v>226</v>
      </c>
      <c r="FB123" t="s">
        <v>226</v>
      </c>
      <c r="FC123" t="s">
        <v>202</v>
      </c>
      <c r="FD123" t="s">
        <v>202</v>
      </c>
      <c r="FE123" t="s">
        <v>202</v>
      </c>
      <c r="FF123" t="s">
        <v>202</v>
      </c>
      <c r="FG123" t="s">
        <v>202</v>
      </c>
      <c r="FH123" t="s">
        <v>202</v>
      </c>
      <c r="FI123" t="s">
        <v>202</v>
      </c>
      <c r="FJ123" t="s">
        <v>202</v>
      </c>
      <c r="FK123" t="s">
        <v>202</v>
      </c>
      <c r="FL123" t="s">
        <v>202</v>
      </c>
      <c r="FM123" t="s">
        <v>202</v>
      </c>
      <c r="FN123" t="s">
        <v>202</v>
      </c>
      <c r="FO123">
        <v>26501</v>
      </c>
      <c r="FP123">
        <v>-1</v>
      </c>
      <c r="FQ123">
        <v>0</v>
      </c>
      <c r="FR123">
        <v>4763</v>
      </c>
      <c r="FS123">
        <v>0</v>
      </c>
      <c r="FT123">
        <v>0</v>
      </c>
      <c r="FW123">
        <v>0</v>
      </c>
      <c r="FX123">
        <v>0</v>
      </c>
      <c r="FY123">
        <v>0</v>
      </c>
      <c r="GA123">
        <v>12000</v>
      </c>
    </row>
    <row r="124" spans="1:183" x14ac:dyDescent="0.3">
      <c r="A124">
        <v>11203</v>
      </c>
      <c r="B124">
        <v>178</v>
      </c>
      <c r="C124" t="s">
        <v>1281</v>
      </c>
      <c r="D124" t="s">
        <v>1281</v>
      </c>
      <c r="E124" t="s">
        <v>1541</v>
      </c>
      <c r="F124">
        <v>2457042907</v>
      </c>
      <c r="G124">
        <v>2457042907</v>
      </c>
      <c r="H124" t="s">
        <v>1542</v>
      </c>
      <c r="I124" t="s">
        <v>198</v>
      </c>
      <c r="J124" t="s">
        <v>199</v>
      </c>
      <c r="L124" t="s">
        <v>260</v>
      </c>
      <c r="O124">
        <v>8889827079</v>
      </c>
      <c r="P124" t="s">
        <v>1543</v>
      </c>
      <c r="Q124" s="1">
        <v>45458</v>
      </c>
      <c r="R124" s="1">
        <v>45458</v>
      </c>
      <c r="S124" s="1">
        <v>45462</v>
      </c>
      <c r="U124" t="s">
        <v>1543</v>
      </c>
      <c r="W124" t="s">
        <v>202</v>
      </c>
      <c r="AB124">
        <v>435952</v>
      </c>
      <c r="AD124" t="s">
        <v>323</v>
      </c>
      <c r="AE124">
        <v>4808</v>
      </c>
      <c r="AF124" t="s">
        <v>1189</v>
      </c>
      <c r="AG124" t="s">
        <v>206</v>
      </c>
      <c r="AH124" t="s">
        <v>250</v>
      </c>
      <c r="AI124">
        <v>640689.70344800001</v>
      </c>
      <c r="AJ124">
        <v>929000</v>
      </c>
      <c r="AK124">
        <v>45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5499</v>
      </c>
      <c r="AW124">
        <v>0</v>
      </c>
      <c r="AX124">
        <v>0</v>
      </c>
      <c r="AY124">
        <v>5499</v>
      </c>
      <c r="AZ124">
        <v>923501</v>
      </c>
      <c r="BA124">
        <v>0</v>
      </c>
      <c r="BB124">
        <v>0</v>
      </c>
      <c r="BC124">
        <v>0</v>
      </c>
      <c r="BD124">
        <v>82091</v>
      </c>
      <c r="BE124" t="s">
        <v>234</v>
      </c>
      <c r="BF124">
        <v>15789</v>
      </c>
      <c r="BG124">
        <v>4809</v>
      </c>
      <c r="BH124" t="s">
        <v>209</v>
      </c>
      <c r="BI124">
        <v>32426</v>
      </c>
      <c r="BJ124">
        <v>885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500</v>
      </c>
      <c r="BT124">
        <v>0</v>
      </c>
      <c r="BU124">
        <v>0</v>
      </c>
      <c r="BV124">
        <v>0</v>
      </c>
      <c r="BW124">
        <v>0</v>
      </c>
      <c r="BX124">
        <v>1060001</v>
      </c>
      <c r="BY124">
        <v>0</v>
      </c>
      <c r="BZ124">
        <v>161200</v>
      </c>
      <c r="CA124">
        <v>0</v>
      </c>
      <c r="CB124">
        <v>900500</v>
      </c>
      <c r="CC124">
        <v>0</v>
      </c>
      <c r="CD124">
        <v>0</v>
      </c>
      <c r="CE124">
        <v>1061700</v>
      </c>
      <c r="CF124">
        <v>0</v>
      </c>
      <c r="CG124">
        <v>0</v>
      </c>
      <c r="CH124">
        <v>900000</v>
      </c>
      <c r="CJ124" t="s">
        <v>406</v>
      </c>
      <c r="CL124" t="s">
        <v>236</v>
      </c>
      <c r="CM124">
        <v>0</v>
      </c>
      <c r="CN124">
        <v>0</v>
      </c>
      <c r="CO124">
        <v>0</v>
      </c>
      <c r="CP124">
        <v>0</v>
      </c>
      <c r="CU124">
        <v>-901699</v>
      </c>
      <c r="CV124">
        <v>2231</v>
      </c>
      <c r="CW124" t="s">
        <v>1544</v>
      </c>
      <c r="CX124">
        <v>2231</v>
      </c>
      <c r="CY124" t="s">
        <v>1544</v>
      </c>
      <c r="CZ124" t="s">
        <v>217</v>
      </c>
      <c r="DB124" t="s">
        <v>1545</v>
      </c>
      <c r="DD124" t="s">
        <v>1546</v>
      </c>
      <c r="DF124" t="s">
        <v>220</v>
      </c>
      <c r="DG124">
        <v>451001</v>
      </c>
      <c r="DL124">
        <v>0</v>
      </c>
      <c r="DN124">
        <v>0</v>
      </c>
      <c r="DP124" t="s">
        <v>1547</v>
      </c>
      <c r="DQ124">
        <v>9535596</v>
      </c>
      <c r="DR124" t="s">
        <v>223</v>
      </c>
      <c r="DS124">
        <v>15788.4</v>
      </c>
      <c r="DT124" s="1">
        <v>45462</v>
      </c>
      <c r="DU124" t="s">
        <v>1548</v>
      </c>
      <c r="DV124">
        <v>0</v>
      </c>
      <c r="DW124">
        <v>1.27</v>
      </c>
      <c r="DX124">
        <v>11430</v>
      </c>
      <c r="DY124">
        <v>2057.4</v>
      </c>
      <c r="DZ124">
        <v>13487.4</v>
      </c>
      <c r="EC124">
        <v>0</v>
      </c>
      <c r="EQ124" t="s">
        <v>1549</v>
      </c>
      <c r="ER124" s="1">
        <v>45454</v>
      </c>
      <c r="ES124">
        <v>6000</v>
      </c>
      <c r="ET124">
        <v>602814.69999999995</v>
      </c>
      <c r="EU124">
        <v>0</v>
      </c>
      <c r="EV124">
        <v>249249</v>
      </c>
      <c r="EW124" t="s">
        <v>1550</v>
      </c>
      <c r="EX124">
        <v>0</v>
      </c>
      <c r="EY124" t="s">
        <v>226</v>
      </c>
      <c r="EZ124" t="s">
        <v>226</v>
      </c>
      <c r="FA124" t="s">
        <v>226</v>
      </c>
      <c r="FB124" t="s">
        <v>226</v>
      </c>
      <c r="FC124" t="s">
        <v>202</v>
      </c>
      <c r="FD124" t="s">
        <v>202</v>
      </c>
      <c r="FE124" t="s">
        <v>202</v>
      </c>
      <c r="FF124" t="s">
        <v>202</v>
      </c>
      <c r="FG124" t="s">
        <v>202</v>
      </c>
      <c r="FH124" t="s">
        <v>202</v>
      </c>
      <c r="FI124" t="s">
        <v>202</v>
      </c>
      <c r="FJ124" t="s">
        <v>202</v>
      </c>
      <c r="FK124" t="s">
        <v>202</v>
      </c>
      <c r="FL124" t="s">
        <v>202</v>
      </c>
      <c r="FM124" t="s">
        <v>202</v>
      </c>
      <c r="FN124" t="s">
        <v>202</v>
      </c>
      <c r="FO124">
        <v>1699</v>
      </c>
      <c r="FP124">
        <v>-1699</v>
      </c>
      <c r="FQ124">
        <v>0</v>
      </c>
      <c r="FR124">
        <v>4808</v>
      </c>
      <c r="FS124">
        <v>0</v>
      </c>
      <c r="FT124">
        <v>0</v>
      </c>
      <c r="FW124">
        <v>0</v>
      </c>
      <c r="FX124">
        <v>0</v>
      </c>
      <c r="FY124">
        <v>0</v>
      </c>
      <c r="GA124">
        <v>-885</v>
      </c>
    </row>
    <row r="125" spans="1:183" x14ac:dyDescent="0.3">
      <c r="A125">
        <v>11205</v>
      </c>
      <c r="B125">
        <v>179</v>
      </c>
      <c r="C125" t="s">
        <v>1281</v>
      </c>
      <c r="D125" t="s">
        <v>1281</v>
      </c>
      <c r="E125" t="s">
        <v>1551</v>
      </c>
      <c r="F125">
        <v>2457361011</v>
      </c>
      <c r="G125">
        <v>2457361011</v>
      </c>
      <c r="H125" t="s">
        <v>1552</v>
      </c>
      <c r="I125" t="s">
        <v>198</v>
      </c>
      <c r="J125" t="s">
        <v>199</v>
      </c>
      <c r="L125" t="s">
        <v>260</v>
      </c>
      <c r="O125">
        <v>9399466074</v>
      </c>
      <c r="P125" t="s">
        <v>1553</v>
      </c>
      <c r="Q125" s="1">
        <v>45465</v>
      </c>
      <c r="R125" s="1">
        <v>45465</v>
      </c>
      <c r="S125" s="1">
        <v>45464</v>
      </c>
      <c r="U125" t="s">
        <v>1553</v>
      </c>
      <c r="W125" t="s">
        <v>202</v>
      </c>
      <c r="AB125" t="s">
        <v>1554</v>
      </c>
      <c r="AD125" t="s">
        <v>310</v>
      </c>
      <c r="AE125">
        <v>4763</v>
      </c>
      <c r="AF125" t="s">
        <v>355</v>
      </c>
      <c r="AG125" t="s">
        <v>232</v>
      </c>
      <c r="AH125" t="s">
        <v>466</v>
      </c>
      <c r="AI125">
        <v>434883.62790700002</v>
      </c>
      <c r="AJ125">
        <v>561000</v>
      </c>
      <c r="AK125">
        <v>29</v>
      </c>
      <c r="AL125">
        <v>10000</v>
      </c>
      <c r="AM125">
        <v>0</v>
      </c>
      <c r="AN125">
        <v>0</v>
      </c>
      <c r="AO125">
        <v>0</v>
      </c>
      <c r="AP125">
        <v>0</v>
      </c>
      <c r="AQ125">
        <v>15000</v>
      </c>
      <c r="AR125">
        <v>0</v>
      </c>
      <c r="AS125">
        <v>0</v>
      </c>
      <c r="AT125">
        <v>0</v>
      </c>
      <c r="AU125">
        <v>0</v>
      </c>
      <c r="AV125">
        <v>2206</v>
      </c>
      <c r="AW125">
        <v>0</v>
      </c>
      <c r="AX125">
        <v>0</v>
      </c>
      <c r="AY125">
        <v>27206</v>
      </c>
      <c r="AZ125">
        <v>533794</v>
      </c>
      <c r="BA125">
        <v>30000</v>
      </c>
      <c r="BB125">
        <v>0</v>
      </c>
      <c r="BC125">
        <v>0</v>
      </c>
      <c r="BD125">
        <v>53351</v>
      </c>
      <c r="BE125" t="s">
        <v>234</v>
      </c>
      <c r="BF125">
        <v>8744</v>
      </c>
      <c r="BG125">
        <v>2726</v>
      </c>
      <c r="BH125" t="s">
        <v>209</v>
      </c>
      <c r="BI125">
        <v>25000</v>
      </c>
      <c r="BJ125">
        <v>885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500</v>
      </c>
      <c r="BT125">
        <v>0</v>
      </c>
      <c r="BU125">
        <v>0</v>
      </c>
      <c r="BV125">
        <v>0</v>
      </c>
      <c r="BW125">
        <v>0</v>
      </c>
      <c r="BX125">
        <v>655000</v>
      </c>
      <c r="BY125">
        <v>0</v>
      </c>
      <c r="BZ125">
        <v>104000</v>
      </c>
      <c r="CA125">
        <v>0</v>
      </c>
      <c r="CB125">
        <v>0</v>
      </c>
      <c r="CC125">
        <v>0</v>
      </c>
      <c r="CD125">
        <v>0</v>
      </c>
      <c r="CE125">
        <v>104000</v>
      </c>
      <c r="CF125">
        <v>0</v>
      </c>
      <c r="CG125">
        <v>0</v>
      </c>
      <c r="CH125">
        <v>551000</v>
      </c>
      <c r="CJ125" t="s">
        <v>210</v>
      </c>
      <c r="CL125" t="s">
        <v>211</v>
      </c>
      <c r="CM125">
        <v>0</v>
      </c>
      <c r="CN125">
        <v>0</v>
      </c>
      <c r="CO125">
        <v>0</v>
      </c>
      <c r="CP125">
        <v>0</v>
      </c>
      <c r="CU125">
        <v>0</v>
      </c>
      <c r="CV125">
        <v>2196</v>
      </c>
      <c r="CW125" t="s">
        <v>1555</v>
      </c>
      <c r="CX125" t="s">
        <v>1556</v>
      </c>
      <c r="CY125" t="s">
        <v>1557</v>
      </c>
      <c r="CZ125" t="s">
        <v>217</v>
      </c>
      <c r="DB125" t="s">
        <v>1558</v>
      </c>
      <c r="DD125" t="s">
        <v>1559</v>
      </c>
      <c r="DF125" t="s">
        <v>220</v>
      </c>
      <c r="DG125">
        <v>451228</v>
      </c>
      <c r="DL125">
        <v>0</v>
      </c>
      <c r="DN125">
        <v>0</v>
      </c>
      <c r="DP125" t="s">
        <v>1560</v>
      </c>
      <c r="DQ125">
        <v>4250409</v>
      </c>
      <c r="DR125" t="s">
        <v>223</v>
      </c>
      <c r="DS125">
        <v>8743.7999999999993</v>
      </c>
      <c r="DT125" s="1">
        <v>45465</v>
      </c>
      <c r="DU125" t="s">
        <v>1561</v>
      </c>
      <c r="DV125">
        <v>0</v>
      </c>
      <c r="DW125">
        <v>1.5</v>
      </c>
      <c r="DX125">
        <v>8265</v>
      </c>
      <c r="DY125">
        <v>1487.7</v>
      </c>
      <c r="DZ125">
        <v>9752.7000000000007</v>
      </c>
      <c r="EC125">
        <v>0</v>
      </c>
      <c r="EQ125" t="s">
        <v>1562</v>
      </c>
      <c r="ER125" s="1">
        <v>45412</v>
      </c>
      <c r="ES125">
        <v>3000</v>
      </c>
      <c r="ET125">
        <v>404981.86</v>
      </c>
      <c r="EU125">
        <v>5426.4</v>
      </c>
      <c r="EV125">
        <v>252814</v>
      </c>
      <c r="EW125" t="s">
        <v>1563</v>
      </c>
      <c r="EX125">
        <v>0</v>
      </c>
      <c r="EY125" t="s">
        <v>226</v>
      </c>
      <c r="EZ125" t="s">
        <v>226</v>
      </c>
      <c r="FA125" t="s">
        <v>226</v>
      </c>
      <c r="FB125" t="s">
        <v>226</v>
      </c>
      <c r="FC125" t="s">
        <v>202</v>
      </c>
      <c r="FD125" t="s">
        <v>202</v>
      </c>
      <c r="FE125" t="s">
        <v>202</v>
      </c>
      <c r="FF125" t="s">
        <v>202</v>
      </c>
      <c r="FG125" t="s">
        <v>202</v>
      </c>
      <c r="FH125" t="s">
        <v>202</v>
      </c>
      <c r="FI125" t="s">
        <v>202</v>
      </c>
      <c r="FJ125" t="s">
        <v>202</v>
      </c>
      <c r="FK125" t="s">
        <v>202</v>
      </c>
      <c r="FL125" t="s">
        <v>202</v>
      </c>
      <c r="FM125" t="s">
        <v>202</v>
      </c>
      <c r="FN125" t="s">
        <v>202</v>
      </c>
      <c r="FO125">
        <v>30000</v>
      </c>
      <c r="FP125">
        <v>0</v>
      </c>
      <c r="FQ125">
        <v>0</v>
      </c>
      <c r="FR125">
        <v>4763</v>
      </c>
      <c r="FS125">
        <v>0</v>
      </c>
      <c r="FT125">
        <v>0</v>
      </c>
      <c r="FW125">
        <v>0</v>
      </c>
      <c r="FX125">
        <v>0</v>
      </c>
      <c r="FY125">
        <v>0</v>
      </c>
      <c r="GA125">
        <v>-1019</v>
      </c>
    </row>
    <row r="126" spans="1:183" x14ac:dyDescent="0.3">
      <c r="A126">
        <v>11210</v>
      </c>
      <c r="B126">
        <v>180</v>
      </c>
      <c r="C126" t="s">
        <v>1281</v>
      </c>
      <c r="D126" t="s">
        <v>1281</v>
      </c>
      <c r="E126" t="s">
        <v>1564</v>
      </c>
      <c r="F126">
        <v>2457369039</v>
      </c>
      <c r="G126">
        <v>2457369039</v>
      </c>
      <c r="H126" t="s">
        <v>1565</v>
      </c>
      <c r="I126" t="s">
        <v>198</v>
      </c>
      <c r="J126" t="s">
        <v>199</v>
      </c>
      <c r="L126" t="s">
        <v>260</v>
      </c>
      <c r="O126">
        <v>6264314099</v>
      </c>
      <c r="P126" t="s">
        <v>1566</v>
      </c>
      <c r="Q126" s="1">
        <v>45465</v>
      </c>
      <c r="R126" s="1">
        <v>45465</v>
      </c>
      <c r="S126" s="1">
        <v>45465</v>
      </c>
      <c r="U126" t="s">
        <v>1566</v>
      </c>
      <c r="W126" t="s">
        <v>202</v>
      </c>
      <c r="AB126" t="s">
        <v>1567</v>
      </c>
      <c r="AD126" t="s">
        <v>310</v>
      </c>
      <c r="AE126">
        <v>4800</v>
      </c>
      <c r="AF126" t="s">
        <v>311</v>
      </c>
      <c r="AG126" t="s">
        <v>206</v>
      </c>
      <c r="AH126" t="s">
        <v>207</v>
      </c>
      <c r="AI126">
        <v>510077.42635700002</v>
      </c>
      <c r="AJ126">
        <v>658000</v>
      </c>
      <c r="AK126">
        <v>29</v>
      </c>
      <c r="AL126">
        <v>10000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5000</v>
      </c>
      <c r="AW126">
        <v>0</v>
      </c>
      <c r="AX126">
        <v>0</v>
      </c>
      <c r="AY126">
        <v>15000</v>
      </c>
      <c r="AZ126">
        <v>643000</v>
      </c>
      <c r="BA126">
        <v>27690</v>
      </c>
      <c r="BB126">
        <v>0</v>
      </c>
      <c r="BC126">
        <v>0</v>
      </c>
      <c r="BD126">
        <v>61111</v>
      </c>
      <c r="BE126" t="s">
        <v>234</v>
      </c>
      <c r="BF126">
        <v>10255</v>
      </c>
      <c r="BG126">
        <v>3186</v>
      </c>
      <c r="BH126" t="s">
        <v>209</v>
      </c>
      <c r="BI126">
        <v>26999</v>
      </c>
      <c r="BJ126">
        <v>885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500</v>
      </c>
      <c r="BT126">
        <v>0</v>
      </c>
      <c r="BU126">
        <v>0</v>
      </c>
      <c r="BV126">
        <v>0</v>
      </c>
      <c r="BW126">
        <v>0</v>
      </c>
      <c r="BX126">
        <v>773626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J126" t="s">
        <v>77</v>
      </c>
      <c r="CL126" t="s">
        <v>77</v>
      </c>
      <c r="CM126">
        <v>0</v>
      </c>
      <c r="CN126">
        <v>0</v>
      </c>
      <c r="CO126">
        <v>0</v>
      </c>
      <c r="CP126">
        <v>0</v>
      </c>
      <c r="CU126">
        <v>773626</v>
      </c>
      <c r="CV126">
        <v>1224</v>
      </c>
      <c r="CW126" t="s">
        <v>1568</v>
      </c>
      <c r="CX126" t="s">
        <v>1556</v>
      </c>
      <c r="CY126" t="s">
        <v>1557</v>
      </c>
      <c r="CZ126" t="s">
        <v>217</v>
      </c>
      <c r="DB126" t="s">
        <v>1569</v>
      </c>
      <c r="DD126" t="s">
        <v>1570</v>
      </c>
      <c r="DF126" t="s">
        <v>220</v>
      </c>
      <c r="DG126">
        <v>451228</v>
      </c>
      <c r="DL126">
        <v>0</v>
      </c>
      <c r="DN126">
        <v>0</v>
      </c>
      <c r="DP126" t="s">
        <v>1571</v>
      </c>
      <c r="DQ126">
        <v>4272125</v>
      </c>
      <c r="DR126" t="s">
        <v>223</v>
      </c>
      <c r="DS126">
        <v>10254.200000000001</v>
      </c>
      <c r="DT126" s="1">
        <v>45465</v>
      </c>
      <c r="DU126" t="s">
        <v>1572</v>
      </c>
      <c r="DV126">
        <v>0</v>
      </c>
      <c r="EQ126" t="s">
        <v>1573</v>
      </c>
      <c r="ER126" s="1">
        <v>45455</v>
      </c>
      <c r="ES126">
        <v>3000</v>
      </c>
      <c r="ET126">
        <v>479175.86</v>
      </c>
      <c r="EU126">
        <v>5426.4</v>
      </c>
      <c r="EV126">
        <v>252920</v>
      </c>
      <c r="EW126" t="s">
        <v>1574</v>
      </c>
      <c r="EX126">
        <v>0</v>
      </c>
      <c r="EY126" t="s">
        <v>226</v>
      </c>
      <c r="EZ126" t="s">
        <v>226</v>
      </c>
      <c r="FA126" t="s">
        <v>226</v>
      </c>
      <c r="FB126" t="s">
        <v>226</v>
      </c>
      <c r="FC126" t="s">
        <v>202</v>
      </c>
      <c r="FD126" t="s">
        <v>202</v>
      </c>
      <c r="FE126" t="s">
        <v>202</v>
      </c>
      <c r="FF126" t="s">
        <v>202</v>
      </c>
      <c r="FG126" t="s">
        <v>202</v>
      </c>
      <c r="FH126" t="s">
        <v>202</v>
      </c>
      <c r="FI126" t="s">
        <v>202</v>
      </c>
      <c r="FJ126" t="s">
        <v>202</v>
      </c>
      <c r="FK126" t="s">
        <v>202</v>
      </c>
      <c r="FL126" t="s">
        <v>202</v>
      </c>
      <c r="FM126" t="s">
        <v>202</v>
      </c>
      <c r="FN126" t="s">
        <v>202</v>
      </c>
      <c r="FO126">
        <v>24959</v>
      </c>
      <c r="FP126">
        <v>2731</v>
      </c>
      <c r="FQ126">
        <v>0</v>
      </c>
      <c r="FR126">
        <v>4800</v>
      </c>
      <c r="FS126">
        <v>0</v>
      </c>
      <c r="FT126">
        <v>0</v>
      </c>
      <c r="FW126">
        <v>0</v>
      </c>
      <c r="FX126">
        <v>0</v>
      </c>
      <c r="FY126">
        <v>0</v>
      </c>
      <c r="GA126">
        <v>770010</v>
      </c>
    </row>
    <row r="127" spans="1:183" x14ac:dyDescent="0.3">
      <c r="A127">
        <v>11224</v>
      </c>
      <c r="B127">
        <v>181</v>
      </c>
      <c r="C127" t="s">
        <v>1281</v>
      </c>
      <c r="D127" t="s">
        <v>1281</v>
      </c>
      <c r="E127" t="s">
        <v>1575</v>
      </c>
      <c r="F127">
        <v>2457350310</v>
      </c>
      <c r="G127">
        <v>2457350310</v>
      </c>
      <c r="H127" t="s">
        <v>1576</v>
      </c>
      <c r="I127" t="s">
        <v>198</v>
      </c>
      <c r="J127" t="s">
        <v>199</v>
      </c>
      <c r="L127" t="s">
        <v>260</v>
      </c>
      <c r="O127">
        <v>7999891720</v>
      </c>
      <c r="P127" t="s">
        <v>1577</v>
      </c>
      <c r="Q127" s="1">
        <v>45467</v>
      </c>
      <c r="R127" s="1">
        <v>45467</v>
      </c>
      <c r="S127" s="1">
        <v>45467</v>
      </c>
      <c r="U127" t="s">
        <v>1577</v>
      </c>
      <c r="W127" t="s">
        <v>202</v>
      </c>
      <c r="AB127" t="s">
        <v>1578</v>
      </c>
      <c r="AD127" t="s">
        <v>310</v>
      </c>
      <c r="AE127">
        <v>4770</v>
      </c>
      <c r="AF127" t="s">
        <v>355</v>
      </c>
      <c r="AG127" t="s">
        <v>232</v>
      </c>
      <c r="AH127" t="s">
        <v>356</v>
      </c>
      <c r="AI127">
        <v>412403.007752</v>
      </c>
      <c r="AJ127">
        <v>532000</v>
      </c>
      <c r="AK127">
        <v>29</v>
      </c>
      <c r="AL127">
        <v>10000</v>
      </c>
      <c r="AM127">
        <v>0</v>
      </c>
      <c r="AN127">
        <v>0</v>
      </c>
      <c r="AO127">
        <v>0</v>
      </c>
      <c r="AP127">
        <v>0</v>
      </c>
      <c r="AQ127">
        <v>15000</v>
      </c>
      <c r="AR127">
        <v>0</v>
      </c>
      <c r="AS127">
        <v>0</v>
      </c>
      <c r="AT127">
        <v>0</v>
      </c>
      <c r="AU127">
        <v>0</v>
      </c>
      <c r="AV127">
        <v>8500</v>
      </c>
      <c r="AW127">
        <v>0</v>
      </c>
      <c r="AX127">
        <v>0</v>
      </c>
      <c r="AY127">
        <v>33500</v>
      </c>
      <c r="AZ127">
        <v>498500</v>
      </c>
      <c r="BA127">
        <v>32990</v>
      </c>
      <c r="BB127">
        <v>0</v>
      </c>
      <c r="BC127">
        <v>0</v>
      </c>
      <c r="BD127">
        <v>51031</v>
      </c>
      <c r="BE127" t="s">
        <v>234</v>
      </c>
      <c r="BF127">
        <v>8296</v>
      </c>
      <c r="BG127">
        <v>2756</v>
      </c>
      <c r="BH127" t="s">
        <v>209</v>
      </c>
      <c r="BI127">
        <v>25042</v>
      </c>
      <c r="BJ127">
        <v>885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500</v>
      </c>
      <c r="BT127">
        <v>0</v>
      </c>
      <c r="BU127">
        <v>0</v>
      </c>
      <c r="BV127">
        <v>0</v>
      </c>
      <c r="BW127">
        <v>0</v>
      </c>
      <c r="BX127">
        <v>620000</v>
      </c>
      <c r="BY127">
        <v>0</v>
      </c>
      <c r="BZ127">
        <v>12500</v>
      </c>
      <c r="CA127">
        <v>0</v>
      </c>
      <c r="CB127">
        <v>64600</v>
      </c>
      <c r="CC127">
        <v>0</v>
      </c>
      <c r="CD127">
        <v>0</v>
      </c>
      <c r="CE127">
        <v>77100</v>
      </c>
      <c r="CF127">
        <v>0</v>
      </c>
      <c r="CG127">
        <v>0</v>
      </c>
      <c r="CH127">
        <v>505000</v>
      </c>
      <c r="CJ127" t="s">
        <v>522</v>
      </c>
      <c r="CL127" t="s">
        <v>211</v>
      </c>
      <c r="CM127">
        <v>0</v>
      </c>
      <c r="CN127">
        <v>0</v>
      </c>
      <c r="CO127">
        <v>0</v>
      </c>
      <c r="CP127">
        <v>0</v>
      </c>
      <c r="CU127">
        <v>37900</v>
      </c>
      <c r="CV127">
        <v>1195</v>
      </c>
      <c r="CW127" t="s">
        <v>1401</v>
      </c>
      <c r="CX127">
        <v>702</v>
      </c>
      <c r="CY127" t="s">
        <v>492</v>
      </c>
      <c r="CZ127" t="s">
        <v>217</v>
      </c>
      <c r="DB127" t="s">
        <v>1579</v>
      </c>
      <c r="DD127" t="s">
        <v>1580</v>
      </c>
      <c r="DF127" t="s">
        <v>220</v>
      </c>
      <c r="DG127">
        <v>451001</v>
      </c>
      <c r="DL127">
        <v>0</v>
      </c>
      <c r="DN127">
        <v>0</v>
      </c>
      <c r="DP127" t="s">
        <v>1581</v>
      </c>
      <c r="DQ127">
        <v>4226960</v>
      </c>
      <c r="DR127" t="s">
        <v>223</v>
      </c>
      <c r="DS127">
        <v>8295.4</v>
      </c>
      <c r="DT127" s="1">
        <v>45467</v>
      </c>
      <c r="DU127" t="s">
        <v>1582</v>
      </c>
      <c r="DV127">
        <v>0</v>
      </c>
      <c r="DW127">
        <v>1</v>
      </c>
      <c r="DX127">
        <v>5050</v>
      </c>
      <c r="DY127">
        <v>909</v>
      </c>
      <c r="DZ127">
        <v>5959</v>
      </c>
      <c r="EC127">
        <v>0</v>
      </c>
      <c r="EQ127" t="s">
        <v>1583</v>
      </c>
      <c r="ER127" s="1">
        <v>45367</v>
      </c>
      <c r="ES127">
        <v>3000</v>
      </c>
      <c r="ET127">
        <v>382501.65</v>
      </c>
      <c r="EU127">
        <v>5426.36</v>
      </c>
      <c r="EV127">
        <v>252745</v>
      </c>
      <c r="EW127" t="s">
        <v>1584</v>
      </c>
      <c r="EX127">
        <v>0</v>
      </c>
      <c r="EY127" t="s">
        <v>226</v>
      </c>
      <c r="EZ127" t="s">
        <v>226</v>
      </c>
      <c r="FA127" t="s">
        <v>226</v>
      </c>
      <c r="FB127" t="s">
        <v>226</v>
      </c>
      <c r="FC127" t="s">
        <v>202</v>
      </c>
      <c r="FD127" t="s">
        <v>202</v>
      </c>
      <c r="FE127" t="s">
        <v>202</v>
      </c>
      <c r="FF127" t="s">
        <v>202</v>
      </c>
      <c r="FG127" t="s">
        <v>202</v>
      </c>
      <c r="FH127" t="s">
        <v>202</v>
      </c>
      <c r="FI127" t="s">
        <v>202</v>
      </c>
      <c r="FJ127" t="s">
        <v>202</v>
      </c>
      <c r="FK127" t="s">
        <v>202</v>
      </c>
      <c r="FL127" t="s">
        <v>202</v>
      </c>
      <c r="FM127" t="s">
        <v>202</v>
      </c>
      <c r="FN127" t="s">
        <v>202</v>
      </c>
      <c r="FO127">
        <v>32993</v>
      </c>
      <c r="FP127">
        <v>-3</v>
      </c>
      <c r="FQ127">
        <v>0</v>
      </c>
      <c r="FR127">
        <v>4770</v>
      </c>
      <c r="FS127">
        <v>0</v>
      </c>
      <c r="FT127">
        <v>0</v>
      </c>
      <c r="FW127">
        <v>0</v>
      </c>
      <c r="FX127">
        <v>0</v>
      </c>
      <c r="FY127">
        <v>0</v>
      </c>
      <c r="GA127">
        <v>542018</v>
      </c>
    </row>
    <row r="128" spans="1:183" x14ac:dyDescent="0.3">
      <c r="A128">
        <v>11226</v>
      </c>
      <c r="B128">
        <v>182</v>
      </c>
      <c r="C128" t="s">
        <v>1281</v>
      </c>
      <c r="D128" t="s">
        <v>1281</v>
      </c>
      <c r="E128" t="s">
        <v>1585</v>
      </c>
      <c r="F128">
        <v>2457398874</v>
      </c>
      <c r="G128">
        <v>2457398874</v>
      </c>
      <c r="H128" t="s">
        <v>1586</v>
      </c>
      <c r="I128" t="s">
        <v>198</v>
      </c>
      <c r="J128" t="s">
        <v>199</v>
      </c>
      <c r="L128" t="s">
        <v>260</v>
      </c>
      <c r="O128">
        <v>7067112654</v>
      </c>
      <c r="P128" t="s">
        <v>1587</v>
      </c>
      <c r="Q128" s="1">
        <v>45467</v>
      </c>
      <c r="R128" s="1">
        <v>45467</v>
      </c>
      <c r="S128" s="1">
        <v>45467</v>
      </c>
      <c r="U128" t="s">
        <v>1587</v>
      </c>
      <c r="W128" t="s">
        <v>202</v>
      </c>
      <c r="AB128" t="s">
        <v>1588</v>
      </c>
      <c r="AD128" t="s">
        <v>310</v>
      </c>
      <c r="AE128">
        <v>4800</v>
      </c>
      <c r="AF128" t="s">
        <v>311</v>
      </c>
      <c r="AG128" t="s">
        <v>206</v>
      </c>
      <c r="AH128" t="s">
        <v>466</v>
      </c>
      <c r="AI128">
        <v>510077.42635700002</v>
      </c>
      <c r="AJ128">
        <v>658000</v>
      </c>
      <c r="AK128">
        <v>29</v>
      </c>
      <c r="AL128">
        <v>10000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12367</v>
      </c>
      <c r="AW128">
        <v>0</v>
      </c>
      <c r="AX128">
        <v>0</v>
      </c>
      <c r="AY128">
        <v>22367</v>
      </c>
      <c r="AZ128">
        <v>635633</v>
      </c>
      <c r="BA128">
        <v>0</v>
      </c>
      <c r="BB128">
        <v>0</v>
      </c>
      <c r="BC128">
        <v>0</v>
      </c>
      <c r="BD128">
        <v>61111</v>
      </c>
      <c r="BE128" t="s">
        <v>234</v>
      </c>
      <c r="BF128">
        <v>10255</v>
      </c>
      <c r="BG128">
        <v>0</v>
      </c>
      <c r="BH128" t="s">
        <v>209</v>
      </c>
      <c r="BI128">
        <v>26617</v>
      </c>
      <c r="BJ128">
        <v>885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500</v>
      </c>
      <c r="BT128">
        <v>0</v>
      </c>
      <c r="BU128">
        <v>0</v>
      </c>
      <c r="BV128">
        <v>0</v>
      </c>
      <c r="BW128">
        <v>0</v>
      </c>
      <c r="BX128">
        <v>735001</v>
      </c>
      <c r="BY128">
        <v>0</v>
      </c>
      <c r="BZ128">
        <v>0</v>
      </c>
      <c r="CA128">
        <v>0</v>
      </c>
      <c r="CB128">
        <v>102100</v>
      </c>
      <c r="CC128">
        <v>0</v>
      </c>
      <c r="CD128">
        <v>0</v>
      </c>
      <c r="CE128">
        <v>102100</v>
      </c>
      <c r="CF128">
        <v>0</v>
      </c>
      <c r="CG128">
        <v>0</v>
      </c>
      <c r="CH128">
        <v>600000</v>
      </c>
      <c r="CJ128" t="s">
        <v>522</v>
      </c>
      <c r="CL128" t="s">
        <v>211</v>
      </c>
      <c r="CM128">
        <v>0</v>
      </c>
      <c r="CN128">
        <v>0</v>
      </c>
      <c r="CO128">
        <v>0</v>
      </c>
      <c r="CP128">
        <v>0</v>
      </c>
      <c r="CU128">
        <v>32901</v>
      </c>
      <c r="CV128">
        <v>1195</v>
      </c>
      <c r="CW128" t="s">
        <v>1401</v>
      </c>
      <c r="CX128">
        <v>702</v>
      </c>
      <c r="CY128" t="s">
        <v>492</v>
      </c>
      <c r="CZ128" t="s">
        <v>217</v>
      </c>
      <c r="DB128" t="s">
        <v>1589</v>
      </c>
      <c r="DD128" t="s">
        <v>1590</v>
      </c>
      <c r="DF128" t="s">
        <v>220</v>
      </c>
      <c r="DG128">
        <v>451001</v>
      </c>
      <c r="DL128">
        <v>0</v>
      </c>
      <c r="DN128">
        <v>0</v>
      </c>
      <c r="DP128" t="s">
        <v>1591</v>
      </c>
      <c r="DQ128">
        <v>4270936</v>
      </c>
      <c r="DR128" t="s">
        <v>223</v>
      </c>
      <c r="DS128">
        <v>10254.200000000001</v>
      </c>
      <c r="DT128" s="1">
        <v>45467</v>
      </c>
      <c r="DU128" t="s">
        <v>1592</v>
      </c>
      <c r="DV128">
        <v>0</v>
      </c>
      <c r="DW128">
        <v>1</v>
      </c>
      <c r="DX128">
        <v>6000</v>
      </c>
      <c r="DY128">
        <v>1080</v>
      </c>
      <c r="DZ128">
        <v>7080</v>
      </c>
      <c r="EC128">
        <v>0</v>
      </c>
      <c r="EQ128" t="s">
        <v>1593</v>
      </c>
      <c r="ER128" s="1">
        <v>45457</v>
      </c>
      <c r="ES128">
        <v>3000</v>
      </c>
      <c r="ET128">
        <v>479175.86</v>
      </c>
      <c r="EU128">
        <v>5426.4</v>
      </c>
      <c r="EV128">
        <v>253248</v>
      </c>
      <c r="EW128" t="s">
        <v>1594</v>
      </c>
      <c r="EX128">
        <v>0</v>
      </c>
      <c r="EY128" t="s">
        <v>226</v>
      </c>
      <c r="EZ128" t="s">
        <v>226</v>
      </c>
      <c r="FA128" t="s">
        <v>226</v>
      </c>
      <c r="FB128" t="s">
        <v>226</v>
      </c>
      <c r="FC128" t="s">
        <v>202</v>
      </c>
      <c r="FD128" t="s">
        <v>202</v>
      </c>
      <c r="FE128" t="s">
        <v>202</v>
      </c>
      <c r="FF128" t="s">
        <v>202</v>
      </c>
      <c r="FG128" t="s">
        <v>202</v>
      </c>
      <c r="FH128" t="s">
        <v>202</v>
      </c>
      <c r="FI128" t="s">
        <v>202</v>
      </c>
      <c r="FJ128" t="s">
        <v>202</v>
      </c>
      <c r="FK128" t="s">
        <v>202</v>
      </c>
      <c r="FL128" t="s">
        <v>202</v>
      </c>
      <c r="FM128" t="s">
        <v>202</v>
      </c>
      <c r="FN128" t="s">
        <v>202</v>
      </c>
      <c r="FO128">
        <v>2438</v>
      </c>
      <c r="FP128">
        <v>-2438</v>
      </c>
      <c r="FQ128">
        <v>5.71</v>
      </c>
      <c r="FR128">
        <v>4800</v>
      </c>
      <c r="FS128">
        <v>0</v>
      </c>
      <c r="FT128">
        <v>0</v>
      </c>
      <c r="FW128">
        <v>0</v>
      </c>
      <c r="FX128">
        <v>0</v>
      </c>
      <c r="FY128">
        <v>0</v>
      </c>
      <c r="GA128">
        <v>34454</v>
      </c>
    </row>
    <row r="129" spans="1:183" x14ac:dyDescent="0.3">
      <c r="A129">
        <v>11227</v>
      </c>
      <c r="B129">
        <v>183</v>
      </c>
      <c r="C129" t="s">
        <v>1281</v>
      </c>
      <c r="D129" t="s">
        <v>1281</v>
      </c>
      <c r="E129" t="s">
        <v>1595</v>
      </c>
      <c r="F129">
        <v>2457390790</v>
      </c>
      <c r="G129">
        <v>2457390790</v>
      </c>
      <c r="H129" t="s">
        <v>1596</v>
      </c>
      <c r="I129" t="s">
        <v>198</v>
      </c>
      <c r="J129" t="s">
        <v>199</v>
      </c>
      <c r="L129" t="s">
        <v>260</v>
      </c>
      <c r="O129">
        <v>6265066985</v>
      </c>
      <c r="P129" t="s">
        <v>1597</v>
      </c>
      <c r="Q129" s="1">
        <v>45467</v>
      </c>
      <c r="R129" s="1">
        <v>45467</v>
      </c>
      <c r="S129" s="1">
        <v>45467</v>
      </c>
      <c r="U129" t="s">
        <v>1597</v>
      </c>
      <c r="W129" t="s">
        <v>202</v>
      </c>
      <c r="AB129" t="s">
        <v>1598</v>
      </c>
      <c r="AD129" t="s">
        <v>310</v>
      </c>
      <c r="AE129">
        <v>4763</v>
      </c>
      <c r="AF129" t="s">
        <v>355</v>
      </c>
      <c r="AG129" t="s">
        <v>232</v>
      </c>
      <c r="AH129" t="s">
        <v>207</v>
      </c>
      <c r="AI129">
        <v>434883.62790700002</v>
      </c>
      <c r="AJ129">
        <v>561000</v>
      </c>
      <c r="AK129">
        <v>29</v>
      </c>
      <c r="AL129">
        <v>10000</v>
      </c>
      <c r="AM129">
        <v>0</v>
      </c>
      <c r="AN129">
        <v>0</v>
      </c>
      <c r="AO129">
        <v>0</v>
      </c>
      <c r="AP129">
        <v>0</v>
      </c>
      <c r="AQ129">
        <v>15000</v>
      </c>
      <c r="AR129">
        <v>0</v>
      </c>
      <c r="AS129">
        <v>0</v>
      </c>
      <c r="AT129">
        <v>0</v>
      </c>
      <c r="AU129">
        <v>0</v>
      </c>
      <c r="AV129">
        <v>9806</v>
      </c>
      <c r="AW129">
        <v>0</v>
      </c>
      <c r="AX129">
        <v>0</v>
      </c>
      <c r="AY129">
        <v>34806</v>
      </c>
      <c r="AZ129">
        <v>526194</v>
      </c>
      <c r="BA129">
        <v>32600</v>
      </c>
      <c r="BB129">
        <v>0</v>
      </c>
      <c r="BC129">
        <v>0</v>
      </c>
      <c r="BD129">
        <v>53351</v>
      </c>
      <c r="BE129" t="s">
        <v>234</v>
      </c>
      <c r="BF129">
        <v>8744</v>
      </c>
      <c r="BG129">
        <v>2726</v>
      </c>
      <c r="BH129" t="s">
        <v>209</v>
      </c>
      <c r="BI129">
        <v>25000</v>
      </c>
      <c r="BJ129">
        <v>885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500</v>
      </c>
      <c r="BT129">
        <v>0</v>
      </c>
      <c r="BU129">
        <v>0</v>
      </c>
      <c r="BV129">
        <v>0</v>
      </c>
      <c r="BW129">
        <v>0</v>
      </c>
      <c r="BX129">
        <v>650000</v>
      </c>
      <c r="BY129">
        <v>0</v>
      </c>
      <c r="BZ129">
        <v>175000</v>
      </c>
      <c r="CA129">
        <v>0</v>
      </c>
      <c r="CB129">
        <v>0</v>
      </c>
      <c r="CC129">
        <v>0</v>
      </c>
      <c r="CD129">
        <v>0</v>
      </c>
      <c r="CE129">
        <v>175000</v>
      </c>
      <c r="CF129">
        <v>0</v>
      </c>
      <c r="CG129">
        <v>0</v>
      </c>
      <c r="CH129">
        <v>475000</v>
      </c>
      <c r="CJ129" t="s">
        <v>522</v>
      </c>
      <c r="CL129" t="s">
        <v>211</v>
      </c>
      <c r="CM129">
        <v>0</v>
      </c>
      <c r="CN129">
        <v>0</v>
      </c>
      <c r="CO129">
        <v>0</v>
      </c>
      <c r="CP129">
        <v>0</v>
      </c>
      <c r="CU129">
        <v>0</v>
      </c>
      <c r="CV129">
        <v>1224</v>
      </c>
      <c r="CW129" t="s">
        <v>1568</v>
      </c>
      <c r="CX129" t="s">
        <v>1556</v>
      </c>
      <c r="CY129" t="s">
        <v>1557</v>
      </c>
      <c r="CZ129" t="s">
        <v>217</v>
      </c>
      <c r="DB129" t="s">
        <v>1599</v>
      </c>
      <c r="DD129" t="s">
        <v>1600</v>
      </c>
      <c r="DF129" t="s">
        <v>220</v>
      </c>
      <c r="DG129">
        <v>451001</v>
      </c>
      <c r="DL129">
        <v>0</v>
      </c>
      <c r="DN129">
        <v>0</v>
      </c>
      <c r="DP129" t="s">
        <v>1601</v>
      </c>
      <c r="DQ129">
        <v>4268076</v>
      </c>
      <c r="DR129" t="s">
        <v>223</v>
      </c>
      <c r="DS129">
        <v>8743.7999999999993</v>
      </c>
      <c r="DT129" s="1">
        <v>45468</v>
      </c>
      <c r="DU129" t="s">
        <v>1602</v>
      </c>
      <c r="DV129">
        <v>0</v>
      </c>
      <c r="DW129">
        <v>1</v>
      </c>
      <c r="DX129">
        <v>4750</v>
      </c>
      <c r="DY129">
        <v>855</v>
      </c>
      <c r="DZ129">
        <v>5605</v>
      </c>
      <c r="EC129">
        <v>0</v>
      </c>
      <c r="EQ129" t="s">
        <v>1603</v>
      </c>
      <c r="ER129" s="1">
        <v>45458</v>
      </c>
      <c r="ES129">
        <v>3000</v>
      </c>
      <c r="ET129">
        <v>404981.86</v>
      </c>
      <c r="EU129">
        <v>5426.4</v>
      </c>
      <c r="EV129">
        <v>253272</v>
      </c>
      <c r="EW129" t="s">
        <v>1604</v>
      </c>
      <c r="EX129">
        <v>0</v>
      </c>
      <c r="EY129" t="s">
        <v>226</v>
      </c>
      <c r="EZ129" t="s">
        <v>226</v>
      </c>
      <c r="FA129" t="s">
        <v>226</v>
      </c>
      <c r="FB129" t="s">
        <v>226</v>
      </c>
      <c r="FC129" t="s">
        <v>202</v>
      </c>
      <c r="FD129" t="s">
        <v>202</v>
      </c>
      <c r="FE129" t="s">
        <v>202</v>
      </c>
      <c r="FF129" t="s">
        <v>202</v>
      </c>
      <c r="FG129" t="s">
        <v>202</v>
      </c>
      <c r="FH129" t="s">
        <v>202</v>
      </c>
      <c r="FI129" t="s">
        <v>202</v>
      </c>
      <c r="FJ129" t="s">
        <v>202</v>
      </c>
      <c r="FK129" t="s">
        <v>202</v>
      </c>
      <c r="FL129" t="s">
        <v>202</v>
      </c>
      <c r="FM129" t="s">
        <v>202</v>
      </c>
      <c r="FN129" t="s">
        <v>202</v>
      </c>
      <c r="FO129">
        <v>26372</v>
      </c>
      <c r="FP129">
        <v>6228</v>
      </c>
      <c r="FQ129">
        <v>0</v>
      </c>
      <c r="FR129">
        <v>4763</v>
      </c>
      <c r="FS129">
        <v>0</v>
      </c>
      <c r="FT129">
        <v>0</v>
      </c>
      <c r="FW129">
        <v>0</v>
      </c>
      <c r="FX129">
        <v>0</v>
      </c>
      <c r="FY129">
        <v>0</v>
      </c>
      <c r="GA129">
        <v>467887</v>
      </c>
    </row>
    <row r="130" spans="1:183" x14ac:dyDescent="0.3">
      <c r="A130">
        <v>11233</v>
      </c>
      <c r="B130">
        <v>184</v>
      </c>
      <c r="C130" t="s">
        <v>1281</v>
      </c>
      <c r="D130" t="s">
        <v>1281</v>
      </c>
      <c r="E130" t="s">
        <v>1605</v>
      </c>
      <c r="F130">
        <v>2457404537</v>
      </c>
      <c r="G130">
        <v>2457404537</v>
      </c>
      <c r="H130" t="s">
        <v>1606</v>
      </c>
      <c r="I130" t="s">
        <v>198</v>
      </c>
      <c r="J130" t="s">
        <v>199</v>
      </c>
      <c r="L130" t="s">
        <v>260</v>
      </c>
      <c r="O130">
        <v>9977777931</v>
      </c>
      <c r="P130" t="s">
        <v>1607</v>
      </c>
      <c r="Q130" s="1">
        <v>45468</v>
      </c>
      <c r="R130" s="1">
        <v>45468</v>
      </c>
      <c r="S130" s="1">
        <v>45467</v>
      </c>
      <c r="U130" t="s">
        <v>1607</v>
      </c>
      <c r="W130" t="s">
        <v>202</v>
      </c>
      <c r="AB130" t="s">
        <v>1608</v>
      </c>
      <c r="AD130" t="s">
        <v>310</v>
      </c>
      <c r="AE130">
        <v>4770</v>
      </c>
      <c r="AF130" t="s">
        <v>355</v>
      </c>
      <c r="AG130" t="s">
        <v>232</v>
      </c>
      <c r="AH130" t="s">
        <v>466</v>
      </c>
      <c r="AI130">
        <v>412403.007752</v>
      </c>
      <c r="AJ130">
        <v>532000</v>
      </c>
      <c r="AK130">
        <v>29</v>
      </c>
      <c r="AL130">
        <v>10000</v>
      </c>
      <c r="AM130">
        <v>0</v>
      </c>
      <c r="AN130">
        <v>0</v>
      </c>
      <c r="AO130">
        <v>0</v>
      </c>
      <c r="AP130">
        <v>0</v>
      </c>
      <c r="AQ130">
        <v>15000</v>
      </c>
      <c r="AR130">
        <v>0</v>
      </c>
      <c r="AS130">
        <v>0</v>
      </c>
      <c r="AT130">
        <v>0</v>
      </c>
      <c r="AU130">
        <v>0</v>
      </c>
      <c r="AV130">
        <v>14416</v>
      </c>
      <c r="AW130">
        <v>0</v>
      </c>
      <c r="AX130">
        <v>0</v>
      </c>
      <c r="AY130">
        <v>39416</v>
      </c>
      <c r="AZ130">
        <v>492584</v>
      </c>
      <c r="BA130">
        <v>10000</v>
      </c>
      <c r="BB130">
        <v>0</v>
      </c>
      <c r="BC130">
        <v>0</v>
      </c>
      <c r="BD130">
        <v>51031</v>
      </c>
      <c r="BE130" t="s">
        <v>208</v>
      </c>
      <c r="BF130">
        <v>0</v>
      </c>
      <c r="BG130">
        <v>0</v>
      </c>
      <c r="BH130" t="s">
        <v>209</v>
      </c>
      <c r="BI130">
        <v>25000</v>
      </c>
      <c r="BJ130">
        <v>885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500</v>
      </c>
      <c r="BT130">
        <v>0</v>
      </c>
      <c r="BU130">
        <v>0</v>
      </c>
      <c r="BV130">
        <v>0</v>
      </c>
      <c r="BW130">
        <v>0</v>
      </c>
      <c r="BX130">
        <v>580000</v>
      </c>
      <c r="BY130">
        <v>0</v>
      </c>
      <c r="BZ130">
        <v>15800</v>
      </c>
      <c r="CA130">
        <v>0</v>
      </c>
      <c r="CB130">
        <v>560000</v>
      </c>
      <c r="CC130">
        <v>0</v>
      </c>
      <c r="CD130">
        <v>0</v>
      </c>
      <c r="CE130">
        <v>575800</v>
      </c>
      <c r="CF130">
        <v>0</v>
      </c>
      <c r="CG130">
        <v>0</v>
      </c>
      <c r="CH130">
        <v>627789</v>
      </c>
      <c r="CJ130" t="s">
        <v>406</v>
      </c>
      <c r="CL130" t="s">
        <v>236</v>
      </c>
      <c r="CM130">
        <v>0</v>
      </c>
      <c r="CN130">
        <v>0</v>
      </c>
      <c r="CO130">
        <v>0</v>
      </c>
      <c r="CP130">
        <v>0</v>
      </c>
      <c r="CU130">
        <v>-623589</v>
      </c>
      <c r="CV130">
        <v>1775</v>
      </c>
      <c r="CW130" t="s">
        <v>1609</v>
      </c>
      <c r="CX130">
        <v>366</v>
      </c>
      <c r="CY130" t="s">
        <v>1310</v>
      </c>
      <c r="CZ130" t="s">
        <v>217</v>
      </c>
      <c r="DB130" t="s">
        <v>1610</v>
      </c>
      <c r="DD130" t="s">
        <v>1611</v>
      </c>
      <c r="DF130" t="s">
        <v>220</v>
      </c>
      <c r="DG130">
        <v>451332</v>
      </c>
      <c r="DL130">
        <v>0</v>
      </c>
      <c r="DN130">
        <v>0</v>
      </c>
      <c r="DP130" t="s">
        <v>1612</v>
      </c>
      <c r="DQ130">
        <v>4212692</v>
      </c>
      <c r="DR130" t="s">
        <v>223</v>
      </c>
      <c r="DS130">
        <v>0</v>
      </c>
      <c r="DV130">
        <v>0</v>
      </c>
      <c r="DW130">
        <v>1.27</v>
      </c>
      <c r="DX130">
        <v>7972.92</v>
      </c>
      <c r="DY130">
        <v>1435.13</v>
      </c>
      <c r="DZ130">
        <v>9408.0499999999993</v>
      </c>
      <c r="EC130">
        <v>0</v>
      </c>
      <c r="EQ130" t="s">
        <v>1613</v>
      </c>
      <c r="ER130" s="1">
        <v>45345</v>
      </c>
      <c r="ES130">
        <v>3000</v>
      </c>
      <c r="ET130">
        <v>382501.65</v>
      </c>
      <c r="EU130">
        <v>5426.36</v>
      </c>
      <c r="EV130">
        <v>253309</v>
      </c>
      <c r="EW130" t="s">
        <v>1614</v>
      </c>
      <c r="EX130">
        <v>0</v>
      </c>
      <c r="EY130" t="s">
        <v>226</v>
      </c>
      <c r="EZ130" t="s">
        <v>202</v>
      </c>
      <c r="FA130" t="s">
        <v>226</v>
      </c>
      <c r="FB130" t="s">
        <v>226</v>
      </c>
      <c r="FC130" t="s">
        <v>202</v>
      </c>
      <c r="FD130" t="s">
        <v>202</v>
      </c>
      <c r="FE130" t="s">
        <v>202</v>
      </c>
      <c r="FF130" t="s">
        <v>202</v>
      </c>
      <c r="FG130" t="s">
        <v>202</v>
      </c>
      <c r="FH130" t="s">
        <v>202</v>
      </c>
      <c r="FI130" t="s">
        <v>202</v>
      </c>
      <c r="FJ130" t="s">
        <v>202</v>
      </c>
      <c r="FK130" t="s">
        <v>202</v>
      </c>
      <c r="FL130" t="s">
        <v>202</v>
      </c>
      <c r="FM130" t="s">
        <v>202</v>
      </c>
      <c r="FN130" t="s">
        <v>202</v>
      </c>
      <c r="FO130">
        <v>10002</v>
      </c>
      <c r="FP130">
        <v>-2</v>
      </c>
      <c r="FQ130">
        <v>2050.1799999999998</v>
      </c>
      <c r="FR130">
        <v>4770</v>
      </c>
      <c r="FS130">
        <v>0</v>
      </c>
      <c r="FT130">
        <v>0</v>
      </c>
      <c r="FW130">
        <v>0</v>
      </c>
      <c r="FX130">
        <v>0</v>
      </c>
      <c r="FY130">
        <v>0</v>
      </c>
      <c r="GA130">
        <v>3317</v>
      </c>
    </row>
    <row r="131" spans="1:183" x14ac:dyDescent="0.3">
      <c r="A131">
        <v>11236</v>
      </c>
      <c r="B131">
        <v>185</v>
      </c>
      <c r="C131" t="s">
        <v>1281</v>
      </c>
      <c r="D131" t="s">
        <v>1281</v>
      </c>
      <c r="E131" t="s">
        <v>1615</v>
      </c>
      <c r="F131">
        <v>2457168951</v>
      </c>
      <c r="G131">
        <v>2457168951</v>
      </c>
      <c r="H131" t="s">
        <v>1616</v>
      </c>
      <c r="I131" t="s">
        <v>198</v>
      </c>
      <c r="J131" t="s">
        <v>199</v>
      </c>
      <c r="L131" t="s">
        <v>260</v>
      </c>
      <c r="O131">
        <v>9754802791</v>
      </c>
      <c r="P131" t="s">
        <v>1617</v>
      </c>
      <c r="Q131" s="1">
        <v>45456</v>
      </c>
      <c r="R131" s="1">
        <v>45456</v>
      </c>
      <c r="S131" s="1">
        <v>45467</v>
      </c>
      <c r="U131" t="s">
        <v>1617</v>
      </c>
      <c r="W131" t="s">
        <v>202</v>
      </c>
      <c r="AB131" t="s">
        <v>1618</v>
      </c>
      <c r="AD131" t="s">
        <v>310</v>
      </c>
      <c r="AE131">
        <v>4763</v>
      </c>
      <c r="AF131" t="s">
        <v>355</v>
      </c>
      <c r="AG131" t="s">
        <v>232</v>
      </c>
      <c r="AH131" t="s">
        <v>207</v>
      </c>
      <c r="AI131">
        <v>434883.62790700002</v>
      </c>
      <c r="AJ131">
        <v>561000</v>
      </c>
      <c r="AK131">
        <v>29</v>
      </c>
      <c r="AL131">
        <v>10000</v>
      </c>
      <c r="AM131">
        <v>0</v>
      </c>
      <c r="AN131">
        <v>0</v>
      </c>
      <c r="AO131">
        <v>3100</v>
      </c>
      <c r="AP131">
        <v>10000</v>
      </c>
      <c r="AQ131">
        <v>15000</v>
      </c>
      <c r="AR131">
        <v>0</v>
      </c>
      <c r="AS131">
        <v>0</v>
      </c>
      <c r="AT131">
        <v>0</v>
      </c>
      <c r="AU131">
        <v>0</v>
      </c>
      <c r="AV131">
        <v>11500</v>
      </c>
      <c r="AW131">
        <v>0</v>
      </c>
      <c r="AX131">
        <v>0</v>
      </c>
      <c r="AY131">
        <v>49600</v>
      </c>
      <c r="AZ131">
        <v>511400</v>
      </c>
      <c r="BA131">
        <v>9000</v>
      </c>
      <c r="BB131">
        <v>0</v>
      </c>
      <c r="BC131">
        <v>0</v>
      </c>
      <c r="BD131">
        <v>53351</v>
      </c>
      <c r="BE131" t="s">
        <v>234</v>
      </c>
      <c r="BF131">
        <v>8744</v>
      </c>
      <c r="BG131">
        <v>2875</v>
      </c>
      <c r="BH131" t="s">
        <v>209</v>
      </c>
      <c r="BI131">
        <v>24130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500</v>
      </c>
      <c r="BT131">
        <v>0</v>
      </c>
      <c r="BU131">
        <v>0</v>
      </c>
      <c r="BV131">
        <v>0</v>
      </c>
      <c r="BW131">
        <v>0</v>
      </c>
      <c r="BX131">
        <v>610000</v>
      </c>
      <c r="BY131">
        <v>0</v>
      </c>
      <c r="BZ131">
        <v>2100</v>
      </c>
      <c r="CA131">
        <v>0</v>
      </c>
      <c r="CB131">
        <v>535000</v>
      </c>
      <c r="CC131">
        <v>0</v>
      </c>
      <c r="CD131">
        <v>0</v>
      </c>
      <c r="CE131">
        <v>537100</v>
      </c>
      <c r="CF131">
        <v>0</v>
      </c>
      <c r="CG131">
        <v>0</v>
      </c>
      <c r="CH131">
        <v>550000</v>
      </c>
      <c r="CJ131" t="s">
        <v>235</v>
      </c>
      <c r="CL131" t="s">
        <v>236</v>
      </c>
      <c r="CM131">
        <v>455000</v>
      </c>
      <c r="CN131">
        <v>403296</v>
      </c>
      <c r="CO131">
        <v>0</v>
      </c>
      <c r="CP131">
        <v>51704</v>
      </c>
      <c r="CQ131" t="s">
        <v>1619</v>
      </c>
      <c r="CT131" t="s">
        <v>1390</v>
      </c>
      <c r="CU131">
        <v>-528804</v>
      </c>
      <c r="CV131">
        <v>702</v>
      </c>
      <c r="CW131" t="s">
        <v>492</v>
      </c>
      <c r="CX131">
        <v>702</v>
      </c>
      <c r="CY131" t="s">
        <v>492</v>
      </c>
      <c r="CZ131" t="s">
        <v>217</v>
      </c>
      <c r="DB131" t="s">
        <v>1620</v>
      </c>
      <c r="DD131" t="s">
        <v>1621</v>
      </c>
      <c r="DF131" t="s">
        <v>220</v>
      </c>
      <c r="DG131">
        <v>451001</v>
      </c>
      <c r="DL131">
        <v>0</v>
      </c>
      <c r="DN131">
        <v>0</v>
      </c>
      <c r="DP131" t="s">
        <v>1622</v>
      </c>
      <c r="DQ131">
        <v>4264254</v>
      </c>
      <c r="DR131" t="s">
        <v>223</v>
      </c>
      <c r="DS131">
        <v>8743.7999999999993</v>
      </c>
      <c r="DT131" s="1">
        <v>45468</v>
      </c>
      <c r="DU131" t="s">
        <v>1623</v>
      </c>
      <c r="DV131">
        <v>0</v>
      </c>
      <c r="DW131">
        <v>0.97</v>
      </c>
      <c r="DX131">
        <v>5335</v>
      </c>
      <c r="DY131">
        <v>960.3</v>
      </c>
      <c r="DZ131">
        <v>6295.3</v>
      </c>
      <c r="EC131">
        <v>0</v>
      </c>
      <c r="EQ131" t="s">
        <v>1624</v>
      </c>
      <c r="ER131" s="1">
        <v>45446</v>
      </c>
      <c r="ES131">
        <v>3000</v>
      </c>
      <c r="ET131">
        <v>404981.86</v>
      </c>
      <c r="EU131">
        <v>5426.4</v>
      </c>
      <c r="EV131">
        <v>250709</v>
      </c>
      <c r="EW131" t="s">
        <v>1625</v>
      </c>
      <c r="EX131">
        <v>0</v>
      </c>
      <c r="EY131" t="s">
        <v>226</v>
      </c>
      <c r="EZ131" t="s">
        <v>226</v>
      </c>
      <c r="FA131" t="s">
        <v>226</v>
      </c>
      <c r="FB131" t="s">
        <v>226</v>
      </c>
      <c r="FC131" t="s">
        <v>202</v>
      </c>
      <c r="FD131" t="s">
        <v>202</v>
      </c>
      <c r="FE131" t="s">
        <v>202</v>
      </c>
      <c r="FF131" t="s">
        <v>202</v>
      </c>
      <c r="FG131" t="s">
        <v>202</v>
      </c>
      <c r="FH131" t="s">
        <v>202</v>
      </c>
      <c r="FI131" t="s">
        <v>202</v>
      </c>
      <c r="FJ131" t="s">
        <v>202</v>
      </c>
      <c r="FK131" t="s">
        <v>202</v>
      </c>
      <c r="FL131" t="s">
        <v>202</v>
      </c>
      <c r="FM131" t="s">
        <v>202</v>
      </c>
      <c r="FN131" t="s">
        <v>202</v>
      </c>
      <c r="FO131">
        <v>8347</v>
      </c>
      <c r="FP131">
        <v>653</v>
      </c>
      <c r="FQ131">
        <v>0</v>
      </c>
      <c r="FR131">
        <v>4763</v>
      </c>
      <c r="FS131">
        <v>0</v>
      </c>
      <c r="FT131">
        <v>0</v>
      </c>
      <c r="FW131">
        <v>0</v>
      </c>
      <c r="FX131">
        <v>0</v>
      </c>
      <c r="FY131">
        <v>0</v>
      </c>
      <c r="GA131">
        <v>20543</v>
      </c>
    </row>
    <row r="132" spans="1:183" x14ac:dyDescent="0.3">
      <c r="A132">
        <v>11237</v>
      </c>
      <c r="B132">
        <v>186</v>
      </c>
      <c r="C132" t="s">
        <v>1281</v>
      </c>
      <c r="D132" t="s">
        <v>1281</v>
      </c>
      <c r="E132" t="s">
        <v>1626</v>
      </c>
      <c r="F132">
        <v>2457257269</v>
      </c>
      <c r="G132">
        <v>2457257269</v>
      </c>
      <c r="H132" t="s">
        <v>1627</v>
      </c>
      <c r="I132" t="s">
        <v>198</v>
      </c>
      <c r="J132" t="s">
        <v>488</v>
      </c>
      <c r="L132" t="s">
        <v>489</v>
      </c>
      <c r="O132">
        <v>9340000408</v>
      </c>
      <c r="P132" t="s">
        <v>1628</v>
      </c>
      <c r="Q132" s="1">
        <v>45457</v>
      </c>
      <c r="R132" s="1">
        <v>45457</v>
      </c>
      <c r="S132" s="1">
        <v>45468</v>
      </c>
      <c r="U132" t="s">
        <v>1628</v>
      </c>
      <c r="W132" t="s">
        <v>202</v>
      </c>
      <c r="AB132">
        <v>817014</v>
      </c>
      <c r="AD132" t="s">
        <v>287</v>
      </c>
      <c r="AE132">
        <v>4738</v>
      </c>
      <c r="AF132" t="s">
        <v>288</v>
      </c>
      <c r="AG132" t="s">
        <v>206</v>
      </c>
      <c r="AH132" t="s">
        <v>233</v>
      </c>
      <c r="AI132">
        <v>743448.26896599995</v>
      </c>
      <c r="AJ132">
        <v>1078000</v>
      </c>
      <c r="AK132">
        <v>45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1078000</v>
      </c>
      <c r="BA132">
        <v>15885</v>
      </c>
      <c r="BB132">
        <v>0</v>
      </c>
      <c r="BC132">
        <v>0</v>
      </c>
      <c r="BD132">
        <v>4500</v>
      </c>
      <c r="BE132" t="s">
        <v>208</v>
      </c>
      <c r="BF132">
        <v>0</v>
      </c>
      <c r="BG132">
        <v>0</v>
      </c>
      <c r="BH132" t="s">
        <v>209</v>
      </c>
      <c r="BI132">
        <v>27590</v>
      </c>
      <c r="BJ132">
        <v>0</v>
      </c>
      <c r="BK132">
        <v>0</v>
      </c>
      <c r="BL132">
        <v>0</v>
      </c>
      <c r="BM132">
        <v>0</v>
      </c>
      <c r="BN132">
        <v>10780</v>
      </c>
      <c r="BO132">
        <v>0</v>
      </c>
      <c r="BP132">
        <v>0</v>
      </c>
      <c r="BQ132">
        <v>0</v>
      </c>
      <c r="BR132">
        <v>0</v>
      </c>
      <c r="BS132">
        <v>500</v>
      </c>
      <c r="BT132">
        <v>0</v>
      </c>
      <c r="BU132">
        <v>0</v>
      </c>
      <c r="BV132">
        <v>0</v>
      </c>
      <c r="BW132">
        <v>0</v>
      </c>
      <c r="BX132">
        <v>1137255</v>
      </c>
      <c r="BY132">
        <v>0</v>
      </c>
      <c r="BZ132">
        <v>0</v>
      </c>
      <c r="CA132">
        <v>0</v>
      </c>
      <c r="CB132">
        <v>1137254</v>
      </c>
      <c r="CC132">
        <v>0</v>
      </c>
      <c r="CD132">
        <v>0</v>
      </c>
      <c r="CE132">
        <v>1137254</v>
      </c>
      <c r="CF132">
        <v>0</v>
      </c>
      <c r="CG132">
        <v>0</v>
      </c>
      <c r="CH132">
        <v>0</v>
      </c>
      <c r="CJ132" t="s">
        <v>1629</v>
      </c>
      <c r="CL132" t="s">
        <v>236</v>
      </c>
      <c r="CM132">
        <v>0</v>
      </c>
      <c r="CN132">
        <v>0</v>
      </c>
      <c r="CO132">
        <v>0</v>
      </c>
      <c r="CP132">
        <v>0</v>
      </c>
      <c r="CU132">
        <v>1</v>
      </c>
      <c r="CV132">
        <v>702</v>
      </c>
      <c r="CW132" t="s">
        <v>492</v>
      </c>
      <c r="CX132">
        <v>702</v>
      </c>
      <c r="CY132" t="s">
        <v>492</v>
      </c>
      <c r="CZ132" t="s">
        <v>217</v>
      </c>
      <c r="DB132" t="s">
        <v>1630</v>
      </c>
      <c r="DD132" t="s">
        <v>1631</v>
      </c>
      <c r="DF132" t="s">
        <v>220</v>
      </c>
      <c r="DG132">
        <v>400080</v>
      </c>
      <c r="DL132">
        <v>0</v>
      </c>
      <c r="DN132">
        <v>0</v>
      </c>
      <c r="DP132" t="s">
        <v>1632</v>
      </c>
      <c r="DQ132">
        <v>9529366</v>
      </c>
      <c r="DR132" t="s">
        <v>223</v>
      </c>
      <c r="DS132">
        <v>0</v>
      </c>
      <c r="DV132">
        <v>0</v>
      </c>
      <c r="EQ132" t="s">
        <v>1633</v>
      </c>
      <c r="ER132" s="1">
        <v>45454</v>
      </c>
      <c r="ES132">
        <v>8500</v>
      </c>
      <c r="ET132">
        <v>697073.03</v>
      </c>
      <c r="EU132">
        <v>0</v>
      </c>
      <c r="EV132">
        <v>251554</v>
      </c>
      <c r="EW132" t="s">
        <v>1634</v>
      </c>
      <c r="EX132">
        <v>0</v>
      </c>
      <c r="EY132" t="s">
        <v>226</v>
      </c>
      <c r="EZ132" t="s">
        <v>202</v>
      </c>
      <c r="FA132" t="s">
        <v>226</v>
      </c>
      <c r="FB132" t="s">
        <v>226</v>
      </c>
      <c r="FC132" t="s">
        <v>202</v>
      </c>
      <c r="FD132" t="s">
        <v>202</v>
      </c>
      <c r="FE132" t="s">
        <v>202</v>
      </c>
      <c r="FF132" t="s">
        <v>202</v>
      </c>
      <c r="FG132" t="s">
        <v>202</v>
      </c>
      <c r="FH132" t="s">
        <v>202</v>
      </c>
      <c r="FI132" t="s">
        <v>202</v>
      </c>
      <c r="FJ132" t="s">
        <v>202</v>
      </c>
      <c r="FK132" t="s">
        <v>202</v>
      </c>
      <c r="FL132" t="s">
        <v>202</v>
      </c>
      <c r="FM132" t="s">
        <v>202</v>
      </c>
      <c r="FN132" t="s">
        <v>202</v>
      </c>
      <c r="FO132">
        <v>13914</v>
      </c>
      <c r="FP132">
        <v>1971</v>
      </c>
      <c r="FQ132">
        <v>0</v>
      </c>
      <c r="FR132">
        <v>4738</v>
      </c>
      <c r="FS132">
        <v>0</v>
      </c>
      <c r="FT132">
        <v>0</v>
      </c>
      <c r="FW132">
        <v>0</v>
      </c>
      <c r="FX132">
        <v>0</v>
      </c>
      <c r="FY132">
        <v>0</v>
      </c>
      <c r="GA132">
        <v>-1971</v>
      </c>
    </row>
    <row r="133" spans="1:183" x14ac:dyDescent="0.3">
      <c r="A133">
        <v>11246</v>
      </c>
      <c r="B133">
        <v>187</v>
      </c>
      <c r="C133" t="s">
        <v>1281</v>
      </c>
      <c r="D133" t="s">
        <v>1281</v>
      </c>
      <c r="E133" t="s">
        <v>1635</v>
      </c>
      <c r="F133">
        <v>2457315045</v>
      </c>
      <c r="G133">
        <v>2457315045</v>
      </c>
      <c r="H133" t="s">
        <v>1636</v>
      </c>
      <c r="I133" t="s">
        <v>198</v>
      </c>
      <c r="J133" t="s">
        <v>488</v>
      </c>
      <c r="L133" t="s">
        <v>1637</v>
      </c>
      <c r="O133">
        <v>9340000408</v>
      </c>
      <c r="P133" t="s">
        <v>1638</v>
      </c>
      <c r="Q133" s="1">
        <v>45461</v>
      </c>
      <c r="R133" s="1">
        <v>45461</v>
      </c>
      <c r="S133" s="1">
        <v>45469</v>
      </c>
      <c r="U133" t="s">
        <v>1638</v>
      </c>
      <c r="W133" t="s">
        <v>202</v>
      </c>
      <c r="AB133">
        <v>823421</v>
      </c>
      <c r="AD133" t="s">
        <v>287</v>
      </c>
      <c r="AE133">
        <v>4738</v>
      </c>
      <c r="AF133" t="s">
        <v>288</v>
      </c>
      <c r="AG133" t="s">
        <v>206</v>
      </c>
      <c r="AH133" t="s">
        <v>250</v>
      </c>
      <c r="AI133">
        <v>743448.26896599995</v>
      </c>
      <c r="AJ133">
        <v>1078000</v>
      </c>
      <c r="AK133">
        <v>45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1078000</v>
      </c>
      <c r="BA133">
        <v>25885</v>
      </c>
      <c r="BB133">
        <v>0</v>
      </c>
      <c r="BC133">
        <v>0</v>
      </c>
      <c r="BD133">
        <v>5000</v>
      </c>
      <c r="BE133" t="s">
        <v>234</v>
      </c>
      <c r="BF133">
        <v>18326</v>
      </c>
      <c r="BG133">
        <v>0</v>
      </c>
      <c r="BH133" t="s">
        <v>209</v>
      </c>
      <c r="BI133">
        <v>28359</v>
      </c>
      <c r="BJ133">
        <v>0</v>
      </c>
      <c r="BK133">
        <v>0</v>
      </c>
      <c r="BL133">
        <v>0</v>
      </c>
      <c r="BM133">
        <v>0</v>
      </c>
      <c r="BN133">
        <v>10780</v>
      </c>
      <c r="BO133">
        <v>0</v>
      </c>
      <c r="BP133">
        <v>0</v>
      </c>
      <c r="BQ133">
        <v>0</v>
      </c>
      <c r="BR133">
        <v>0</v>
      </c>
      <c r="BS133">
        <v>500</v>
      </c>
      <c r="BT133">
        <v>0</v>
      </c>
      <c r="BU133">
        <v>0</v>
      </c>
      <c r="BV133">
        <v>0</v>
      </c>
      <c r="BW133">
        <v>0</v>
      </c>
      <c r="BX133">
        <v>1166850</v>
      </c>
      <c r="BY133">
        <v>0</v>
      </c>
      <c r="BZ133">
        <v>6100</v>
      </c>
      <c r="CA133">
        <v>0</v>
      </c>
      <c r="CB133">
        <v>1160734</v>
      </c>
      <c r="CC133">
        <v>0</v>
      </c>
      <c r="CD133">
        <v>0</v>
      </c>
      <c r="CE133">
        <v>1166834</v>
      </c>
      <c r="CF133">
        <v>0</v>
      </c>
      <c r="CG133">
        <v>0</v>
      </c>
      <c r="CH133">
        <v>940734</v>
      </c>
      <c r="CJ133" t="s">
        <v>1219</v>
      </c>
      <c r="CL133" t="s">
        <v>236</v>
      </c>
      <c r="CM133">
        <v>0</v>
      </c>
      <c r="CN133">
        <v>0</v>
      </c>
      <c r="CO133">
        <v>0</v>
      </c>
      <c r="CP133">
        <v>0</v>
      </c>
      <c r="CU133">
        <v>-940718</v>
      </c>
      <c r="CV133">
        <v>702</v>
      </c>
      <c r="CW133" t="s">
        <v>492</v>
      </c>
      <c r="CX133">
        <v>702</v>
      </c>
      <c r="CY133" t="s">
        <v>492</v>
      </c>
      <c r="CZ133" t="s">
        <v>217</v>
      </c>
      <c r="DB133" t="s">
        <v>1639</v>
      </c>
      <c r="DD133" t="s">
        <v>1640</v>
      </c>
      <c r="DF133" t="s">
        <v>220</v>
      </c>
      <c r="DG133">
        <v>415001</v>
      </c>
      <c r="DL133">
        <v>0</v>
      </c>
      <c r="DN133">
        <v>0</v>
      </c>
      <c r="DP133" t="s">
        <v>1641</v>
      </c>
      <c r="DQ133">
        <v>9537271</v>
      </c>
      <c r="DR133" t="s">
        <v>223</v>
      </c>
      <c r="DS133">
        <v>18325.400000000001</v>
      </c>
      <c r="DT133" s="1">
        <v>45469</v>
      </c>
      <c r="DU133" t="s">
        <v>1642</v>
      </c>
      <c r="DV133">
        <v>0</v>
      </c>
      <c r="DW133">
        <v>1</v>
      </c>
      <c r="DX133">
        <v>9407.34</v>
      </c>
      <c r="DY133">
        <v>1693.32</v>
      </c>
      <c r="DZ133">
        <v>11100.66</v>
      </c>
      <c r="EC133">
        <v>0</v>
      </c>
      <c r="EQ133" t="s">
        <v>1643</v>
      </c>
      <c r="ER133" s="1">
        <v>45456</v>
      </c>
      <c r="ES133">
        <v>8500</v>
      </c>
      <c r="ET133">
        <v>697073.03</v>
      </c>
      <c r="EU133">
        <v>0</v>
      </c>
      <c r="EV133">
        <v>252200</v>
      </c>
      <c r="EW133" t="s">
        <v>1644</v>
      </c>
      <c r="EX133">
        <v>0</v>
      </c>
      <c r="EY133" t="s">
        <v>226</v>
      </c>
      <c r="EZ133" t="s">
        <v>226</v>
      </c>
      <c r="FA133" t="s">
        <v>226</v>
      </c>
      <c r="FB133" t="s">
        <v>226</v>
      </c>
      <c r="FC133" t="s">
        <v>202</v>
      </c>
      <c r="FD133" t="s">
        <v>202</v>
      </c>
      <c r="FE133" t="s">
        <v>202</v>
      </c>
      <c r="FF133" t="s">
        <v>202</v>
      </c>
      <c r="FG133" t="s">
        <v>202</v>
      </c>
      <c r="FH133" t="s">
        <v>202</v>
      </c>
      <c r="FI133" t="s">
        <v>202</v>
      </c>
      <c r="FJ133" t="s">
        <v>202</v>
      </c>
      <c r="FK133" t="s">
        <v>202</v>
      </c>
      <c r="FL133" t="s">
        <v>202</v>
      </c>
      <c r="FM133" t="s">
        <v>202</v>
      </c>
      <c r="FN133" t="s">
        <v>202</v>
      </c>
      <c r="FO133">
        <v>25872</v>
      </c>
      <c r="FP133">
        <v>13</v>
      </c>
      <c r="FQ133">
        <v>0</v>
      </c>
      <c r="FR133">
        <v>4738</v>
      </c>
      <c r="FS133">
        <v>0</v>
      </c>
      <c r="FT133">
        <v>0</v>
      </c>
      <c r="FW133">
        <v>0</v>
      </c>
      <c r="FX133">
        <v>0</v>
      </c>
      <c r="FY133">
        <v>0</v>
      </c>
      <c r="GA133">
        <v>0</v>
      </c>
    </row>
    <row r="134" spans="1:183" x14ac:dyDescent="0.3">
      <c r="A134">
        <v>11249</v>
      </c>
      <c r="B134">
        <v>188</v>
      </c>
      <c r="C134" t="s">
        <v>1281</v>
      </c>
      <c r="D134" t="s">
        <v>1281</v>
      </c>
      <c r="E134" t="s">
        <v>1645</v>
      </c>
      <c r="F134">
        <v>2457421156</v>
      </c>
      <c r="G134">
        <v>2457421156</v>
      </c>
      <c r="H134" t="s">
        <v>1646</v>
      </c>
      <c r="I134" t="s">
        <v>198</v>
      </c>
      <c r="J134" t="s">
        <v>199</v>
      </c>
      <c r="L134" t="s">
        <v>260</v>
      </c>
      <c r="O134">
        <v>7999234136</v>
      </c>
      <c r="P134" t="s">
        <v>1647</v>
      </c>
      <c r="Q134" s="1">
        <v>45470</v>
      </c>
      <c r="R134" s="1">
        <v>45470</v>
      </c>
      <c r="S134" s="1">
        <v>45469</v>
      </c>
      <c r="U134" t="s">
        <v>1647</v>
      </c>
      <c r="W134" t="s">
        <v>202</v>
      </c>
      <c r="AB134">
        <v>797478</v>
      </c>
      <c r="AD134" t="s">
        <v>287</v>
      </c>
      <c r="AE134">
        <v>4751</v>
      </c>
      <c r="AF134" t="s">
        <v>1648</v>
      </c>
      <c r="AG134" t="s">
        <v>206</v>
      </c>
      <c r="AH134" t="s">
        <v>1065</v>
      </c>
      <c r="AI134">
        <v>819310.33103400003</v>
      </c>
      <c r="AJ134">
        <v>1188000</v>
      </c>
      <c r="AK134">
        <v>45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5000</v>
      </c>
      <c r="AW134">
        <v>0</v>
      </c>
      <c r="AX134">
        <v>0</v>
      </c>
      <c r="AY134">
        <v>5000</v>
      </c>
      <c r="AZ134">
        <v>1183000</v>
      </c>
      <c r="BA134">
        <v>42000</v>
      </c>
      <c r="BB134">
        <v>0</v>
      </c>
      <c r="BC134">
        <v>0</v>
      </c>
      <c r="BD134">
        <v>126988</v>
      </c>
      <c r="BE134" t="s">
        <v>234</v>
      </c>
      <c r="BF134">
        <v>20190</v>
      </c>
      <c r="BG134">
        <v>5759</v>
      </c>
      <c r="BH134" t="s">
        <v>209</v>
      </c>
      <c r="BI134">
        <v>36675</v>
      </c>
      <c r="BJ134">
        <v>0</v>
      </c>
      <c r="BK134">
        <v>0</v>
      </c>
      <c r="BL134">
        <v>0</v>
      </c>
      <c r="BM134">
        <v>0</v>
      </c>
      <c r="BN134">
        <v>11830</v>
      </c>
      <c r="BO134">
        <v>0</v>
      </c>
      <c r="BP134">
        <v>0</v>
      </c>
      <c r="BQ134">
        <v>0</v>
      </c>
      <c r="BR134">
        <v>0</v>
      </c>
      <c r="BS134">
        <v>500</v>
      </c>
      <c r="BT134">
        <v>0</v>
      </c>
      <c r="BU134">
        <v>0</v>
      </c>
      <c r="BV134">
        <v>0</v>
      </c>
      <c r="BW134">
        <v>0</v>
      </c>
      <c r="BX134">
        <v>1426942</v>
      </c>
      <c r="BY134">
        <v>0</v>
      </c>
      <c r="BZ134">
        <v>24100</v>
      </c>
      <c r="CA134">
        <v>0</v>
      </c>
      <c r="CB134">
        <v>30635</v>
      </c>
      <c r="CC134">
        <v>0</v>
      </c>
      <c r="CD134">
        <v>0</v>
      </c>
      <c r="CE134">
        <v>54735</v>
      </c>
      <c r="CF134">
        <v>0</v>
      </c>
      <c r="CG134">
        <v>0</v>
      </c>
      <c r="CH134">
        <v>1120000</v>
      </c>
      <c r="CJ134" t="s">
        <v>522</v>
      </c>
      <c r="CL134" t="s">
        <v>211</v>
      </c>
      <c r="CM134">
        <v>652000</v>
      </c>
      <c r="CN134">
        <v>0</v>
      </c>
      <c r="CO134">
        <v>0</v>
      </c>
      <c r="CP134">
        <v>652000</v>
      </c>
      <c r="CQ134" t="s">
        <v>1649</v>
      </c>
      <c r="CU134">
        <v>-399793</v>
      </c>
      <c r="CV134">
        <v>1601</v>
      </c>
      <c r="CW134" t="s">
        <v>1503</v>
      </c>
      <c r="CX134">
        <v>702</v>
      </c>
      <c r="CY134" t="s">
        <v>492</v>
      </c>
      <c r="CZ134" t="s">
        <v>217</v>
      </c>
      <c r="DB134" t="s">
        <v>1650</v>
      </c>
      <c r="DD134" t="s">
        <v>1651</v>
      </c>
      <c r="DF134" t="s">
        <v>220</v>
      </c>
      <c r="DG134">
        <v>451001</v>
      </c>
      <c r="DL134">
        <v>0</v>
      </c>
      <c r="DN134">
        <v>0</v>
      </c>
      <c r="DP134" t="s">
        <v>1652</v>
      </c>
      <c r="DQ134">
        <v>9502793</v>
      </c>
      <c r="DR134" t="s">
        <v>223</v>
      </c>
      <c r="DS134">
        <v>20189.8</v>
      </c>
      <c r="DT134" s="1">
        <v>45470</v>
      </c>
      <c r="DU134" t="s">
        <v>1653</v>
      </c>
      <c r="DV134">
        <v>0</v>
      </c>
      <c r="DW134">
        <v>1</v>
      </c>
      <c r="DX134">
        <v>11200</v>
      </c>
      <c r="DY134">
        <v>2016</v>
      </c>
      <c r="DZ134">
        <v>13216</v>
      </c>
      <c r="EC134">
        <v>0</v>
      </c>
      <c r="EQ134" t="s">
        <v>1654</v>
      </c>
      <c r="ER134" s="1">
        <v>45421</v>
      </c>
      <c r="ES134">
        <v>8500</v>
      </c>
      <c r="ET134">
        <v>771935.03</v>
      </c>
      <c r="EU134">
        <v>0</v>
      </c>
      <c r="EV134">
        <v>253534</v>
      </c>
      <c r="EW134" t="s">
        <v>1655</v>
      </c>
      <c r="EX134">
        <v>0</v>
      </c>
      <c r="EY134" t="s">
        <v>226</v>
      </c>
      <c r="EZ134" t="s">
        <v>226</v>
      </c>
      <c r="FA134" t="s">
        <v>226</v>
      </c>
      <c r="FB134" t="s">
        <v>226</v>
      </c>
      <c r="FC134" t="s">
        <v>202</v>
      </c>
      <c r="FD134" t="s">
        <v>202</v>
      </c>
      <c r="FE134" t="s">
        <v>202</v>
      </c>
      <c r="FF134" t="s">
        <v>202</v>
      </c>
      <c r="FG134" t="s">
        <v>202</v>
      </c>
      <c r="FH134" t="s">
        <v>202</v>
      </c>
      <c r="FI134" t="s">
        <v>202</v>
      </c>
      <c r="FJ134" t="s">
        <v>202</v>
      </c>
      <c r="FK134" t="s">
        <v>202</v>
      </c>
      <c r="FL134" t="s">
        <v>202</v>
      </c>
      <c r="FM134" t="s">
        <v>202</v>
      </c>
      <c r="FN134" t="s">
        <v>202</v>
      </c>
      <c r="FO134">
        <v>41999</v>
      </c>
      <c r="FP134">
        <v>1</v>
      </c>
      <c r="FQ134">
        <v>0</v>
      </c>
      <c r="FR134">
        <v>4751</v>
      </c>
      <c r="FS134">
        <v>0</v>
      </c>
      <c r="FT134">
        <v>0</v>
      </c>
      <c r="FW134">
        <v>0</v>
      </c>
      <c r="FX134">
        <v>0</v>
      </c>
      <c r="FY134">
        <v>0</v>
      </c>
      <c r="GA134">
        <v>1151515</v>
      </c>
    </row>
    <row r="135" spans="1:183" x14ac:dyDescent="0.3">
      <c r="A135">
        <v>11267</v>
      </c>
      <c r="B135">
        <v>189</v>
      </c>
      <c r="C135" t="s">
        <v>1281</v>
      </c>
      <c r="D135" t="s">
        <v>1281</v>
      </c>
      <c r="E135" t="s">
        <v>1656</v>
      </c>
      <c r="F135">
        <v>2457449718</v>
      </c>
      <c r="G135">
        <v>2457449718</v>
      </c>
      <c r="H135" t="s">
        <v>1657</v>
      </c>
      <c r="I135" t="s">
        <v>198</v>
      </c>
      <c r="J135" t="s">
        <v>199</v>
      </c>
      <c r="L135" t="s">
        <v>260</v>
      </c>
      <c r="O135">
        <v>7049521946</v>
      </c>
      <c r="P135" t="s">
        <v>1658</v>
      </c>
      <c r="Q135" s="1">
        <v>45470</v>
      </c>
      <c r="R135" s="1">
        <v>45470</v>
      </c>
      <c r="S135" s="1">
        <v>45470</v>
      </c>
      <c r="U135" t="s">
        <v>1658</v>
      </c>
      <c r="W135" t="s">
        <v>202</v>
      </c>
      <c r="AB135" t="s">
        <v>1659</v>
      </c>
      <c r="AD135" t="s">
        <v>310</v>
      </c>
      <c r="AE135">
        <v>4763</v>
      </c>
      <c r="AF135" t="s">
        <v>355</v>
      </c>
      <c r="AG135" t="s">
        <v>232</v>
      </c>
      <c r="AH135" t="s">
        <v>207</v>
      </c>
      <c r="AI135">
        <v>434883.62790700002</v>
      </c>
      <c r="AJ135">
        <v>561000</v>
      </c>
      <c r="AK135">
        <v>29</v>
      </c>
      <c r="AL135">
        <v>10000</v>
      </c>
      <c r="AM135">
        <v>0</v>
      </c>
      <c r="AN135">
        <v>0</v>
      </c>
      <c r="AO135">
        <v>0</v>
      </c>
      <c r="AP135">
        <v>0</v>
      </c>
      <c r="AQ135">
        <v>15000</v>
      </c>
      <c r="AR135">
        <v>0</v>
      </c>
      <c r="AS135">
        <v>0</v>
      </c>
      <c r="AT135">
        <v>0</v>
      </c>
      <c r="AU135">
        <v>0</v>
      </c>
      <c r="AV135">
        <v>13851</v>
      </c>
      <c r="AW135">
        <v>0</v>
      </c>
      <c r="AX135">
        <v>0</v>
      </c>
      <c r="AY135">
        <v>38851</v>
      </c>
      <c r="AZ135">
        <v>522149</v>
      </c>
      <c r="BA135">
        <v>0</v>
      </c>
      <c r="BB135">
        <v>0</v>
      </c>
      <c r="BC135">
        <v>0</v>
      </c>
      <c r="BD135">
        <v>53351</v>
      </c>
      <c r="BE135" t="s">
        <v>208</v>
      </c>
      <c r="BF135">
        <v>0</v>
      </c>
      <c r="BG135">
        <v>0</v>
      </c>
      <c r="BH135" t="s">
        <v>209</v>
      </c>
      <c r="BI135">
        <v>25000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500</v>
      </c>
      <c r="BT135">
        <v>0</v>
      </c>
      <c r="BU135">
        <v>0</v>
      </c>
      <c r="BV135">
        <v>0</v>
      </c>
      <c r="BW135">
        <v>0</v>
      </c>
      <c r="BX135">
        <v>601000</v>
      </c>
      <c r="BY135">
        <v>0</v>
      </c>
      <c r="BZ135">
        <v>11800</v>
      </c>
      <c r="CA135">
        <v>0</v>
      </c>
      <c r="CB135">
        <v>71000</v>
      </c>
      <c r="CC135">
        <v>0</v>
      </c>
      <c r="CD135">
        <v>0</v>
      </c>
      <c r="CE135">
        <v>82800</v>
      </c>
      <c r="CF135">
        <v>0</v>
      </c>
      <c r="CG135">
        <v>0</v>
      </c>
      <c r="CH135">
        <v>530000</v>
      </c>
      <c r="CJ135" t="s">
        <v>210</v>
      </c>
      <c r="CL135" t="s">
        <v>211</v>
      </c>
      <c r="CM135">
        <v>0</v>
      </c>
      <c r="CN135">
        <v>0</v>
      </c>
      <c r="CO135">
        <v>0</v>
      </c>
      <c r="CP135">
        <v>0</v>
      </c>
      <c r="CU135">
        <v>-11800</v>
      </c>
      <c r="CV135">
        <v>981</v>
      </c>
      <c r="CW135" t="s">
        <v>1299</v>
      </c>
      <c r="CX135">
        <v>981</v>
      </c>
      <c r="CY135" t="s">
        <v>1299</v>
      </c>
      <c r="CZ135" t="s">
        <v>217</v>
      </c>
      <c r="DB135" t="s">
        <v>1660</v>
      </c>
      <c r="DD135" t="s">
        <v>1661</v>
      </c>
      <c r="DF135" t="s">
        <v>220</v>
      </c>
      <c r="DG135">
        <v>451113</v>
      </c>
      <c r="DL135">
        <v>0</v>
      </c>
      <c r="DN135">
        <v>0</v>
      </c>
      <c r="DP135" t="s">
        <v>1662</v>
      </c>
      <c r="DQ135">
        <v>4270163</v>
      </c>
      <c r="DR135" t="s">
        <v>223</v>
      </c>
      <c r="DS135">
        <v>0</v>
      </c>
      <c r="DV135">
        <v>0</v>
      </c>
      <c r="DW135">
        <v>1.5</v>
      </c>
      <c r="DX135">
        <v>7950</v>
      </c>
      <c r="DY135">
        <v>1431</v>
      </c>
      <c r="DZ135">
        <v>9381</v>
      </c>
      <c r="EC135">
        <v>0</v>
      </c>
      <c r="EQ135" t="s">
        <v>1663</v>
      </c>
      <c r="ER135" s="1">
        <v>45462</v>
      </c>
      <c r="ES135">
        <v>3000</v>
      </c>
      <c r="ET135">
        <v>404981.86</v>
      </c>
      <c r="EU135">
        <v>5426.4</v>
      </c>
      <c r="EV135">
        <v>253893</v>
      </c>
      <c r="EW135" t="s">
        <v>1664</v>
      </c>
      <c r="EX135">
        <v>0</v>
      </c>
      <c r="EY135" t="s">
        <v>226</v>
      </c>
      <c r="EZ135" t="s">
        <v>202</v>
      </c>
      <c r="FA135" t="s">
        <v>226</v>
      </c>
      <c r="FB135" t="s">
        <v>226</v>
      </c>
      <c r="FC135" t="s">
        <v>202</v>
      </c>
      <c r="FD135" t="s">
        <v>202</v>
      </c>
      <c r="FE135" t="s">
        <v>202</v>
      </c>
      <c r="FF135" t="s">
        <v>202</v>
      </c>
      <c r="FG135" t="s">
        <v>202</v>
      </c>
      <c r="FH135" t="s">
        <v>202</v>
      </c>
      <c r="FI135" t="s">
        <v>202</v>
      </c>
      <c r="FJ135" t="s">
        <v>202</v>
      </c>
      <c r="FK135" t="s">
        <v>202</v>
      </c>
      <c r="FL135" t="s">
        <v>202</v>
      </c>
      <c r="FM135" t="s">
        <v>202</v>
      </c>
      <c r="FN135" t="s">
        <v>202</v>
      </c>
      <c r="FO135">
        <v>12700</v>
      </c>
      <c r="FP135">
        <v>-12700</v>
      </c>
      <c r="FQ135">
        <v>68.709999999999994</v>
      </c>
      <c r="FR135">
        <v>4763</v>
      </c>
      <c r="FS135">
        <v>0</v>
      </c>
      <c r="FT135">
        <v>0</v>
      </c>
      <c r="FW135">
        <v>0</v>
      </c>
      <c r="FX135">
        <v>0</v>
      </c>
      <c r="FY135">
        <v>0</v>
      </c>
      <c r="GA135">
        <v>530900</v>
      </c>
    </row>
    <row r="136" spans="1:183" x14ac:dyDescent="0.3">
      <c r="A136">
        <v>11271</v>
      </c>
      <c r="B136">
        <v>190</v>
      </c>
      <c r="C136" t="s">
        <v>1281</v>
      </c>
      <c r="D136" t="s">
        <v>1281</v>
      </c>
      <c r="E136" t="s">
        <v>1665</v>
      </c>
      <c r="F136">
        <v>2457407748</v>
      </c>
      <c r="G136">
        <v>2457407748</v>
      </c>
      <c r="H136" t="s">
        <v>1666</v>
      </c>
      <c r="I136" t="s">
        <v>198</v>
      </c>
      <c r="J136" t="s">
        <v>199</v>
      </c>
      <c r="L136" t="s">
        <v>260</v>
      </c>
      <c r="O136">
        <v>9425331728</v>
      </c>
      <c r="P136" t="s">
        <v>1667</v>
      </c>
      <c r="Q136" s="1">
        <v>45470</v>
      </c>
      <c r="R136" s="1">
        <v>45470</v>
      </c>
      <c r="S136" s="1">
        <v>45470</v>
      </c>
      <c r="U136" t="s">
        <v>1667</v>
      </c>
      <c r="W136" t="s">
        <v>202</v>
      </c>
      <c r="AB136" t="s">
        <v>1668</v>
      </c>
      <c r="AD136" t="s">
        <v>310</v>
      </c>
      <c r="AE136">
        <v>4763</v>
      </c>
      <c r="AF136" t="s">
        <v>355</v>
      </c>
      <c r="AG136" t="s">
        <v>232</v>
      </c>
      <c r="AH136" t="s">
        <v>466</v>
      </c>
      <c r="AI136">
        <v>434883.62790700002</v>
      </c>
      <c r="AJ136">
        <v>561000</v>
      </c>
      <c r="AK136">
        <v>29</v>
      </c>
      <c r="AL136">
        <v>10000</v>
      </c>
      <c r="AM136">
        <v>0</v>
      </c>
      <c r="AN136">
        <v>0</v>
      </c>
      <c r="AO136">
        <v>0</v>
      </c>
      <c r="AP136">
        <v>0</v>
      </c>
      <c r="AQ136">
        <v>15000</v>
      </c>
      <c r="AR136">
        <v>0</v>
      </c>
      <c r="AS136">
        <v>0</v>
      </c>
      <c r="AT136">
        <v>0</v>
      </c>
      <c r="AU136">
        <v>0</v>
      </c>
      <c r="AV136">
        <v>7206</v>
      </c>
      <c r="AW136">
        <v>0</v>
      </c>
      <c r="AX136">
        <v>0</v>
      </c>
      <c r="AY136">
        <v>32206</v>
      </c>
      <c r="AZ136">
        <v>528794</v>
      </c>
      <c r="BA136">
        <v>30000</v>
      </c>
      <c r="BB136">
        <v>0</v>
      </c>
      <c r="BC136">
        <v>0</v>
      </c>
      <c r="BD136">
        <v>53351</v>
      </c>
      <c r="BE136" t="s">
        <v>234</v>
      </c>
      <c r="BF136">
        <v>8744</v>
      </c>
      <c r="BG136">
        <v>2726</v>
      </c>
      <c r="BH136" t="s">
        <v>209</v>
      </c>
      <c r="BI136">
        <v>25000</v>
      </c>
      <c r="BJ136">
        <v>885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500</v>
      </c>
      <c r="BT136">
        <v>0</v>
      </c>
      <c r="BU136">
        <v>0</v>
      </c>
      <c r="BV136">
        <v>0</v>
      </c>
      <c r="BW136">
        <v>0</v>
      </c>
      <c r="BX136">
        <v>650000</v>
      </c>
      <c r="BY136">
        <v>0</v>
      </c>
      <c r="BZ136">
        <v>62500</v>
      </c>
      <c r="CA136">
        <v>0</v>
      </c>
      <c r="CB136">
        <v>51953</v>
      </c>
      <c r="CC136">
        <v>51953</v>
      </c>
      <c r="CD136">
        <v>0</v>
      </c>
      <c r="CE136">
        <v>114453</v>
      </c>
      <c r="CF136">
        <v>0</v>
      </c>
      <c r="CG136">
        <v>0</v>
      </c>
      <c r="CH136">
        <v>535547</v>
      </c>
      <c r="CJ136" t="s">
        <v>380</v>
      </c>
      <c r="CL136" t="s">
        <v>211</v>
      </c>
      <c r="CM136">
        <v>0</v>
      </c>
      <c r="CN136">
        <v>0</v>
      </c>
      <c r="CO136">
        <v>0</v>
      </c>
      <c r="CP136">
        <v>0</v>
      </c>
      <c r="CU136">
        <v>0</v>
      </c>
      <c r="CV136">
        <v>1623</v>
      </c>
      <c r="CW136" t="s">
        <v>1309</v>
      </c>
      <c r="CX136">
        <v>366</v>
      </c>
      <c r="CY136" t="s">
        <v>1310</v>
      </c>
      <c r="CZ136" t="s">
        <v>217</v>
      </c>
      <c r="DB136" t="s">
        <v>1669</v>
      </c>
      <c r="DD136" t="s">
        <v>1670</v>
      </c>
      <c r="DF136" t="s">
        <v>220</v>
      </c>
      <c r="DG136">
        <v>451001</v>
      </c>
      <c r="DL136">
        <v>0</v>
      </c>
      <c r="DN136">
        <v>0</v>
      </c>
      <c r="DP136" t="s">
        <v>1671</v>
      </c>
      <c r="DQ136">
        <v>4250368</v>
      </c>
      <c r="DR136" t="s">
        <v>223</v>
      </c>
      <c r="DS136">
        <v>8743.7999999999993</v>
      </c>
      <c r="DT136" s="1">
        <v>45470</v>
      </c>
      <c r="DU136" t="s">
        <v>1672</v>
      </c>
      <c r="DV136">
        <v>0</v>
      </c>
      <c r="DW136">
        <v>1.5</v>
      </c>
      <c r="DX136">
        <v>8033.21</v>
      </c>
      <c r="DY136">
        <v>1445.98</v>
      </c>
      <c r="DZ136">
        <v>9479.19</v>
      </c>
      <c r="EC136">
        <v>0</v>
      </c>
      <c r="EQ136" t="s">
        <v>1673</v>
      </c>
      <c r="ER136" s="1">
        <v>45412</v>
      </c>
      <c r="ES136">
        <v>3000</v>
      </c>
      <c r="ET136">
        <v>404981.86</v>
      </c>
      <c r="EU136">
        <v>5426.4</v>
      </c>
      <c r="EV136">
        <v>253397</v>
      </c>
      <c r="EW136" t="s">
        <v>1674</v>
      </c>
      <c r="EX136">
        <v>0</v>
      </c>
      <c r="EY136" t="s">
        <v>226</v>
      </c>
      <c r="EZ136" t="s">
        <v>226</v>
      </c>
      <c r="FA136" t="s">
        <v>226</v>
      </c>
      <c r="FB136" t="s">
        <v>226</v>
      </c>
      <c r="FC136" t="s">
        <v>202</v>
      </c>
      <c r="FD136" t="s">
        <v>202</v>
      </c>
      <c r="FE136" t="s">
        <v>202</v>
      </c>
      <c r="FF136" t="s">
        <v>202</v>
      </c>
      <c r="FG136" t="s">
        <v>202</v>
      </c>
      <c r="FH136" t="s">
        <v>202</v>
      </c>
      <c r="FI136" t="s">
        <v>202</v>
      </c>
      <c r="FJ136" t="s">
        <v>202</v>
      </c>
      <c r="FK136" t="s">
        <v>202</v>
      </c>
      <c r="FL136" t="s">
        <v>202</v>
      </c>
      <c r="FM136" t="s">
        <v>202</v>
      </c>
      <c r="FN136" t="s">
        <v>202</v>
      </c>
      <c r="FO136">
        <v>29998</v>
      </c>
      <c r="FP136">
        <v>2</v>
      </c>
      <c r="FQ136">
        <v>0</v>
      </c>
      <c r="FR136">
        <v>4763</v>
      </c>
      <c r="FS136">
        <v>0</v>
      </c>
      <c r="FT136">
        <v>0</v>
      </c>
      <c r="FW136">
        <v>0</v>
      </c>
      <c r="FX136">
        <v>0</v>
      </c>
      <c r="FY136">
        <v>0</v>
      </c>
      <c r="GA136">
        <v>560998</v>
      </c>
    </row>
    <row r="137" spans="1:183" x14ac:dyDescent="0.3">
      <c r="A137">
        <v>11274</v>
      </c>
      <c r="B137">
        <v>191</v>
      </c>
      <c r="C137" t="s">
        <v>1281</v>
      </c>
      <c r="D137" t="s">
        <v>1281</v>
      </c>
      <c r="E137" t="s">
        <v>1675</v>
      </c>
      <c r="F137">
        <v>2457430907</v>
      </c>
      <c r="G137">
        <v>2457430907</v>
      </c>
      <c r="H137" t="s">
        <v>1676</v>
      </c>
      <c r="I137" t="s">
        <v>198</v>
      </c>
      <c r="J137" t="s">
        <v>199</v>
      </c>
      <c r="L137" t="s">
        <v>260</v>
      </c>
      <c r="O137">
        <v>9754220228</v>
      </c>
      <c r="P137" t="s">
        <v>1677</v>
      </c>
      <c r="Q137" s="1">
        <v>45471</v>
      </c>
      <c r="R137" s="1">
        <v>45471</v>
      </c>
      <c r="S137" s="1">
        <v>45471</v>
      </c>
      <c r="U137" t="s">
        <v>1677</v>
      </c>
      <c r="W137" t="s">
        <v>202</v>
      </c>
      <c r="AB137" t="s">
        <v>1678</v>
      </c>
      <c r="AD137" t="s">
        <v>310</v>
      </c>
      <c r="AE137">
        <v>4763</v>
      </c>
      <c r="AF137" t="s">
        <v>355</v>
      </c>
      <c r="AG137" t="s">
        <v>232</v>
      </c>
      <c r="AH137" t="s">
        <v>466</v>
      </c>
      <c r="AI137">
        <v>434883.62790700002</v>
      </c>
      <c r="AJ137">
        <v>561000</v>
      </c>
      <c r="AK137">
        <v>29</v>
      </c>
      <c r="AL137">
        <v>10000</v>
      </c>
      <c r="AM137">
        <v>0</v>
      </c>
      <c r="AN137">
        <v>0</v>
      </c>
      <c r="AO137">
        <v>2100</v>
      </c>
      <c r="AP137">
        <v>0</v>
      </c>
      <c r="AQ137">
        <v>15000</v>
      </c>
      <c r="AR137">
        <v>0</v>
      </c>
      <c r="AS137">
        <v>0</v>
      </c>
      <c r="AT137">
        <v>0</v>
      </c>
      <c r="AU137">
        <v>0</v>
      </c>
      <c r="AV137">
        <v>17751</v>
      </c>
      <c r="AW137">
        <v>0</v>
      </c>
      <c r="AX137">
        <v>0</v>
      </c>
      <c r="AY137">
        <v>44851</v>
      </c>
      <c r="AZ137">
        <v>516149</v>
      </c>
      <c r="BA137">
        <v>30000</v>
      </c>
      <c r="BB137">
        <v>0</v>
      </c>
      <c r="BC137">
        <v>0</v>
      </c>
      <c r="BD137">
        <v>53351</v>
      </c>
      <c r="BE137" t="s">
        <v>208</v>
      </c>
      <c r="BF137">
        <v>0</v>
      </c>
      <c r="BG137">
        <v>0</v>
      </c>
      <c r="BH137" t="s">
        <v>209</v>
      </c>
      <c r="BI137">
        <v>25000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500</v>
      </c>
      <c r="BT137">
        <v>0</v>
      </c>
      <c r="BU137">
        <v>0</v>
      </c>
      <c r="BV137">
        <v>0</v>
      </c>
      <c r="BW137">
        <v>0</v>
      </c>
      <c r="BX137">
        <v>625000</v>
      </c>
      <c r="BY137">
        <v>0</v>
      </c>
      <c r="BZ137">
        <v>0</v>
      </c>
      <c r="CA137">
        <v>0</v>
      </c>
      <c r="CB137">
        <v>625000</v>
      </c>
      <c r="CC137">
        <v>0</v>
      </c>
      <c r="CD137">
        <v>0</v>
      </c>
      <c r="CE137">
        <v>625000</v>
      </c>
      <c r="CF137">
        <v>0</v>
      </c>
      <c r="CG137">
        <v>0</v>
      </c>
      <c r="CH137">
        <v>500000</v>
      </c>
      <c r="CJ137" t="s">
        <v>235</v>
      </c>
      <c r="CL137" t="s">
        <v>211</v>
      </c>
      <c r="CM137">
        <v>0</v>
      </c>
      <c r="CN137">
        <v>0</v>
      </c>
      <c r="CO137">
        <v>0</v>
      </c>
      <c r="CP137">
        <v>0</v>
      </c>
      <c r="CU137">
        <v>-500000</v>
      </c>
      <c r="CV137">
        <v>981</v>
      </c>
      <c r="CW137" t="s">
        <v>1299</v>
      </c>
      <c r="CX137">
        <v>981</v>
      </c>
      <c r="CY137" t="s">
        <v>1299</v>
      </c>
      <c r="CZ137" t="s">
        <v>217</v>
      </c>
      <c r="DB137" t="s">
        <v>1679</v>
      </c>
      <c r="DD137" t="s">
        <v>1680</v>
      </c>
      <c r="DF137" t="s">
        <v>220</v>
      </c>
      <c r="DG137">
        <v>451113</v>
      </c>
      <c r="DL137">
        <v>0</v>
      </c>
      <c r="DN137">
        <v>0</v>
      </c>
      <c r="DP137" t="s">
        <v>1681</v>
      </c>
      <c r="DQ137">
        <v>4271251</v>
      </c>
      <c r="DR137" t="s">
        <v>223</v>
      </c>
      <c r="DS137">
        <v>0</v>
      </c>
      <c r="DV137">
        <v>0</v>
      </c>
      <c r="DW137">
        <v>0.97</v>
      </c>
      <c r="DX137">
        <v>4850</v>
      </c>
      <c r="DY137">
        <v>873</v>
      </c>
      <c r="DZ137">
        <v>5723</v>
      </c>
      <c r="EC137">
        <v>0</v>
      </c>
      <c r="EQ137" t="s">
        <v>1682</v>
      </c>
      <c r="ER137" s="1">
        <v>45463</v>
      </c>
      <c r="ES137">
        <v>3000</v>
      </c>
      <c r="ET137">
        <v>404981.86</v>
      </c>
      <c r="EU137">
        <v>5426.4</v>
      </c>
      <c r="EV137">
        <v>254048</v>
      </c>
      <c r="EW137" t="s">
        <v>1683</v>
      </c>
      <c r="EX137">
        <v>0</v>
      </c>
      <c r="EY137" t="s">
        <v>226</v>
      </c>
      <c r="EZ137" t="s">
        <v>202</v>
      </c>
      <c r="FA137" t="s">
        <v>226</v>
      </c>
      <c r="FB137" t="s">
        <v>226</v>
      </c>
      <c r="FC137" t="s">
        <v>202</v>
      </c>
      <c r="FD137" t="s">
        <v>202</v>
      </c>
      <c r="FE137" t="s">
        <v>202</v>
      </c>
      <c r="FF137" t="s">
        <v>202</v>
      </c>
      <c r="FG137" t="s">
        <v>202</v>
      </c>
      <c r="FH137" t="s">
        <v>202</v>
      </c>
      <c r="FI137" t="s">
        <v>202</v>
      </c>
      <c r="FJ137" t="s">
        <v>202</v>
      </c>
      <c r="FK137" t="s">
        <v>202</v>
      </c>
      <c r="FL137" t="s">
        <v>202</v>
      </c>
      <c r="FM137" t="s">
        <v>202</v>
      </c>
      <c r="FN137" t="s">
        <v>202</v>
      </c>
      <c r="FO137">
        <v>23859</v>
      </c>
      <c r="FP137">
        <v>6141</v>
      </c>
      <c r="FQ137">
        <v>0</v>
      </c>
      <c r="FR137">
        <v>4763</v>
      </c>
      <c r="FS137">
        <v>0</v>
      </c>
      <c r="FT137">
        <v>0</v>
      </c>
      <c r="FW137">
        <v>0</v>
      </c>
      <c r="FX137">
        <v>0</v>
      </c>
      <c r="FY137">
        <v>0</v>
      </c>
      <c r="GA137">
        <v>-6141</v>
      </c>
    </row>
    <row r="138" spans="1:183" x14ac:dyDescent="0.3">
      <c r="A138">
        <v>11276</v>
      </c>
      <c r="B138">
        <v>192</v>
      </c>
      <c r="C138" t="s">
        <v>1281</v>
      </c>
      <c r="D138" t="s">
        <v>1281</v>
      </c>
      <c r="E138" t="s">
        <v>1684</v>
      </c>
      <c r="F138">
        <v>2457421501</v>
      </c>
      <c r="G138">
        <v>2457421501</v>
      </c>
      <c r="H138" t="s">
        <v>1685</v>
      </c>
      <c r="I138" t="s">
        <v>198</v>
      </c>
      <c r="J138" t="s">
        <v>199</v>
      </c>
      <c r="L138" t="s">
        <v>333</v>
      </c>
      <c r="O138">
        <v>9644530106</v>
      </c>
      <c r="P138" t="s">
        <v>1686</v>
      </c>
      <c r="Q138" s="1">
        <v>45469</v>
      </c>
      <c r="R138" s="1">
        <v>45469</v>
      </c>
      <c r="S138" s="1">
        <v>45471</v>
      </c>
      <c r="U138" t="s">
        <v>1686</v>
      </c>
      <c r="W138" t="s">
        <v>202</v>
      </c>
      <c r="AB138">
        <v>126575</v>
      </c>
      <c r="AD138" t="s">
        <v>230</v>
      </c>
      <c r="AE138">
        <v>4813</v>
      </c>
      <c r="AF138" t="s">
        <v>796</v>
      </c>
      <c r="AG138" t="s">
        <v>232</v>
      </c>
      <c r="AH138" t="s">
        <v>1040</v>
      </c>
      <c r="AI138">
        <v>502901</v>
      </c>
      <c r="AJ138">
        <v>648742</v>
      </c>
      <c r="AK138">
        <v>29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8269</v>
      </c>
      <c r="AW138">
        <v>0</v>
      </c>
      <c r="AX138">
        <v>0</v>
      </c>
      <c r="AY138">
        <v>8269</v>
      </c>
      <c r="AZ138">
        <v>640473</v>
      </c>
      <c r="BA138">
        <v>50290</v>
      </c>
      <c r="BB138">
        <v>0</v>
      </c>
      <c r="BC138">
        <v>0</v>
      </c>
      <c r="BD138">
        <v>59570</v>
      </c>
      <c r="BE138" t="s">
        <v>234</v>
      </c>
      <c r="BF138">
        <v>11033</v>
      </c>
      <c r="BG138">
        <v>3635</v>
      </c>
      <c r="BH138" t="s">
        <v>209</v>
      </c>
      <c r="BI138">
        <v>26500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500</v>
      </c>
      <c r="BT138">
        <v>0</v>
      </c>
      <c r="BU138">
        <v>0</v>
      </c>
      <c r="BV138">
        <v>0</v>
      </c>
      <c r="BW138">
        <v>0</v>
      </c>
      <c r="BX138">
        <v>792001</v>
      </c>
      <c r="BY138">
        <v>0</v>
      </c>
      <c r="BZ138">
        <v>0</v>
      </c>
      <c r="CA138">
        <v>0</v>
      </c>
      <c r="CB138">
        <v>310700</v>
      </c>
      <c r="CC138">
        <v>0</v>
      </c>
      <c r="CD138">
        <v>0</v>
      </c>
      <c r="CE138">
        <v>310700</v>
      </c>
      <c r="CF138">
        <v>0</v>
      </c>
      <c r="CG138">
        <v>0</v>
      </c>
      <c r="CH138">
        <v>481300</v>
      </c>
      <c r="CJ138" t="s">
        <v>276</v>
      </c>
      <c r="CL138" t="s">
        <v>211</v>
      </c>
      <c r="CM138">
        <v>0</v>
      </c>
      <c r="CN138">
        <v>0</v>
      </c>
      <c r="CO138">
        <v>0</v>
      </c>
      <c r="CP138">
        <v>0</v>
      </c>
      <c r="CU138">
        <v>1</v>
      </c>
      <c r="CV138">
        <v>702</v>
      </c>
      <c r="CW138" t="s">
        <v>492</v>
      </c>
      <c r="CX138">
        <v>702</v>
      </c>
      <c r="CY138" t="s">
        <v>492</v>
      </c>
      <c r="CZ138" t="s">
        <v>217</v>
      </c>
      <c r="DB138" t="s">
        <v>1687</v>
      </c>
      <c r="DD138" t="s">
        <v>1688</v>
      </c>
      <c r="DF138" t="s">
        <v>220</v>
      </c>
      <c r="DG138">
        <v>450001</v>
      </c>
      <c r="DL138">
        <v>0</v>
      </c>
      <c r="DN138">
        <v>0</v>
      </c>
      <c r="DP138" t="s">
        <v>1689</v>
      </c>
      <c r="DQ138">
        <v>1026351</v>
      </c>
      <c r="DR138" t="s">
        <v>223</v>
      </c>
      <c r="DS138">
        <v>11033</v>
      </c>
      <c r="DT138" s="1">
        <v>45471</v>
      </c>
      <c r="DU138" t="s">
        <v>1690</v>
      </c>
      <c r="DV138">
        <v>0</v>
      </c>
      <c r="DW138">
        <v>1</v>
      </c>
      <c r="DX138">
        <v>4813</v>
      </c>
      <c r="DY138">
        <v>866.34</v>
      </c>
      <c r="DZ138">
        <v>5679.34</v>
      </c>
      <c r="EC138">
        <v>0</v>
      </c>
      <c r="EQ138" t="s">
        <v>1691</v>
      </c>
      <c r="ER138" s="1">
        <v>45451</v>
      </c>
      <c r="ES138">
        <v>6000</v>
      </c>
      <c r="ET138">
        <v>483126</v>
      </c>
      <c r="EU138">
        <v>0</v>
      </c>
      <c r="EV138">
        <v>253556</v>
      </c>
      <c r="EW138" t="s">
        <v>1692</v>
      </c>
      <c r="EX138">
        <v>0</v>
      </c>
      <c r="EY138" t="s">
        <v>226</v>
      </c>
      <c r="EZ138" t="s">
        <v>226</v>
      </c>
      <c r="FA138" t="s">
        <v>226</v>
      </c>
      <c r="FB138" t="s">
        <v>226</v>
      </c>
      <c r="FC138" t="s">
        <v>202</v>
      </c>
      <c r="FD138" t="s">
        <v>202</v>
      </c>
      <c r="FE138" t="s">
        <v>202</v>
      </c>
      <c r="FF138" t="s">
        <v>202</v>
      </c>
      <c r="FG138" t="s">
        <v>202</v>
      </c>
      <c r="FH138" t="s">
        <v>202</v>
      </c>
      <c r="FI138" t="s">
        <v>202</v>
      </c>
      <c r="FJ138" t="s">
        <v>202</v>
      </c>
      <c r="FK138" t="s">
        <v>202</v>
      </c>
      <c r="FL138" t="s">
        <v>202</v>
      </c>
      <c r="FM138" t="s">
        <v>202</v>
      </c>
      <c r="FN138" t="s">
        <v>202</v>
      </c>
      <c r="FO138">
        <v>50285</v>
      </c>
      <c r="FP138">
        <v>5</v>
      </c>
      <c r="FQ138">
        <v>0</v>
      </c>
      <c r="FR138">
        <v>4813</v>
      </c>
      <c r="FS138">
        <v>0</v>
      </c>
      <c r="FT138">
        <v>0</v>
      </c>
      <c r="FW138">
        <v>0</v>
      </c>
      <c r="FX138">
        <v>0</v>
      </c>
      <c r="FY138">
        <v>0</v>
      </c>
      <c r="GA138">
        <v>-5</v>
      </c>
    </row>
    <row r="139" spans="1:183" x14ac:dyDescent="0.3">
      <c r="A139">
        <v>11278</v>
      </c>
      <c r="B139">
        <v>193</v>
      </c>
      <c r="C139" t="s">
        <v>1281</v>
      </c>
      <c r="D139" t="s">
        <v>1281</v>
      </c>
      <c r="E139" t="s">
        <v>1693</v>
      </c>
      <c r="F139">
        <v>2457461103</v>
      </c>
      <c r="G139">
        <v>2457461103</v>
      </c>
      <c r="H139" t="s">
        <v>1694</v>
      </c>
      <c r="I139" t="s">
        <v>198</v>
      </c>
      <c r="J139" t="s">
        <v>488</v>
      </c>
      <c r="L139" t="s">
        <v>1695</v>
      </c>
      <c r="O139">
        <v>9977777931</v>
      </c>
      <c r="P139" t="s">
        <v>1696</v>
      </c>
      <c r="Q139" s="1">
        <v>45471</v>
      </c>
      <c r="R139" s="1">
        <v>45471</v>
      </c>
      <c r="S139" s="1">
        <v>45471</v>
      </c>
      <c r="U139" t="s">
        <v>1696</v>
      </c>
      <c r="W139" t="s">
        <v>202</v>
      </c>
      <c r="AB139">
        <v>820126</v>
      </c>
      <c r="AD139" t="s">
        <v>287</v>
      </c>
      <c r="AE139">
        <v>4738</v>
      </c>
      <c r="AF139" t="s">
        <v>288</v>
      </c>
      <c r="AG139" t="s">
        <v>206</v>
      </c>
      <c r="AH139" t="s">
        <v>250</v>
      </c>
      <c r="AI139">
        <v>743448.26896599995</v>
      </c>
      <c r="AJ139">
        <v>1077999</v>
      </c>
      <c r="AK139">
        <v>45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1077999</v>
      </c>
      <c r="BA139">
        <v>30550</v>
      </c>
      <c r="BB139">
        <v>0</v>
      </c>
      <c r="BC139">
        <v>0</v>
      </c>
      <c r="BD139">
        <v>5000</v>
      </c>
      <c r="BE139" t="s">
        <v>234</v>
      </c>
      <c r="BF139">
        <v>18326</v>
      </c>
      <c r="BG139">
        <v>0</v>
      </c>
      <c r="BH139" t="s">
        <v>209</v>
      </c>
      <c r="BI139">
        <v>27762</v>
      </c>
      <c r="BJ139">
        <v>885</v>
      </c>
      <c r="BK139">
        <v>0</v>
      </c>
      <c r="BL139">
        <v>0</v>
      </c>
      <c r="BM139">
        <v>0</v>
      </c>
      <c r="BN139">
        <v>10789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1171311</v>
      </c>
      <c r="BY139">
        <v>0</v>
      </c>
      <c r="BZ139">
        <v>0</v>
      </c>
      <c r="CA139">
        <v>0</v>
      </c>
      <c r="CB139">
        <v>1171310</v>
      </c>
      <c r="CC139">
        <v>1128000</v>
      </c>
      <c r="CD139">
        <v>0</v>
      </c>
      <c r="CE139">
        <v>1171310</v>
      </c>
      <c r="CF139">
        <v>0</v>
      </c>
      <c r="CG139">
        <v>0</v>
      </c>
      <c r="CH139">
        <v>0</v>
      </c>
      <c r="CJ139" t="s">
        <v>1158</v>
      </c>
      <c r="CL139" t="s">
        <v>236</v>
      </c>
      <c r="CM139">
        <v>0</v>
      </c>
      <c r="CN139">
        <v>0</v>
      </c>
      <c r="CO139">
        <v>0</v>
      </c>
      <c r="CP139">
        <v>0</v>
      </c>
      <c r="CU139">
        <v>1</v>
      </c>
      <c r="CV139">
        <v>366</v>
      </c>
      <c r="CW139" t="s">
        <v>1310</v>
      </c>
      <c r="CX139">
        <v>366</v>
      </c>
      <c r="CY139" t="s">
        <v>1310</v>
      </c>
      <c r="CZ139" t="s">
        <v>217</v>
      </c>
      <c r="DB139" t="s">
        <v>1697</v>
      </c>
      <c r="DD139" t="s">
        <v>1698</v>
      </c>
      <c r="DF139" t="s">
        <v>220</v>
      </c>
      <c r="DG139">
        <v>413521</v>
      </c>
      <c r="DL139">
        <v>0</v>
      </c>
      <c r="DN139">
        <v>0</v>
      </c>
      <c r="DP139" t="s">
        <v>1699</v>
      </c>
      <c r="DQ139">
        <v>9533071</v>
      </c>
      <c r="DR139" t="s">
        <v>223</v>
      </c>
      <c r="DS139">
        <v>18325.400000000001</v>
      </c>
      <c r="DT139" s="1">
        <v>45472</v>
      </c>
      <c r="DU139" t="s">
        <v>1700</v>
      </c>
      <c r="DV139">
        <v>0</v>
      </c>
      <c r="EQ139" t="s">
        <v>1701</v>
      </c>
      <c r="ER139" s="1">
        <v>45454</v>
      </c>
      <c r="ES139">
        <v>8500</v>
      </c>
      <c r="ET139">
        <v>697073.03</v>
      </c>
      <c r="EU139">
        <v>0</v>
      </c>
      <c r="EV139">
        <v>254038</v>
      </c>
      <c r="EW139" t="s">
        <v>1702</v>
      </c>
      <c r="EX139">
        <v>0</v>
      </c>
      <c r="EY139" t="s">
        <v>226</v>
      </c>
      <c r="EZ139" t="s">
        <v>226</v>
      </c>
      <c r="FA139" t="s">
        <v>226</v>
      </c>
      <c r="FB139" t="s">
        <v>202</v>
      </c>
      <c r="FC139" t="s">
        <v>202</v>
      </c>
      <c r="FD139" t="s">
        <v>202</v>
      </c>
      <c r="FE139" t="s">
        <v>202</v>
      </c>
      <c r="FF139" t="s">
        <v>202</v>
      </c>
      <c r="FG139" t="s">
        <v>202</v>
      </c>
      <c r="FH139" t="s">
        <v>202</v>
      </c>
      <c r="FI139" t="s">
        <v>202</v>
      </c>
      <c r="FJ139" t="s">
        <v>202</v>
      </c>
      <c r="FK139" t="s">
        <v>202</v>
      </c>
      <c r="FL139" t="s">
        <v>202</v>
      </c>
      <c r="FM139" t="s">
        <v>202</v>
      </c>
      <c r="FN139" t="s">
        <v>202</v>
      </c>
      <c r="FO139">
        <v>25155</v>
      </c>
      <c r="FP139">
        <v>5395</v>
      </c>
      <c r="FQ139">
        <v>0</v>
      </c>
      <c r="FR139">
        <v>4738</v>
      </c>
      <c r="FS139">
        <v>0</v>
      </c>
      <c r="FT139">
        <v>0</v>
      </c>
      <c r="FW139">
        <v>0</v>
      </c>
      <c r="FX139">
        <v>0</v>
      </c>
      <c r="FY139">
        <v>0</v>
      </c>
      <c r="GA139">
        <v>-6280</v>
      </c>
    </row>
    <row r="140" spans="1:183" x14ac:dyDescent="0.3">
      <c r="A140">
        <v>11289</v>
      </c>
      <c r="B140">
        <v>194</v>
      </c>
      <c r="C140" t="s">
        <v>1281</v>
      </c>
      <c r="D140" t="s">
        <v>1281</v>
      </c>
      <c r="E140" t="s">
        <v>1703</v>
      </c>
      <c r="F140">
        <v>2456524605</v>
      </c>
      <c r="G140">
        <v>2456524605</v>
      </c>
      <c r="H140" t="s">
        <v>1704</v>
      </c>
      <c r="I140" t="s">
        <v>1705</v>
      </c>
      <c r="J140" t="s">
        <v>199</v>
      </c>
      <c r="L140" t="s">
        <v>1706</v>
      </c>
      <c r="O140">
        <v>9993307229</v>
      </c>
      <c r="P140" t="s">
        <v>1707</v>
      </c>
      <c r="Q140" s="1">
        <v>45472</v>
      </c>
      <c r="R140" s="1">
        <v>45472</v>
      </c>
      <c r="S140" s="1">
        <v>45472</v>
      </c>
      <c r="U140" t="s">
        <v>1707</v>
      </c>
      <c r="W140" t="s">
        <v>202</v>
      </c>
      <c r="AB140" t="s">
        <v>1708</v>
      </c>
      <c r="AD140" t="s">
        <v>310</v>
      </c>
      <c r="AE140">
        <v>4765</v>
      </c>
      <c r="AF140" t="s">
        <v>367</v>
      </c>
      <c r="AG140" t="s">
        <v>232</v>
      </c>
      <c r="AH140" t="s">
        <v>207</v>
      </c>
      <c r="AI140">
        <v>440309.992248</v>
      </c>
      <c r="AJ140">
        <v>568000</v>
      </c>
      <c r="AK140">
        <v>29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15750</v>
      </c>
      <c r="AW140">
        <v>0</v>
      </c>
      <c r="AX140">
        <v>0</v>
      </c>
      <c r="AY140">
        <v>15750</v>
      </c>
      <c r="AZ140">
        <v>552250</v>
      </c>
      <c r="BA140">
        <v>0</v>
      </c>
      <c r="BB140">
        <v>0</v>
      </c>
      <c r="BC140">
        <v>0</v>
      </c>
      <c r="BD140">
        <v>0</v>
      </c>
      <c r="BE140" t="s">
        <v>1380</v>
      </c>
      <c r="BF140">
        <v>0</v>
      </c>
      <c r="BG140">
        <v>0</v>
      </c>
      <c r="BH140" t="s">
        <v>208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552250</v>
      </c>
      <c r="BY140">
        <v>0</v>
      </c>
      <c r="BZ140">
        <v>0</v>
      </c>
      <c r="CA140">
        <v>0</v>
      </c>
      <c r="CB140">
        <v>639000</v>
      </c>
      <c r="CC140">
        <v>0</v>
      </c>
      <c r="CD140">
        <v>0</v>
      </c>
      <c r="CE140">
        <v>639000</v>
      </c>
      <c r="CF140">
        <v>0</v>
      </c>
      <c r="CG140">
        <v>0</v>
      </c>
      <c r="CH140">
        <v>0</v>
      </c>
      <c r="CJ140" t="s">
        <v>77</v>
      </c>
      <c r="CL140" t="s">
        <v>77</v>
      </c>
      <c r="CM140">
        <v>0</v>
      </c>
      <c r="CN140">
        <v>0</v>
      </c>
      <c r="CO140">
        <v>0</v>
      </c>
      <c r="CP140">
        <v>0</v>
      </c>
      <c r="CU140">
        <v>-86750</v>
      </c>
      <c r="CV140" t="s">
        <v>1556</v>
      </c>
      <c r="CW140" t="s">
        <v>1557</v>
      </c>
      <c r="CX140" t="s">
        <v>1556</v>
      </c>
      <c r="CY140" t="s">
        <v>1557</v>
      </c>
      <c r="CZ140" t="s">
        <v>217</v>
      </c>
      <c r="DB140" t="s">
        <v>1709</v>
      </c>
      <c r="DD140" t="s">
        <v>1710</v>
      </c>
      <c r="DF140" t="s">
        <v>220</v>
      </c>
      <c r="DG140">
        <v>461122</v>
      </c>
      <c r="DL140">
        <v>0</v>
      </c>
      <c r="DN140">
        <v>0</v>
      </c>
      <c r="DP140" t="s">
        <v>1711</v>
      </c>
      <c r="DQ140">
        <v>4269708</v>
      </c>
      <c r="DR140" t="s">
        <v>208</v>
      </c>
      <c r="DS140">
        <v>0</v>
      </c>
      <c r="DV140">
        <v>0</v>
      </c>
      <c r="EQ140" t="s">
        <v>1712</v>
      </c>
      <c r="ER140" s="1">
        <v>45458</v>
      </c>
      <c r="ES140">
        <v>3000</v>
      </c>
      <c r="ET140">
        <v>410408.86</v>
      </c>
      <c r="EU140">
        <v>5426.4</v>
      </c>
      <c r="EV140">
        <v>243326</v>
      </c>
      <c r="EW140" t="s">
        <v>1713</v>
      </c>
      <c r="EX140">
        <v>0</v>
      </c>
      <c r="EY140" t="s">
        <v>202</v>
      </c>
      <c r="EZ140" t="s">
        <v>202</v>
      </c>
      <c r="FA140" t="s">
        <v>202</v>
      </c>
      <c r="FB140" t="s">
        <v>202</v>
      </c>
      <c r="FC140" t="s">
        <v>202</v>
      </c>
      <c r="FD140" t="s">
        <v>202</v>
      </c>
      <c r="FE140" t="s">
        <v>202</v>
      </c>
      <c r="FF140" t="s">
        <v>202</v>
      </c>
      <c r="FG140" t="s">
        <v>202</v>
      </c>
      <c r="FH140" t="s">
        <v>202</v>
      </c>
      <c r="FI140" t="s">
        <v>202</v>
      </c>
      <c r="FJ140" t="s">
        <v>202</v>
      </c>
      <c r="FK140" t="s">
        <v>202</v>
      </c>
      <c r="FL140" t="s">
        <v>202</v>
      </c>
      <c r="FM140" t="s">
        <v>202</v>
      </c>
      <c r="FN140" t="s">
        <v>202</v>
      </c>
      <c r="FO140">
        <v>0</v>
      </c>
      <c r="FP140">
        <v>0</v>
      </c>
      <c r="FQ140">
        <v>0</v>
      </c>
      <c r="FR140">
        <v>4765</v>
      </c>
      <c r="FS140">
        <v>0</v>
      </c>
      <c r="FT140">
        <v>0</v>
      </c>
      <c r="FW140">
        <v>0</v>
      </c>
      <c r="FX140">
        <v>0</v>
      </c>
      <c r="FY140">
        <v>0</v>
      </c>
      <c r="GA140">
        <v>552250</v>
      </c>
    </row>
    <row r="141" spans="1:183" x14ac:dyDescent="0.3">
      <c r="A141">
        <v>11294</v>
      </c>
      <c r="B141">
        <v>195</v>
      </c>
      <c r="C141" t="s">
        <v>1281</v>
      </c>
      <c r="D141" t="s">
        <v>1281</v>
      </c>
      <c r="E141" t="s">
        <v>1714</v>
      </c>
      <c r="F141">
        <v>2457400797</v>
      </c>
      <c r="G141">
        <v>2457400797</v>
      </c>
      <c r="H141" t="s">
        <v>1715</v>
      </c>
      <c r="I141" t="s">
        <v>198</v>
      </c>
      <c r="J141" t="s">
        <v>1716</v>
      </c>
      <c r="L141" t="s">
        <v>1717</v>
      </c>
      <c r="O141">
        <v>7354839022</v>
      </c>
      <c r="P141" t="s">
        <v>1718</v>
      </c>
      <c r="Q141" s="1">
        <v>45468</v>
      </c>
      <c r="R141" s="1">
        <v>45468</v>
      </c>
      <c r="S141" s="1">
        <v>45473</v>
      </c>
      <c r="U141" t="s">
        <v>1718</v>
      </c>
      <c r="W141" t="s">
        <v>202</v>
      </c>
      <c r="AB141">
        <v>295507</v>
      </c>
      <c r="AD141" t="s">
        <v>683</v>
      </c>
      <c r="AE141">
        <v>4803</v>
      </c>
      <c r="AF141" t="s">
        <v>1719</v>
      </c>
      <c r="AG141" t="s">
        <v>232</v>
      </c>
      <c r="AH141" t="s">
        <v>250</v>
      </c>
      <c r="AI141">
        <v>546124</v>
      </c>
      <c r="AJ141">
        <v>704500</v>
      </c>
      <c r="AK141">
        <v>29</v>
      </c>
      <c r="AL141">
        <v>20000</v>
      </c>
      <c r="AM141">
        <v>0</v>
      </c>
      <c r="AN141">
        <v>0</v>
      </c>
      <c r="AO141">
        <v>0</v>
      </c>
      <c r="AP141">
        <v>0</v>
      </c>
      <c r="AQ141">
        <v>20000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40000</v>
      </c>
      <c r="AZ141">
        <v>664500</v>
      </c>
      <c r="BA141">
        <v>19360</v>
      </c>
      <c r="BB141">
        <v>0</v>
      </c>
      <c r="BC141">
        <v>0</v>
      </c>
      <c r="BD141">
        <v>64531</v>
      </c>
      <c r="BE141" t="s">
        <v>234</v>
      </c>
      <c r="BF141">
        <v>11046</v>
      </c>
      <c r="BG141">
        <v>3635</v>
      </c>
      <c r="BH141" t="s">
        <v>209</v>
      </c>
      <c r="BI141">
        <v>21511</v>
      </c>
      <c r="BJ141">
        <v>885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500</v>
      </c>
      <c r="BT141">
        <v>0</v>
      </c>
      <c r="BU141">
        <v>0</v>
      </c>
      <c r="BV141">
        <v>0</v>
      </c>
      <c r="BW141">
        <v>0</v>
      </c>
      <c r="BX141">
        <v>785968</v>
      </c>
      <c r="BY141">
        <v>0</v>
      </c>
      <c r="BZ141">
        <v>191900</v>
      </c>
      <c r="CA141">
        <v>0</v>
      </c>
      <c r="CB141">
        <v>594268</v>
      </c>
      <c r="CC141">
        <v>0</v>
      </c>
      <c r="CD141">
        <v>0</v>
      </c>
      <c r="CE141">
        <v>786168</v>
      </c>
      <c r="CF141">
        <v>0</v>
      </c>
      <c r="CG141">
        <v>0</v>
      </c>
      <c r="CH141">
        <v>0</v>
      </c>
      <c r="CJ141" t="s">
        <v>77</v>
      </c>
      <c r="CL141" t="s">
        <v>77</v>
      </c>
      <c r="CM141">
        <v>0</v>
      </c>
      <c r="CN141">
        <v>0</v>
      </c>
      <c r="CO141">
        <v>0</v>
      </c>
      <c r="CP141">
        <v>0</v>
      </c>
      <c r="CU141">
        <v>-200</v>
      </c>
      <c r="CV141">
        <v>2257</v>
      </c>
      <c r="CW141" t="s">
        <v>1462</v>
      </c>
      <c r="CX141">
        <v>702</v>
      </c>
      <c r="CY141" t="s">
        <v>492</v>
      </c>
      <c r="CZ141" t="s">
        <v>217</v>
      </c>
      <c r="DB141" t="s">
        <v>1720</v>
      </c>
      <c r="DD141" t="s">
        <v>1721</v>
      </c>
      <c r="DF141" t="s">
        <v>220</v>
      </c>
      <c r="DG141">
        <v>211001</v>
      </c>
      <c r="DL141">
        <v>0</v>
      </c>
      <c r="DN141">
        <v>0</v>
      </c>
      <c r="DP141" t="s">
        <v>1722</v>
      </c>
      <c r="DQ141" t="s">
        <v>1723</v>
      </c>
      <c r="DR141" t="s">
        <v>223</v>
      </c>
      <c r="DS141">
        <v>10974</v>
      </c>
      <c r="DT141" s="1">
        <v>45473</v>
      </c>
      <c r="DU141" t="s">
        <v>1724</v>
      </c>
      <c r="DV141">
        <v>0</v>
      </c>
      <c r="EQ141" t="s">
        <v>1725</v>
      </c>
      <c r="ER141" s="1">
        <v>45454</v>
      </c>
      <c r="ES141">
        <v>4000</v>
      </c>
      <c r="ET141">
        <v>506946.3</v>
      </c>
      <c r="EU141">
        <v>10852.7</v>
      </c>
      <c r="EV141">
        <v>253342</v>
      </c>
      <c r="EW141" t="s">
        <v>1726</v>
      </c>
      <c r="EX141">
        <v>0</v>
      </c>
      <c r="EY141" t="s">
        <v>226</v>
      </c>
      <c r="EZ141" t="s">
        <v>226</v>
      </c>
      <c r="FA141" t="s">
        <v>226</v>
      </c>
      <c r="FB141" t="s">
        <v>226</v>
      </c>
      <c r="FC141" t="s">
        <v>202</v>
      </c>
      <c r="FD141" t="s">
        <v>202</v>
      </c>
      <c r="FE141" t="s">
        <v>202</v>
      </c>
      <c r="FF141" t="s">
        <v>202</v>
      </c>
      <c r="FG141" t="s">
        <v>202</v>
      </c>
      <c r="FH141" t="s">
        <v>202</v>
      </c>
      <c r="FI141" t="s">
        <v>202</v>
      </c>
      <c r="FJ141" t="s">
        <v>202</v>
      </c>
      <c r="FK141" t="s">
        <v>202</v>
      </c>
      <c r="FL141" t="s">
        <v>202</v>
      </c>
      <c r="FM141" t="s">
        <v>202</v>
      </c>
      <c r="FN141" t="s">
        <v>202</v>
      </c>
      <c r="FO141">
        <v>0</v>
      </c>
      <c r="FP141">
        <v>19360</v>
      </c>
      <c r="FQ141">
        <v>0</v>
      </c>
      <c r="FR141">
        <v>4803</v>
      </c>
      <c r="FS141">
        <v>0</v>
      </c>
      <c r="FT141">
        <v>0</v>
      </c>
      <c r="FW141">
        <v>0</v>
      </c>
      <c r="FX141">
        <v>0</v>
      </c>
      <c r="FY141">
        <v>0</v>
      </c>
      <c r="GA141">
        <v>573793</v>
      </c>
    </row>
    <row r="142" spans="1:183" x14ac:dyDescent="0.3">
      <c r="A142">
        <v>11128</v>
      </c>
      <c r="B142">
        <v>196</v>
      </c>
      <c r="C142" t="s">
        <v>1727</v>
      </c>
      <c r="D142" t="s">
        <v>1727</v>
      </c>
      <c r="E142" t="s">
        <v>1728</v>
      </c>
      <c r="F142">
        <v>2457213390</v>
      </c>
      <c r="G142">
        <v>2457213390</v>
      </c>
      <c r="H142" t="s">
        <v>1729</v>
      </c>
      <c r="I142" t="s">
        <v>198</v>
      </c>
      <c r="J142" t="s">
        <v>199</v>
      </c>
      <c r="L142" t="s">
        <v>393</v>
      </c>
      <c r="O142">
        <v>9826504405</v>
      </c>
      <c r="P142" t="s">
        <v>1730</v>
      </c>
      <c r="Q142" s="1">
        <v>45456</v>
      </c>
      <c r="R142" s="1">
        <v>45456</v>
      </c>
      <c r="S142" s="1">
        <v>45455</v>
      </c>
      <c r="U142" t="s">
        <v>1730</v>
      </c>
      <c r="W142" t="s">
        <v>202</v>
      </c>
      <c r="AB142">
        <v>318672</v>
      </c>
      <c r="AD142" t="s">
        <v>1731</v>
      </c>
      <c r="AE142">
        <v>4677</v>
      </c>
      <c r="AF142" t="s">
        <v>1732</v>
      </c>
      <c r="AG142" t="s">
        <v>232</v>
      </c>
      <c r="AH142" t="s">
        <v>207</v>
      </c>
      <c r="AI142">
        <v>422265.632813</v>
      </c>
      <c r="AJ142">
        <v>540500</v>
      </c>
      <c r="AK142">
        <v>28</v>
      </c>
      <c r="AL142">
        <v>15000</v>
      </c>
      <c r="AM142">
        <v>0</v>
      </c>
      <c r="AN142">
        <v>0</v>
      </c>
      <c r="AO142">
        <v>0</v>
      </c>
      <c r="AP142">
        <v>25000</v>
      </c>
      <c r="AQ142">
        <v>15000</v>
      </c>
      <c r="AR142">
        <v>0</v>
      </c>
      <c r="AS142">
        <v>0</v>
      </c>
      <c r="AT142">
        <v>0</v>
      </c>
      <c r="AU142">
        <v>0</v>
      </c>
      <c r="AV142">
        <v>2640</v>
      </c>
      <c r="AW142">
        <v>0</v>
      </c>
      <c r="AX142">
        <v>0</v>
      </c>
      <c r="AY142">
        <v>57640</v>
      </c>
      <c r="AZ142">
        <v>482860</v>
      </c>
      <c r="BA142">
        <v>0</v>
      </c>
      <c r="BB142">
        <v>0</v>
      </c>
      <c r="BC142">
        <v>0</v>
      </c>
      <c r="BD142">
        <v>53040</v>
      </c>
      <c r="BE142" t="s">
        <v>208</v>
      </c>
      <c r="BF142">
        <v>0</v>
      </c>
      <c r="BG142">
        <v>0</v>
      </c>
      <c r="BH142" t="s">
        <v>209</v>
      </c>
      <c r="BI142">
        <v>22100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558000</v>
      </c>
      <c r="BY142">
        <v>0</v>
      </c>
      <c r="BZ142">
        <v>20500</v>
      </c>
      <c r="CA142">
        <v>0</v>
      </c>
      <c r="CB142">
        <v>1500</v>
      </c>
      <c r="CC142">
        <v>0</v>
      </c>
      <c r="CD142">
        <v>0</v>
      </c>
      <c r="CE142">
        <v>22000</v>
      </c>
      <c r="CF142">
        <v>0</v>
      </c>
      <c r="CG142">
        <v>0</v>
      </c>
      <c r="CH142">
        <v>536000</v>
      </c>
      <c r="CJ142" t="s">
        <v>210</v>
      </c>
      <c r="CL142" t="s">
        <v>211</v>
      </c>
      <c r="CM142">
        <v>0</v>
      </c>
      <c r="CN142">
        <v>0</v>
      </c>
      <c r="CO142">
        <v>0</v>
      </c>
      <c r="CP142">
        <v>0</v>
      </c>
      <c r="CQ142" t="s">
        <v>1733</v>
      </c>
      <c r="CU142">
        <v>0</v>
      </c>
      <c r="CV142" t="s">
        <v>1734</v>
      </c>
      <c r="CW142" t="s">
        <v>1735</v>
      </c>
      <c r="CX142" t="s">
        <v>1736</v>
      </c>
      <c r="CY142" t="s">
        <v>1737</v>
      </c>
      <c r="CZ142" t="s">
        <v>217</v>
      </c>
      <c r="DB142" s="2">
        <v>12785</v>
      </c>
      <c r="DD142" t="s">
        <v>1738</v>
      </c>
      <c r="DF142" t="s">
        <v>220</v>
      </c>
      <c r="DG142">
        <v>451551</v>
      </c>
      <c r="DL142">
        <v>0</v>
      </c>
      <c r="DN142">
        <v>0</v>
      </c>
      <c r="DP142" t="s">
        <v>1739</v>
      </c>
      <c r="DQ142">
        <v>4252748</v>
      </c>
      <c r="DR142" t="s">
        <v>223</v>
      </c>
      <c r="DS142">
        <v>0</v>
      </c>
      <c r="DV142">
        <v>0</v>
      </c>
      <c r="DW142">
        <v>1.5</v>
      </c>
      <c r="DX142">
        <v>8040</v>
      </c>
      <c r="DY142">
        <v>1447.2</v>
      </c>
      <c r="DZ142">
        <v>9487.2000000000007</v>
      </c>
      <c r="EC142">
        <v>0</v>
      </c>
      <c r="EQ142" t="s">
        <v>1740</v>
      </c>
      <c r="ER142" s="1">
        <v>45418</v>
      </c>
      <c r="ES142">
        <v>3000</v>
      </c>
      <c r="ET142">
        <v>385606.06</v>
      </c>
      <c r="EU142">
        <v>8984.4</v>
      </c>
      <c r="EV142">
        <v>251104</v>
      </c>
      <c r="EW142" t="s">
        <v>1741</v>
      </c>
      <c r="EX142">
        <v>0</v>
      </c>
      <c r="EY142" t="s">
        <v>226</v>
      </c>
      <c r="EZ142" t="s">
        <v>202</v>
      </c>
      <c r="FA142" t="s">
        <v>226</v>
      </c>
      <c r="FB142" t="s">
        <v>202</v>
      </c>
      <c r="FC142" t="s">
        <v>202</v>
      </c>
      <c r="FD142" t="s">
        <v>202</v>
      </c>
      <c r="FE142" t="s">
        <v>202</v>
      </c>
      <c r="FF142" t="s">
        <v>202</v>
      </c>
      <c r="FG142" t="s">
        <v>202</v>
      </c>
      <c r="FH142" t="s">
        <v>202</v>
      </c>
      <c r="FI142" t="s">
        <v>202</v>
      </c>
      <c r="FJ142" t="s">
        <v>202</v>
      </c>
      <c r="FK142" t="s">
        <v>202</v>
      </c>
      <c r="FL142" t="s">
        <v>202</v>
      </c>
      <c r="FM142" t="s">
        <v>202</v>
      </c>
      <c r="FN142" t="s">
        <v>202</v>
      </c>
      <c r="FO142">
        <v>0</v>
      </c>
      <c r="FP142">
        <v>0</v>
      </c>
      <c r="FQ142">
        <v>0</v>
      </c>
      <c r="FR142">
        <v>4677</v>
      </c>
      <c r="FS142">
        <v>0</v>
      </c>
      <c r="FT142">
        <v>0</v>
      </c>
      <c r="FW142">
        <v>0</v>
      </c>
      <c r="FX142">
        <v>0</v>
      </c>
      <c r="FY142">
        <v>0</v>
      </c>
      <c r="GA142">
        <v>0</v>
      </c>
    </row>
    <row r="143" spans="1:183" x14ac:dyDescent="0.3">
      <c r="A143">
        <v>11139</v>
      </c>
      <c r="B143">
        <v>197</v>
      </c>
      <c r="C143" t="s">
        <v>1727</v>
      </c>
      <c r="D143" t="s">
        <v>1727</v>
      </c>
      <c r="E143" t="s">
        <v>1742</v>
      </c>
      <c r="F143">
        <v>2457241824</v>
      </c>
      <c r="G143">
        <v>2457241824</v>
      </c>
      <c r="H143" t="s">
        <v>1743</v>
      </c>
      <c r="I143" t="s">
        <v>198</v>
      </c>
      <c r="J143" t="s">
        <v>199</v>
      </c>
      <c r="L143" t="s">
        <v>1744</v>
      </c>
      <c r="O143">
        <v>8602357586</v>
      </c>
      <c r="P143" t="s">
        <v>1745</v>
      </c>
      <c r="Q143" s="1">
        <v>45456</v>
      </c>
      <c r="R143" s="1">
        <v>45456</v>
      </c>
      <c r="S143" s="1">
        <v>45456</v>
      </c>
      <c r="U143" t="s">
        <v>1745</v>
      </c>
      <c r="W143" t="s">
        <v>202</v>
      </c>
      <c r="AB143">
        <v>312881</v>
      </c>
      <c r="AD143" t="s">
        <v>1731</v>
      </c>
      <c r="AE143">
        <v>4719</v>
      </c>
      <c r="AF143" t="s">
        <v>1746</v>
      </c>
      <c r="AG143" t="s">
        <v>206</v>
      </c>
      <c r="AH143" t="s">
        <v>207</v>
      </c>
      <c r="AI143">
        <v>500390.632813</v>
      </c>
      <c r="AJ143">
        <v>640500</v>
      </c>
      <c r="AK143">
        <v>28</v>
      </c>
      <c r="AL143">
        <v>10000</v>
      </c>
      <c r="AM143">
        <v>0</v>
      </c>
      <c r="AN143">
        <v>0</v>
      </c>
      <c r="AO143">
        <v>4100</v>
      </c>
      <c r="AP143">
        <v>0</v>
      </c>
      <c r="AQ143">
        <v>10000</v>
      </c>
      <c r="AR143">
        <v>0</v>
      </c>
      <c r="AS143">
        <v>0</v>
      </c>
      <c r="AT143">
        <v>0</v>
      </c>
      <c r="AU143">
        <v>0</v>
      </c>
      <c r="AV143">
        <v>7500</v>
      </c>
      <c r="AW143">
        <v>0</v>
      </c>
      <c r="AX143">
        <v>0</v>
      </c>
      <c r="AY143">
        <v>31600</v>
      </c>
      <c r="AZ143">
        <v>608900</v>
      </c>
      <c r="BA143">
        <v>0</v>
      </c>
      <c r="BB143">
        <v>0</v>
      </c>
      <c r="BC143">
        <v>0</v>
      </c>
      <c r="BD143">
        <v>61040</v>
      </c>
      <c r="BE143" t="s">
        <v>208</v>
      </c>
      <c r="BF143">
        <v>0</v>
      </c>
      <c r="BG143">
        <v>0</v>
      </c>
      <c r="BH143" t="s">
        <v>209</v>
      </c>
      <c r="BI143">
        <v>23500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693440</v>
      </c>
      <c r="BY143">
        <v>0</v>
      </c>
      <c r="BZ143">
        <v>0</v>
      </c>
      <c r="CA143">
        <v>0</v>
      </c>
      <c r="CB143">
        <v>44440</v>
      </c>
      <c r="CC143">
        <v>0</v>
      </c>
      <c r="CD143">
        <v>0</v>
      </c>
      <c r="CE143">
        <v>44440</v>
      </c>
      <c r="CF143">
        <v>0</v>
      </c>
      <c r="CG143">
        <v>0</v>
      </c>
      <c r="CH143">
        <v>640000</v>
      </c>
      <c r="CJ143" t="s">
        <v>210</v>
      </c>
      <c r="CL143" t="s">
        <v>211</v>
      </c>
      <c r="CM143">
        <v>0</v>
      </c>
      <c r="CN143">
        <v>0</v>
      </c>
      <c r="CO143">
        <v>0</v>
      </c>
      <c r="CP143">
        <v>0</v>
      </c>
      <c r="CU143">
        <v>9000</v>
      </c>
      <c r="CV143" t="s">
        <v>1747</v>
      </c>
      <c r="CW143" t="s">
        <v>1748</v>
      </c>
      <c r="CX143" t="s">
        <v>1749</v>
      </c>
      <c r="CY143" t="s">
        <v>1750</v>
      </c>
      <c r="CZ143" t="s">
        <v>217</v>
      </c>
      <c r="DB143" s="2">
        <v>13181</v>
      </c>
      <c r="DD143" t="s">
        <v>1751</v>
      </c>
      <c r="DF143" t="s">
        <v>220</v>
      </c>
      <c r="DG143">
        <v>451666</v>
      </c>
      <c r="DL143">
        <v>0</v>
      </c>
      <c r="DN143">
        <v>0</v>
      </c>
      <c r="DP143" t="s">
        <v>1752</v>
      </c>
      <c r="DQ143">
        <v>4225291</v>
      </c>
      <c r="DR143" t="s">
        <v>223</v>
      </c>
      <c r="DS143">
        <v>0</v>
      </c>
      <c r="DV143">
        <v>0</v>
      </c>
      <c r="DW143">
        <v>1.5</v>
      </c>
      <c r="DX143">
        <v>9600</v>
      </c>
      <c r="DY143">
        <v>1728</v>
      </c>
      <c r="DZ143">
        <v>11328</v>
      </c>
      <c r="EC143">
        <v>0</v>
      </c>
      <c r="EQ143" t="s">
        <v>1753</v>
      </c>
      <c r="ER143" s="1">
        <v>45367</v>
      </c>
      <c r="ES143">
        <v>3000</v>
      </c>
      <c r="ET143">
        <v>465856.25</v>
      </c>
      <c r="EU143">
        <v>5859.38</v>
      </c>
      <c r="EV143">
        <v>251361</v>
      </c>
      <c r="EW143" t="s">
        <v>1754</v>
      </c>
      <c r="EX143">
        <v>0</v>
      </c>
      <c r="EY143" t="s">
        <v>226</v>
      </c>
      <c r="EZ143" t="s">
        <v>202</v>
      </c>
      <c r="FA143" t="s">
        <v>226</v>
      </c>
      <c r="FB143" t="s">
        <v>202</v>
      </c>
      <c r="FC143" t="s">
        <v>202</v>
      </c>
      <c r="FD143" t="s">
        <v>202</v>
      </c>
      <c r="FE143" t="s">
        <v>202</v>
      </c>
      <c r="FF143" t="s">
        <v>202</v>
      </c>
      <c r="FG143" t="s">
        <v>202</v>
      </c>
      <c r="FH143" t="s">
        <v>202</v>
      </c>
      <c r="FI143" t="s">
        <v>202</v>
      </c>
      <c r="FJ143" t="s">
        <v>202</v>
      </c>
      <c r="FK143" t="s">
        <v>202</v>
      </c>
      <c r="FL143" t="s">
        <v>202</v>
      </c>
      <c r="FM143" t="s">
        <v>202</v>
      </c>
      <c r="FN143" t="s">
        <v>202</v>
      </c>
      <c r="FO143">
        <v>0</v>
      </c>
      <c r="FP143">
        <v>0</v>
      </c>
      <c r="FQ143">
        <v>0</v>
      </c>
      <c r="FR143">
        <v>4719</v>
      </c>
      <c r="FS143">
        <v>0</v>
      </c>
      <c r="FT143">
        <v>0</v>
      </c>
      <c r="FW143">
        <v>0</v>
      </c>
      <c r="FX143">
        <v>0</v>
      </c>
      <c r="FY143">
        <v>0</v>
      </c>
      <c r="GA143">
        <v>9000</v>
      </c>
    </row>
    <row r="144" spans="1:183" x14ac:dyDescent="0.3">
      <c r="A144">
        <v>11148</v>
      </c>
      <c r="B144">
        <v>198</v>
      </c>
      <c r="C144" t="s">
        <v>1727</v>
      </c>
      <c r="D144" t="s">
        <v>1727</v>
      </c>
      <c r="E144" t="s">
        <v>1755</v>
      </c>
      <c r="F144">
        <v>2457227205</v>
      </c>
      <c r="G144">
        <v>2457227205</v>
      </c>
      <c r="H144" t="s">
        <v>1756</v>
      </c>
      <c r="I144" t="s">
        <v>198</v>
      </c>
      <c r="J144" t="s">
        <v>199</v>
      </c>
      <c r="L144" t="s">
        <v>260</v>
      </c>
      <c r="O144">
        <v>9926056039</v>
      </c>
      <c r="P144" t="s">
        <v>1757</v>
      </c>
      <c r="Q144" s="1">
        <v>45457</v>
      </c>
      <c r="R144" s="1">
        <v>45457</v>
      </c>
      <c r="S144" s="1">
        <v>45457</v>
      </c>
      <c r="U144" t="s">
        <v>1757</v>
      </c>
      <c r="W144" t="s">
        <v>202</v>
      </c>
      <c r="AB144">
        <v>321317</v>
      </c>
      <c r="AD144" t="s">
        <v>1731</v>
      </c>
      <c r="AE144">
        <v>4677</v>
      </c>
      <c r="AF144" t="s">
        <v>1732</v>
      </c>
      <c r="AG144" t="s">
        <v>232</v>
      </c>
      <c r="AH144" t="s">
        <v>207</v>
      </c>
      <c r="AI144">
        <v>422265.632813</v>
      </c>
      <c r="AJ144">
        <v>540500</v>
      </c>
      <c r="AK144">
        <v>28</v>
      </c>
      <c r="AL144">
        <v>15000</v>
      </c>
      <c r="AM144">
        <v>0</v>
      </c>
      <c r="AN144">
        <v>0</v>
      </c>
      <c r="AO144">
        <v>3100</v>
      </c>
      <c r="AP144">
        <v>25000</v>
      </c>
      <c r="AQ144">
        <v>15000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58100</v>
      </c>
      <c r="AZ144">
        <v>482400</v>
      </c>
      <c r="BA144">
        <v>13880</v>
      </c>
      <c r="BB144">
        <v>0</v>
      </c>
      <c r="BC144">
        <v>0</v>
      </c>
      <c r="BD144">
        <v>55540</v>
      </c>
      <c r="BE144" t="s">
        <v>208</v>
      </c>
      <c r="BF144">
        <v>0</v>
      </c>
      <c r="BG144">
        <v>0</v>
      </c>
      <c r="BH144" t="s">
        <v>209</v>
      </c>
      <c r="BI144">
        <v>22500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500</v>
      </c>
      <c r="BT144">
        <v>0</v>
      </c>
      <c r="BU144">
        <v>0</v>
      </c>
      <c r="BV144">
        <v>0</v>
      </c>
      <c r="BW144">
        <v>0</v>
      </c>
      <c r="BX144">
        <v>574820</v>
      </c>
      <c r="BY144">
        <v>0</v>
      </c>
      <c r="BZ144">
        <v>0</v>
      </c>
      <c r="CA144">
        <v>0</v>
      </c>
      <c r="CB144">
        <v>641616</v>
      </c>
      <c r="CC144">
        <v>1100</v>
      </c>
      <c r="CD144">
        <v>0</v>
      </c>
      <c r="CE144">
        <v>641616</v>
      </c>
      <c r="CF144">
        <v>0</v>
      </c>
      <c r="CG144">
        <v>0</v>
      </c>
      <c r="CH144">
        <v>640516</v>
      </c>
      <c r="CJ144" t="s">
        <v>406</v>
      </c>
      <c r="CL144" t="s">
        <v>236</v>
      </c>
      <c r="CM144">
        <v>0</v>
      </c>
      <c r="CN144">
        <v>0</v>
      </c>
      <c r="CO144">
        <v>0</v>
      </c>
      <c r="CP144">
        <v>0</v>
      </c>
      <c r="CQ144" t="s">
        <v>1758</v>
      </c>
      <c r="CU144">
        <v>-707312</v>
      </c>
      <c r="CV144">
        <v>1782</v>
      </c>
      <c r="CW144" t="s">
        <v>1285</v>
      </c>
      <c r="CX144">
        <v>702</v>
      </c>
      <c r="CY144" t="s">
        <v>492</v>
      </c>
      <c r="CZ144" t="s">
        <v>217</v>
      </c>
      <c r="DB144" s="2">
        <v>13971</v>
      </c>
      <c r="DD144" t="s">
        <v>1759</v>
      </c>
      <c r="DF144" t="s">
        <v>220</v>
      </c>
      <c r="DG144">
        <v>451331</v>
      </c>
      <c r="DL144">
        <v>0</v>
      </c>
      <c r="DN144">
        <v>0</v>
      </c>
      <c r="DP144" t="s">
        <v>1760</v>
      </c>
      <c r="DQ144">
        <v>4266798</v>
      </c>
      <c r="DR144" t="s">
        <v>223</v>
      </c>
      <c r="DS144">
        <v>0</v>
      </c>
      <c r="DV144">
        <v>0</v>
      </c>
      <c r="DW144">
        <v>1.27</v>
      </c>
      <c r="DX144">
        <v>8134.55</v>
      </c>
      <c r="DY144">
        <v>1464.22</v>
      </c>
      <c r="DZ144">
        <v>9598.77</v>
      </c>
      <c r="EC144">
        <v>0</v>
      </c>
      <c r="EQ144" t="s">
        <v>1761</v>
      </c>
      <c r="ER144" s="1">
        <v>45448</v>
      </c>
      <c r="ES144">
        <v>3000</v>
      </c>
      <c r="ET144">
        <v>385606.06</v>
      </c>
      <c r="EU144">
        <v>8984.4</v>
      </c>
      <c r="EV144">
        <v>251233</v>
      </c>
      <c r="EW144" t="s">
        <v>1762</v>
      </c>
      <c r="EX144">
        <v>0</v>
      </c>
      <c r="EY144" t="s">
        <v>226</v>
      </c>
      <c r="EZ144" t="s">
        <v>202</v>
      </c>
      <c r="FA144" t="s">
        <v>226</v>
      </c>
      <c r="FB144" t="s">
        <v>226</v>
      </c>
      <c r="FC144" t="s">
        <v>202</v>
      </c>
      <c r="FD144" t="s">
        <v>202</v>
      </c>
      <c r="FE144" t="s">
        <v>202</v>
      </c>
      <c r="FF144" t="s">
        <v>202</v>
      </c>
      <c r="FG144" t="s">
        <v>202</v>
      </c>
      <c r="FH144" t="s">
        <v>202</v>
      </c>
      <c r="FI144" t="s">
        <v>202</v>
      </c>
      <c r="FJ144" t="s">
        <v>202</v>
      </c>
      <c r="FK144" t="s">
        <v>202</v>
      </c>
      <c r="FL144" t="s">
        <v>202</v>
      </c>
      <c r="FM144" t="s">
        <v>202</v>
      </c>
      <c r="FN144" t="s">
        <v>202</v>
      </c>
      <c r="FO144">
        <v>13879</v>
      </c>
      <c r="FP144">
        <v>1</v>
      </c>
      <c r="FQ144">
        <v>0</v>
      </c>
      <c r="FR144">
        <v>4677</v>
      </c>
      <c r="FS144">
        <v>0</v>
      </c>
      <c r="FT144">
        <v>0</v>
      </c>
      <c r="FW144">
        <v>0</v>
      </c>
      <c r="FX144">
        <v>0</v>
      </c>
      <c r="FY144">
        <v>0</v>
      </c>
      <c r="GA144">
        <v>0</v>
      </c>
    </row>
    <row r="145" spans="1:183" x14ac:dyDescent="0.3">
      <c r="A145">
        <v>11149</v>
      </c>
      <c r="B145">
        <v>199</v>
      </c>
      <c r="C145" t="s">
        <v>1727</v>
      </c>
      <c r="D145" t="s">
        <v>1727</v>
      </c>
      <c r="E145" t="s">
        <v>1763</v>
      </c>
      <c r="F145">
        <v>2457241528</v>
      </c>
      <c r="G145">
        <v>2457241528</v>
      </c>
      <c r="H145" t="s">
        <v>1764</v>
      </c>
      <c r="I145" t="s">
        <v>198</v>
      </c>
      <c r="J145" t="s">
        <v>199</v>
      </c>
      <c r="L145" t="s">
        <v>260</v>
      </c>
      <c r="O145">
        <v>9098611072</v>
      </c>
      <c r="P145" t="s">
        <v>1765</v>
      </c>
      <c r="Q145" s="1">
        <v>45457</v>
      </c>
      <c r="R145" s="1">
        <v>45457</v>
      </c>
      <c r="S145" s="1">
        <v>45456</v>
      </c>
      <c r="U145" t="s">
        <v>1765</v>
      </c>
      <c r="W145" t="s">
        <v>202</v>
      </c>
      <c r="AB145">
        <v>321297</v>
      </c>
      <c r="AD145" t="s">
        <v>1731</v>
      </c>
      <c r="AE145">
        <v>4677</v>
      </c>
      <c r="AF145" t="s">
        <v>1732</v>
      </c>
      <c r="AG145" t="s">
        <v>232</v>
      </c>
      <c r="AH145" t="s">
        <v>207</v>
      </c>
      <c r="AI145">
        <v>422265.632813</v>
      </c>
      <c r="AJ145">
        <v>540500</v>
      </c>
      <c r="AK145">
        <v>28</v>
      </c>
      <c r="AL145">
        <v>15000</v>
      </c>
      <c r="AM145">
        <v>0</v>
      </c>
      <c r="AN145">
        <v>0</v>
      </c>
      <c r="AO145">
        <v>0</v>
      </c>
      <c r="AP145">
        <v>0</v>
      </c>
      <c r="AQ145">
        <v>15000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30000</v>
      </c>
      <c r="AZ145">
        <v>510500</v>
      </c>
      <c r="BA145">
        <v>0</v>
      </c>
      <c r="BB145">
        <v>0</v>
      </c>
      <c r="BC145">
        <v>0</v>
      </c>
      <c r="BD145">
        <v>53040</v>
      </c>
      <c r="BE145" t="s">
        <v>208</v>
      </c>
      <c r="BF145">
        <v>9113</v>
      </c>
      <c r="BG145">
        <v>0</v>
      </c>
      <c r="BH145" t="s">
        <v>209</v>
      </c>
      <c r="BI145">
        <v>22500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500</v>
      </c>
      <c r="BT145">
        <v>0</v>
      </c>
      <c r="BU145">
        <v>0</v>
      </c>
      <c r="BV145">
        <v>0</v>
      </c>
      <c r="BW145">
        <v>0</v>
      </c>
      <c r="BX145">
        <v>595653</v>
      </c>
      <c r="BY145">
        <v>0</v>
      </c>
      <c r="BZ145">
        <v>198000</v>
      </c>
      <c r="CA145">
        <v>0</v>
      </c>
      <c r="CB145">
        <v>0</v>
      </c>
      <c r="CC145">
        <v>0</v>
      </c>
      <c r="CD145">
        <v>0</v>
      </c>
      <c r="CE145">
        <v>198000</v>
      </c>
      <c r="CF145">
        <v>0</v>
      </c>
      <c r="CG145">
        <v>0</v>
      </c>
      <c r="CH145">
        <v>400000</v>
      </c>
      <c r="CJ145" t="s">
        <v>210</v>
      </c>
      <c r="CL145" t="s">
        <v>211</v>
      </c>
      <c r="CM145">
        <v>0</v>
      </c>
      <c r="CN145">
        <v>0</v>
      </c>
      <c r="CO145">
        <v>0</v>
      </c>
      <c r="CP145">
        <v>0</v>
      </c>
      <c r="CU145">
        <v>-2347</v>
      </c>
      <c r="CV145" t="s">
        <v>1766</v>
      </c>
      <c r="CW145" t="s">
        <v>1767</v>
      </c>
      <c r="CX145" t="s">
        <v>1736</v>
      </c>
      <c r="CY145" t="s">
        <v>1737</v>
      </c>
      <c r="CZ145" t="s">
        <v>217</v>
      </c>
      <c r="DB145" s="2">
        <v>13575</v>
      </c>
      <c r="DD145" t="s">
        <v>1768</v>
      </c>
      <c r="DF145" t="s">
        <v>220</v>
      </c>
      <c r="DG145">
        <v>451335</v>
      </c>
      <c r="DL145">
        <v>0</v>
      </c>
      <c r="DN145">
        <v>0</v>
      </c>
      <c r="DP145" t="s">
        <v>1769</v>
      </c>
      <c r="DQ145">
        <v>4266628</v>
      </c>
      <c r="DR145" t="s">
        <v>223</v>
      </c>
      <c r="DS145">
        <v>8612.82</v>
      </c>
      <c r="DT145" s="1">
        <v>45457</v>
      </c>
      <c r="DU145" t="s">
        <v>1770</v>
      </c>
      <c r="DV145">
        <v>0</v>
      </c>
      <c r="DW145">
        <v>1.5</v>
      </c>
      <c r="DX145">
        <v>6000</v>
      </c>
      <c r="DY145">
        <v>1080</v>
      </c>
      <c r="DZ145">
        <v>7080</v>
      </c>
      <c r="EC145">
        <v>0</v>
      </c>
      <c r="EQ145" t="s">
        <v>1771</v>
      </c>
      <c r="ER145" s="1">
        <v>45448</v>
      </c>
      <c r="ES145">
        <v>3000</v>
      </c>
      <c r="ET145">
        <v>385606.06</v>
      </c>
      <c r="EU145">
        <v>8984.4</v>
      </c>
      <c r="EV145">
        <v>251362</v>
      </c>
      <c r="EW145" t="s">
        <v>1772</v>
      </c>
      <c r="EX145">
        <v>0</v>
      </c>
      <c r="EY145" t="s">
        <v>226</v>
      </c>
      <c r="EZ145" t="s">
        <v>226</v>
      </c>
      <c r="FA145" t="s">
        <v>226</v>
      </c>
      <c r="FB145" t="s">
        <v>226</v>
      </c>
      <c r="FC145" t="s">
        <v>202</v>
      </c>
      <c r="FD145" t="s">
        <v>202</v>
      </c>
      <c r="FE145" t="s">
        <v>202</v>
      </c>
      <c r="FF145" t="s">
        <v>202</v>
      </c>
      <c r="FG145" t="s">
        <v>202</v>
      </c>
      <c r="FH145" t="s">
        <v>202</v>
      </c>
      <c r="FI145" t="s">
        <v>202</v>
      </c>
      <c r="FJ145" t="s">
        <v>202</v>
      </c>
      <c r="FK145" t="s">
        <v>202</v>
      </c>
      <c r="FL145" t="s">
        <v>202</v>
      </c>
      <c r="FM145" t="s">
        <v>202</v>
      </c>
      <c r="FN145" t="s">
        <v>202</v>
      </c>
      <c r="FO145">
        <v>0</v>
      </c>
      <c r="FP145">
        <v>0</v>
      </c>
      <c r="FQ145">
        <v>0</v>
      </c>
      <c r="FR145">
        <v>4677</v>
      </c>
      <c r="FS145">
        <v>0</v>
      </c>
      <c r="FT145">
        <v>0</v>
      </c>
      <c r="FW145">
        <v>0</v>
      </c>
      <c r="FX145">
        <v>0</v>
      </c>
      <c r="FY145">
        <v>0</v>
      </c>
      <c r="GA145">
        <v>-2347</v>
      </c>
    </row>
    <row r="146" spans="1:183" x14ac:dyDescent="0.3">
      <c r="A146">
        <v>11159</v>
      </c>
      <c r="B146">
        <v>200</v>
      </c>
      <c r="C146" t="s">
        <v>1727</v>
      </c>
      <c r="D146" t="s">
        <v>1727</v>
      </c>
      <c r="E146" t="s">
        <v>1773</v>
      </c>
      <c r="F146">
        <v>2457213520</v>
      </c>
      <c r="G146">
        <v>2457213520</v>
      </c>
      <c r="H146" t="s">
        <v>1774</v>
      </c>
      <c r="I146" t="s">
        <v>198</v>
      </c>
      <c r="J146" t="s">
        <v>199</v>
      </c>
      <c r="L146" t="s">
        <v>393</v>
      </c>
      <c r="O146">
        <v>9753894059</v>
      </c>
      <c r="P146" t="s">
        <v>1775</v>
      </c>
      <c r="Q146" s="1">
        <v>45460</v>
      </c>
      <c r="R146" s="1">
        <v>45460</v>
      </c>
      <c r="S146" s="1">
        <v>45459</v>
      </c>
      <c r="U146" t="s">
        <v>1775</v>
      </c>
      <c r="W146" t="s">
        <v>202</v>
      </c>
      <c r="AB146">
        <v>320764</v>
      </c>
      <c r="AD146" t="s">
        <v>1731</v>
      </c>
      <c r="AE146">
        <v>4677</v>
      </c>
      <c r="AF146" t="s">
        <v>1732</v>
      </c>
      <c r="AG146" t="s">
        <v>232</v>
      </c>
      <c r="AH146" t="s">
        <v>207</v>
      </c>
      <c r="AI146">
        <v>422265.632813</v>
      </c>
      <c r="AJ146">
        <v>540500</v>
      </c>
      <c r="AK146">
        <v>28</v>
      </c>
      <c r="AL146">
        <v>15000</v>
      </c>
      <c r="AM146">
        <v>0</v>
      </c>
      <c r="AN146">
        <v>0</v>
      </c>
      <c r="AO146">
        <v>0</v>
      </c>
      <c r="AP146">
        <v>0</v>
      </c>
      <c r="AQ146">
        <v>15000</v>
      </c>
      <c r="AR146">
        <v>0</v>
      </c>
      <c r="AS146">
        <v>0</v>
      </c>
      <c r="AT146">
        <v>0</v>
      </c>
      <c r="AU146">
        <v>0</v>
      </c>
      <c r="AV146">
        <v>17540</v>
      </c>
      <c r="AW146">
        <v>0</v>
      </c>
      <c r="AX146">
        <v>0</v>
      </c>
      <c r="AY146">
        <v>47540</v>
      </c>
      <c r="AZ146">
        <v>492960</v>
      </c>
      <c r="BA146">
        <v>0</v>
      </c>
      <c r="BB146">
        <v>0</v>
      </c>
      <c r="BC146">
        <v>0</v>
      </c>
      <c r="BD146">
        <v>53040</v>
      </c>
      <c r="BE146" t="s">
        <v>208</v>
      </c>
      <c r="BF146">
        <v>0</v>
      </c>
      <c r="BG146">
        <v>0</v>
      </c>
      <c r="BH146" t="s">
        <v>209</v>
      </c>
      <c r="BI146">
        <v>22000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568000</v>
      </c>
      <c r="BY146">
        <v>0</v>
      </c>
      <c r="BZ146">
        <v>39000</v>
      </c>
      <c r="CA146">
        <v>0</v>
      </c>
      <c r="CB146">
        <v>0</v>
      </c>
      <c r="CC146">
        <v>0</v>
      </c>
      <c r="CD146">
        <v>0</v>
      </c>
      <c r="CE146">
        <v>39000</v>
      </c>
      <c r="CF146">
        <v>0</v>
      </c>
      <c r="CG146">
        <v>0</v>
      </c>
      <c r="CH146">
        <v>524000</v>
      </c>
      <c r="CJ146" t="s">
        <v>299</v>
      </c>
      <c r="CL146" t="s">
        <v>211</v>
      </c>
      <c r="CM146">
        <v>0</v>
      </c>
      <c r="CN146">
        <v>0</v>
      </c>
      <c r="CO146">
        <v>0</v>
      </c>
      <c r="CP146">
        <v>0</v>
      </c>
      <c r="CU146">
        <v>5000</v>
      </c>
      <c r="CV146" t="s">
        <v>440</v>
      </c>
      <c r="CW146" t="s">
        <v>441</v>
      </c>
      <c r="CX146" t="s">
        <v>383</v>
      </c>
      <c r="CY146" t="s">
        <v>384</v>
      </c>
      <c r="CZ146" t="s">
        <v>217</v>
      </c>
      <c r="DB146" s="2">
        <v>14366</v>
      </c>
      <c r="DD146" t="s">
        <v>1776</v>
      </c>
      <c r="DF146" t="s">
        <v>220</v>
      </c>
      <c r="DG146">
        <v>451551</v>
      </c>
      <c r="DL146">
        <v>0</v>
      </c>
      <c r="DN146">
        <v>0</v>
      </c>
      <c r="DP146" t="s">
        <v>1777</v>
      </c>
      <c r="DQ146">
        <v>4263781</v>
      </c>
      <c r="DR146" t="s">
        <v>223</v>
      </c>
      <c r="DS146">
        <v>0</v>
      </c>
      <c r="DV146">
        <v>0</v>
      </c>
      <c r="DW146">
        <v>1.5</v>
      </c>
      <c r="DX146">
        <v>7860</v>
      </c>
      <c r="DY146">
        <v>1414.8</v>
      </c>
      <c r="DZ146">
        <v>9274.7999999999993</v>
      </c>
      <c r="EC146">
        <v>0</v>
      </c>
      <c r="EQ146" t="s">
        <v>1778</v>
      </c>
      <c r="ER146" s="1">
        <v>45440</v>
      </c>
      <c r="ES146">
        <v>3000</v>
      </c>
      <c r="ET146">
        <v>385606.06</v>
      </c>
      <c r="EU146">
        <v>8984.4</v>
      </c>
      <c r="EV146">
        <v>251105</v>
      </c>
      <c r="EW146" t="s">
        <v>1779</v>
      </c>
      <c r="EX146">
        <v>0</v>
      </c>
      <c r="EY146" t="s">
        <v>226</v>
      </c>
      <c r="EZ146" t="s">
        <v>202</v>
      </c>
      <c r="FA146" t="s">
        <v>226</v>
      </c>
      <c r="FB146" t="s">
        <v>202</v>
      </c>
      <c r="FC146" t="s">
        <v>202</v>
      </c>
      <c r="FD146" t="s">
        <v>202</v>
      </c>
      <c r="FE146" t="s">
        <v>202</v>
      </c>
      <c r="FF146" t="s">
        <v>202</v>
      </c>
      <c r="FG146" t="s">
        <v>202</v>
      </c>
      <c r="FH146" t="s">
        <v>202</v>
      </c>
      <c r="FI146" t="s">
        <v>202</v>
      </c>
      <c r="FJ146" t="s">
        <v>202</v>
      </c>
      <c r="FK146" t="s">
        <v>202</v>
      </c>
      <c r="FL146" t="s">
        <v>202</v>
      </c>
      <c r="FM146" t="s">
        <v>202</v>
      </c>
      <c r="FN146" t="s">
        <v>202</v>
      </c>
      <c r="FO146">
        <v>0</v>
      </c>
      <c r="FP146">
        <v>0</v>
      </c>
      <c r="FQ146">
        <v>0</v>
      </c>
      <c r="FR146">
        <v>4677</v>
      </c>
      <c r="FS146">
        <v>0</v>
      </c>
      <c r="FT146">
        <v>0</v>
      </c>
      <c r="FW146">
        <v>0</v>
      </c>
      <c r="FX146">
        <v>0</v>
      </c>
      <c r="FY146">
        <v>0</v>
      </c>
      <c r="GA146">
        <v>4974</v>
      </c>
    </row>
    <row r="147" spans="1:183" x14ac:dyDescent="0.3">
      <c r="A147">
        <v>11168</v>
      </c>
      <c r="B147">
        <v>201</v>
      </c>
      <c r="C147" t="s">
        <v>1727</v>
      </c>
      <c r="D147" t="s">
        <v>1727</v>
      </c>
      <c r="E147" t="s">
        <v>1780</v>
      </c>
      <c r="F147">
        <v>2457189136</v>
      </c>
      <c r="G147">
        <v>2457189136</v>
      </c>
      <c r="H147" t="s">
        <v>1781</v>
      </c>
      <c r="I147" t="s">
        <v>198</v>
      </c>
      <c r="J147" t="s">
        <v>199</v>
      </c>
      <c r="L147" t="s">
        <v>260</v>
      </c>
      <c r="O147">
        <v>9752164111</v>
      </c>
      <c r="P147" t="s">
        <v>1782</v>
      </c>
      <c r="Q147" s="1">
        <v>45460</v>
      </c>
      <c r="R147" s="1">
        <v>45460</v>
      </c>
      <c r="S147" s="1">
        <v>45460</v>
      </c>
      <c r="U147" t="s">
        <v>1782</v>
      </c>
      <c r="W147" t="s">
        <v>202</v>
      </c>
      <c r="AB147">
        <v>321459</v>
      </c>
      <c r="AD147" t="s">
        <v>1731</v>
      </c>
      <c r="AE147">
        <v>4677</v>
      </c>
      <c r="AF147" t="s">
        <v>1732</v>
      </c>
      <c r="AG147" t="s">
        <v>232</v>
      </c>
      <c r="AH147" t="s">
        <v>207</v>
      </c>
      <c r="AI147">
        <v>422265.632813</v>
      </c>
      <c r="AJ147">
        <v>540500</v>
      </c>
      <c r="AK147">
        <v>28</v>
      </c>
      <c r="AL147">
        <v>15000</v>
      </c>
      <c r="AM147">
        <v>0</v>
      </c>
      <c r="AN147">
        <v>0</v>
      </c>
      <c r="AO147">
        <v>3100</v>
      </c>
      <c r="AP147">
        <v>25000</v>
      </c>
      <c r="AQ147">
        <v>15000</v>
      </c>
      <c r="AR147">
        <v>0</v>
      </c>
      <c r="AS147">
        <v>0</v>
      </c>
      <c r="AT147">
        <v>0</v>
      </c>
      <c r="AU147">
        <v>0</v>
      </c>
      <c r="AV147">
        <v>12440</v>
      </c>
      <c r="AW147">
        <v>0</v>
      </c>
      <c r="AX147">
        <v>0</v>
      </c>
      <c r="AY147">
        <v>70540</v>
      </c>
      <c r="AZ147">
        <v>469960</v>
      </c>
      <c r="BA147">
        <v>12000</v>
      </c>
      <c r="BB147">
        <v>0</v>
      </c>
      <c r="BC147">
        <v>0</v>
      </c>
      <c r="BD147">
        <v>53040</v>
      </c>
      <c r="BE147" t="s">
        <v>208</v>
      </c>
      <c r="BF147">
        <v>0</v>
      </c>
      <c r="BG147">
        <v>0</v>
      </c>
      <c r="BH147" t="s">
        <v>209</v>
      </c>
      <c r="BI147">
        <v>21999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556999</v>
      </c>
      <c r="BY147">
        <v>0</v>
      </c>
      <c r="BZ147">
        <v>0</v>
      </c>
      <c r="CA147">
        <v>0</v>
      </c>
      <c r="CB147">
        <v>552000</v>
      </c>
      <c r="CC147">
        <v>0</v>
      </c>
      <c r="CD147">
        <v>0</v>
      </c>
      <c r="CE147">
        <v>552000</v>
      </c>
      <c r="CF147">
        <v>0</v>
      </c>
      <c r="CG147">
        <v>0</v>
      </c>
      <c r="CH147">
        <v>550000</v>
      </c>
      <c r="CJ147" t="s">
        <v>406</v>
      </c>
      <c r="CL147" t="s">
        <v>236</v>
      </c>
      <c r="CM147">
        <v>0</v>
      </c>
      <c r="CN147">
        <v>0</v>
      </c>
      <c r="CO147">
        <v>0</v>
      </c>
      <c r="CP147">
        <v>0</v>
      </c>
      <c r="CQ147" t="s">
        <v>1783</v>
      </c>
      <c r="CU147">
        <v>-545001</v>
      </c>
      <c r="CV147" t="s">
        <v>1784</v>
      </c>
      <c r="CW147" t="s">
        <v>1785</v>
      </c>
      <c r="CX147" t="s">
        <v>1786</v>
      </c>
      <c r="CY147" t="s">
        <v>1787</v>
      </c>
      <c r="CZ147" t="s">
        <v>217</v>
      </c>
      <c r="DB147" s="2">
        <v>14763</v>
      </c>
      <c r="DD147" t="s">
        <v>1788</v>
      </c>
      <c r="DF147" t="s">
        <v>220</v>
      </c>
      <c r="DG147">
        <v>451001</v>
      </c>
      <c r="DL147">
        <v>0</v>
      </c>
      <c r="DN147">
        <v>0</v>
      </c>
      <c r="DP147" t="s">
        <v>1789</v>
      </c>
      <c r="DQ147">
        <v>4267534</v>
      </c>
      <c r="DR147" t="s">
        <v>223</v>
      </c>
      <c r="DS147">
        <v>0</v>
      </c>
      <c r="DV147">
        <v>0</v>
      </c>
      <c r="DW147">
        <v>1.27</v>
      </c>
      <c r="DX147">
        <v>6985</v>
      </c>
      <c r="DY147">
        <v>1257.3</v>
      </c>
      <c r="DZ147">
        <v>8242.2999999999993</v>
      </c>
      <c r="EC147">
        <v>0</v>
      </c>
      <c r="EQ147" t="s">
        <v>1790</v>
      </c>
      <c r="ER147" s="1">
        <v>45448</v>
      </c>
      <c r="ES147">
        <v>3000</v>
      </c>
      <c r="ET147">
        <v>385606.06</v>
      </c>
      <c r="EU147">
        <v>8984.4</v>
      </c>
      <c r="EV147">
        <v>252002</v>
      </c>
      <c r="EW147" t="s">
        <v>1791</v>
      </c>
      <c r="EX147">
        <v>0</v>
      </c>
      <c r="EY147" t="s">
        <v>226</v>
      </c>
      <c r="EZ147" t="s">
        <v>202</v>
      </c>
      <c r="FA147" t="s">
        <v>226</v>
      </c>
      <c r="FB147" t="s">
        <v>202</v>
      </c>
      <c r="FC147" t="s">
        <v>202</v>
      </c>
      <c r="FD147" t="s">
        <v>202</v>
      </c>
      <c r="FE147" t="s">
        <v>202</v>
      </c>
      <c r="FF147" t="s">
        <v>202</v>
      </c>
      <c r="FG147" t="s">
        <v>202</v>
      </c>
      <c r="FH147" t="s">
        <v>202</v>
      </c>
      <c r="FI147" t="s">
        <v>202</v>
      </c>
      <c r="FJ147" t="s">
        <v>202</v>
      </c>
      <c r="FK147" t="s">
        <v>202</v>
      </c>
      <c r="FL147" t="s">
        <v>202</v>
      </c>
      <c r="FM147" t="s">
        <v>202</v>
      </c>
      <c r="FN147" t="s">
        <v>202</v>
      </c>
      <c r="FO147">
        <v>11264</v>
      </c>
      <c r="FP147">
        <v>736</v>
      </c>
      <c r="FQ147">
        <v>0</v>
      </c>
      <c r="FR147">
        <v>4677</v>
      </c>
      <c r="FS147">
        <v>0</v>
      </c>
      <c r="FT147">
        <v>0</v>
      </c>
      <c r="FW147">
        <v>0</v>
      </c>
      <c r="FX147">
        <v>0</v>
      </c>
      <c r="FY147">
        <v>0</v>
      </c>
      <c r="GA147">
        <v>4264</v>
      </c>
    </row>
    <row r="148" spans="1:183" x14ac:dyDescent="0.3">
      <c r="A148">
        <v>11174</v>
      </c>
      <c r="B148">
        <v>202</v>
      </c>
      <c r="C148" t="s">
        <v>1727</v>
      </c>
      <c r="D148" t="s">
        <v>1727</v>
      </c>
      <c r="E148" t="s">
        <v>1792</v>
      </c>
      <c r="F148">
        <v>2457260164</v>
      </c>
      <c r="G148">
        <v>2457260164</v>
      </c>
      <c r="H148" t="s">
        <v>1793</v>
      </c>
      <c r="I148" t="s">
        <v>198</v>
      </c>
      <c r="J148" t="s">
        <v>199</v>
      </c>
      <c r="L148" t="s">
        <v>260</v>
      </c>
      <c r="O148">
        <v>9009553105</v>
      </c>
      <c r="P148" t="s">
        <v>1794</v>
      </c>
      <c r="Q148" s="1">
        <v>45458</v>
      </c>
      <c r="R148" s="1">
        <v>45458</v>
      </c>
      <c r="S148" s="1">
        <v>45462</v>
      </c>
      <c r="U148" t="s">
        <v>1794</v>
      </c>
      <c r="W148" t="s">
        <v>202</v>
      </c>
      <c r="AB148">
        <v>321419</v>
      </c>
      <c r="AD148" t="s">
        <v>1731</v>
      </c>
      <c r="AE148">
        <v>4677</v>
      </c>
      <c r="AF148" t="s">
        <v>1732</v>
      </c>
      <c r="AG148" t="s">
        <v>232</v>
      </c>
      <c r="AH148" t="s">
        <v>207</v>
      </c>
      <c r="AI148">
        <v>422265.632813</v>
      </c>
      <c r="AJ148">
        <v>540500</v>
      </c>
      <c r="AK148">
        <v>28</v>
      </c>
      <c r="AL148">
        <v>15000</v>
      </c>
      <c r="AM148">
        <v>0</v>
      </c>
      <c r="AN148">
        <v>0</v>
      </c>
      <c r="AO148">
        <v>6000</v>
      </c>
      <c r="AP148">
        <v>25000</v>
      </c>
      <c r="AQ148">
        <v>15000</v>
      </c>
      <c r="AR148">
        <v>0</v>
      </c>
      <c r="AS148">
        <v>0</v>
      </c>
      <c r="AT148">
        <v>0</v>
      </c>
      <c r="AU148">
        <v>0</v>
      </c>
      <c r="AV148">
        <v>10540</v>
      </c>
      <c r="AW148">
        <v>0</v>
      </c>
      <c r="AX148">
        <v>0</v>
      </c>
      <c r="AY148">
        <v>71540</v>
      </c>
      <c r="AZ148">
        <v>468960</v>
      </c>
      <c r="BA148">
        <v>0</v>
      </c>
      <c r="BB148">
        <v>0</v>
      </c>
      <c r="BC148">
        <v>0</v>
      </c>
      <c r="BD148">
        <v>53040</v>
      </c>
      <c r="BE148" t="s">
        <v>208</v>
      </c>
      <c r="BF148">
        <v>0</v>
      </c>
      <c r="BG148">
        <v>0</v>
      </c>
      <c r="BH148" t="s">
        <v>209</v>
      </c>
      <c r="BI148">
        <v>22902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544902</v>
      </c>
      <c r="BY148">
        <v>0</v>
      </c>
      <c r="BZ148">
        <v>162000</v>
      </c>
      <c r="CA148">
        <v>0</v>
      </c>
      <c r="CB148">
        <v>105001</v>
      </c>
      <c r="CC148">
        <v>5001</v>
      </c>
      <c r="CD148">
        <v>0</v>
      </c>
      <c r="CE148">
        <v>267001</v>
      </c>
      <c r="CF148">
        <v>0</v>
      </c>
      <c r="CG148">
        <v>0</v>
      </c>
      <c r="CH148">
        <v>277900</v>
      </c>
      <c r="CJ148" t="s">
        <v>380</v>
      </c>
      <c r="CL148" t="s">
        <v>211</v>
      </c>
      <c r="CM148">
        <v>0</v>
      </c>
      <c r="CN148">
        <v>0</v>
      </c>
      <c r="CO148">
        <v>0</v>
      </c>
      <c r="CP148">
        <v>0</v>
      </c>
      <c r="CQ148" t="s">
        <v>1795</v>
      </c>
      <c r="CU148">
        <v>1</v>
      </c>
      <c r="CV148" t="s">
        <v>1734</v>
      </c>
      <c r="CW148" t="s">
        <v>1735</v>
      </c>
      <c r="CX148" t="s">
        <v>1736</v>
      </c>
      <c r="CY148" t="s">
        <v>1737</v>
      </c>
      <c r="CZ148" t="s">
        <v>217</v>
      </c>
      <c r="DB148" s="2">
        <v>15158</v>
      </c>
      <c r="DD148" t="s">
        <v>1796</v>
      </c>
      <c r="DF148" t="s">
        <v>220</v>
      </c>
      <c r="DG148">
        <v>451332</v>
      </c>
      <c r="DL148">
        <v>0</v>
      </c>
      <c r="DN148">
        <v>0</v>
      </c>
      <c r="DP148" t="s">
        <v>1797</v>
      </c>
      <c r="DQ148">
        <v>4267438</v>
      </c>
      <c r="DR148" t="s">
        <v>223</v>
      </c>
      <c r="DS148">
        <v>0</v>
      </c>
      <c r="DV148">
        <v>0</v>
      </c>
      <c r="DW148">
        <v>1.5</v>
      </c>
      <c r="DX148">
        <v>4168.5</v>
      </c>
      <c r="DY148">
        <v>750.33</v>
      </c>
      <c r="DZ148">
        <v>4918.83</v>
      </c>
      <c r="EC148">
        <v>0</v>
      </c>
      <c r="EQ148" t="s">
        <v>1798</v>
      </c>
      <c r="ER148" s="1">
        <v>45448</v>
      </c>
      <c r="ES148">
        <v>3000</v>
      </c>
      <c r="ET148">
        <v>385606.06</v>
      </c>
      <c r="EU148">
        <v>8984.4</v>
      </c>
      <c r="EV148">
        <v>251593</v>
      </c>
      <c r="EW148" t="s">
        <v>1799</v>
      </c>
      <c r="EX148">
        <v>0</v>
      </c>
      <c r="EY148" t="s">
        <v>226</v>
      </c>
      <c r="EZ148" t="s">
        <v>202</v>
      </c>
      <c r="FA148" t="s">
        <v>226</v>
      </c>
      <c r="FB148" t="s">
        <v>202</v>
      </c>
      <c r="FC148" t="s">
        <v>202</v>
      </c>
      <c r="FD148" t="s">
        <v>202</v>
      </c>
      <c r="FE148" t="s">
        <v>202</v>
      </c>
      <c r="FF148" t="s">
        <v>202</v>
      </c>
      <c r="FG148" t="s">
        <v>202</v>
      </c>
      <c r="FH148" t="s">
        <v>202</v>
      </c>
      <c r="FI148" t="s">
        <v>202</v>
      </c>
      <c r="FJ148" t="s">
        <v>202</v>
      </c>
      <c r="FK148" t="s">
        <v>202</v>
      </c>
      <c r="FL148" t="s">
        <v>202</v>
      </c>
      <c r="FM148" t="s">
        <v>202</v>
      </c>
      <c r="FN148" t="s">
        <v>202</v>
      </c>
      <c r="FO148">
        <v>0</v>
      </c>
      <c r="FP148">
        <v>0</v>
      </c>
      <c r="FQ148">
        <v>0</v>
      </c>
      <c r="FR148">
        <v>4677</v>
      </c>
      <c r="FS148">
        <v>0</v>
      </c>
      <c r="FT148">
        <v>0</v>
      </c>
      <c r="FW148">
        <v>0</v>
      </c>
      <c r="FX148">
        <v>0</v>
      </c>
      <c r="FY148">
        <v>0</v>
      </c>
      <c r="GA148">
        <v>0</v>
      </c>
    </row>
    <row r="149" spans="1:183" x14ac:dyDescent="0.3">
      <c r="A149">
        <v>11178</v>
      </c>
      <c r="B149">
        <v>203</v>
      </c>
      <c r="C149" t="s">
        <v>1727</v>
      </c>
      <c r="D149" t="s">
        <v>1727</v>
      </c>
      <c r="E149" t="s">
        <v>1800</v>
      </c>
      <c r="F149">
        <v>2457335134</v>
      </c>
      <c r="G149">
        <v>2457335134</v>
      </c>
      <c r="H149" t="s">
        <v>1801</v>
      </c>
      <c r="I149" t="s">
        <v>198</v>
      </c>
      <c r="J149" t="s">
        <v>199</v>
      </c>
      <c r="L149" t="s">
        <v>393</v>
      </c>
      <c r="O149">
        <v>9174090019</v>
      </c>
      <c r="P149" t="s">
        <v>1802</v>
      </c>
      <c r="Q149" s="1">
        <v>45463</v>
      </c>
      <c r="R149" s="1">
        <v>45463</v>
      </c>
      <c r="S149" s="1">
        <v>45463</v>
      </c>
      <c r="U149" t="s">
        <v>1802</v>
      </c>
      <c r="W149" t="s">
        <v>202</v>
      </c>
      <c r="AB149">
        <v>315308</v>
      </c>
      <c r="AD149" t="s">
        <v>1731</v>
      </c>
      <c r="AE149">
        <v>4677</v>
      </c>
      <c r="AF149" t="s">
        <v>1732</v>
      </c>
      <c r="AG149" t="s">
        <v>232</v>
      </c>
      <c r="AH149" t="s">
        <v>207</v>
      </c>
      <c r="AI149">
        <v>422265.632813</v>
      </c>
      <c r="AJ149">
        <v>540500</v>
      </c>
      <c r="AK149">
        <v>28</v>
      </c>
      <c r="AL149">
        <v>15000</v>
      </c>
      <c r="AM149">
        <v>0</v>
      </c>
      <c r="AN149">
        <v>0</v>
      </c>
      <c r="AO149">
        <v>6000</v>
      </c>
      <c r="AP149">
        <v>0</v>
      </c>
      <c r="AQ149">
        <v>15000</v>
      </c>
      <c r="AR149">
        <v>0</v>
      </c>
      <c r="AS149">
        <v>0</v>
      </c>
      <c r="AT149">
        <v>0</v>
      </c>
      <c r="AU149">
        <v>0</v>
      </c>
      <c r="AV149">
        <v>8040</v>
      </c>
      <c r="AW149">
        <v>0</v>
      </c>
      <c r="AX149">
        <v>0</v>
      </c>
      <c r="AY149">
        <v>44040</v>
      </c>
      <c r="AZ149">
        <v>496460</v>
      </c>
      <c r="BA149">
        <v>0</v>
      </c>
      <c r="BB149">
        <v>0</v>
      </c>
      <c r="BC149">
        <v>0</v>
      </c>
      <c r="BD149">
        <v>53040</v>
      </c>
      <c r="BE149" t="s">
        <v>208</v>
      </c>
      <c r="BF149">
        <v>0</v>
      </c>
      <c r="BG149">
        <v>0</v>
      </c>
      <c r="BH149" t="s">
        <v>209</v>
      </c>
      <c r="BI149">
        <v>22500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572000</v>
      </c>
      <c r="BY149">
        <v>0</v>
      </c>
      <c r="BZ149">
        <v>90856</v>
      </c>
      <c r="CA149">
        <v>0</v>
      </c>
      <c r="CB149">
        <v>482151</v>
      </c>
      <c r="CC149">
        <v>0</v>
      </c>
      <c r="CD149">
        <v>0</v>
      </c>
      <c r="CE149">
        <v>573007</v>
      </c>
      <c r="CF149">
        <v>0</v>
      </c>
      <c r="CG149">
        <v>0</v>
      </c>
      <c r="CH149">
        <v>0</v>
      </c>
      <c r="CJ149" t="s">
        <v>1803</v>
      </c>
      <c r="CL149" t="s">
        <v>236</v>
      </c>
      <c r="CM149">
        <v>0</v>
      </c>
      <c r="CN149">
        <v>0</v>
      </c>
      <c r="CO149">
        <v>0</v>
      </c>
      <c r="CP149">
        <v>0</v>
      </c>
      <c r="CU149">
        <v>-1007</v>
      </c>
      <c r="CV149" t="s">
        <v>417</v>
      </c>
      <c r="CW149" t="s">
        <v>418</v>
      </c>
      <c r="CX149" t="s">
        <v>383</v>
      </c>
      <c r="CY149" t="s">
        <v>384</v>
      </c>
      <c r="CZ149" t="s">
        <v>217</v>
      </c>
      <c r="DB149" s="2">
        <v>15554</v>
      </c>
      <c r="DD149" t="s">
        <v>1804</v>
      </c>
      <c r="DF149" t="s">
        <v>220</v>
      </c>
      <c r="DG149">
        <v>451551</v>
      </c>
      <c r="DL149">
        <v>0</v>
      </c>
      <c r="DN149">
        <v>0</v>
      </c>
      <c r="DP149" t="s">
        <v>1805</v>
      </c>
      <c r="DQ149">
        <v>4236739</v>
      </c>
      <c r="DR149" t="s">
        <v>223</v>
      </c>
      <c r="DS149">
        <v>0</v>
      </c>
      <c r="DV149">
        <v>0</v>
      </c>
      <c r="EQ149" t="s">
        <v>1806</v>
      </c>
      <c r="ER149" s="1">
        <v>45398</v>
      </c>
      <c r="ES149">
        <v>3000</v>
      </c>
      <c r="ET149">
        <v>385606.06</v>
      </c>
      <c r="EU149">
        <v>0</v>
      </c>
      <c r="EV149">
        <v>252412</v>
      </c>
      <c r="EW149" t="s">
        <v>1807</v>
      </c>
      <c r="EX149">
        <v>0</v>
      </c>
      <c r="EY149" t="s">
        <v>226</v>
      </c>
      <c r="EZ149" t="s">
        <v>202</v>
      </c>
      <c r="FA149" t="s">
        <v>226</v>
      </c>
      <c r="FB149" t="s">
        <v>202</v>
      </c>
      <c r="FC149" t="s">
        <v>202</v>
      </c>
      <c r="FD149" t="s">
        <v>202</v>
      </c>
      <c r="FE149" t="s">
        <v>202</v>
      </c>
      <c r="FF149" t="s">
        <v>202</v>
      </c>
      <c r="FG149" t="s">
        <v>202</v>
      </c>
      <c r="FH149" t="s">
        <v>202</v>
      </c>
      <c r="FI149" t="s">
        <v>202</v>
      </c>
      <c r="FJ149" t="s">
        <v>202</v>
      </c>
      <c r="FK149" t="s">
        <v>202</v>
      </c>
      <c r="FL149" t="s">
        <v>202</v>
      </c>
      <c r="FM149" t="s">
        <v>202</v>
      </c>
      <c r="FN149" t="s">
        <v>202</v>
      </c>
      <c r="FO149">
        <v>0</v>
      </c>
      <c r="FP149">
        <v>0</v>
      </c>
      <c r="FQ149">
        <v>0</v>
      </c>
      <c r="FR149">
        <v>4677</v>
      </c>
      <c r="FS149">
        <v>0</v>
      </c>
      <c r="FT149">
        <v>0</v>
      </c>
      <c r="FW149">
        <v>0</v>
      </c>
      <c r="FX149">
        <v>0</v>
      </c>
      <c r="FY149">
        <v>0</v>
      </c>
      <c r="GA149">
        <v>-1007</v>
      </c>
    </row>
    <row r="150" spans="1:183" x14ac:dyDescent="0.3">
      <c r="A150">
        <v>11192</v>
      </c>
      <c r="B150">
        <v>204</v>
      </c>
      <c r="C150" t="s">
        <v>1727</v>
      </c>
      <c r="D150" t="s">
        <v>1727</v>
      </c>
      <c r="E150" t="s">
        <v>1808</v>
      </c>
      <c r="F150">
        <v>2457255203</v>
      </c>
      <c r="G150">
        <v>2457255203</v>
      </c>
      <c r="H150" t="s">
        <v>1809</v>
      </c>
      <c r="I150" t="s">
        <v>198</v>
      </c>
      <c r="J150" t="s">
        <v>199</v>
      </c>
      <c r="L150" t="s">
        <v>260</v>
      </c>
      <c r="O150">
        <v>7748055820</v>
      </c>
      <c r="P150" t="s">
        <v>1810</v>
      </c>
      <c r="Q150" s="1">
        <v>45463</v>
      </c>
      <c r="R150" s="1">
        <v>45463</v>
      </c>
      <c r="S150" s="1">
        <v>45463</v>
      </c>
      <c r="U150" t="s">
        <v>1810</v>
      </c>
      <c r="W150" t="s">
        <v>202</v>
      </c>
      <c r="AB150">
        <v>320628</v>
      </c>
      <c r="AD150" t="s">
        <v>1731</v>
      </c>
      <c r="AE150">
        <v>4677</v>
      </c>
      <c r="AF150" t="s">
        <v>1732</v>
      </c>
      <c r="AG150" t="s">
        <v>232</v>
      </c>
      <c r="AH150" t="s">
        <v>207</v>
      </c>
      <c r="AI150">
        <v>422265.632813</v>
      </c>
      <c r="AJ150">
        <v>540500</v>
      </c>
      <c r="AK150">
        <v>28</v>
      </c>
      <c r="AL150">
        <v>15000</v>
      </c>
      <c r="AM150">
        <v>0</v>
      </c>
      <c r="AN150">
        <v>0</v>
      </c>
      <c r="AO150">
        <v>6000</v>
      </c>
      <c r="AP150">
        <v>25000</v>
      </c>
      <c r="AQ150">
        <v>15000</v>
      </c>
      <c r="AR150">
        <v>0</v>
      </c>
      <c r="AS150">
        <v>0</v>
      </c>
      <c r="AT150">
        <v>0</v>
      </c>
      <c r="AU150">
        <v>0</v>
      </c>
      <c r="AV150">
        <v>9540</v>
      </c>
      <c r="AW150">
        <v>0</v>
      </c>
      <c r="AX150">
        <v>0</v>
      </c>
      <c r="AY150">
        <v>70540</v>
      </c>
      <c r="AZ150">
        <v>469960</v>
      </c>
      <c r="BA150">
        <v>0</v>
      </c>
      <c r="BB150">
        <v>0</v>
      </c>
      <c r="BC150">
        <v>0</v>
      </c>
      <c r="BD150">
        <v>53040</v>
      </c>
      <c r="BE150" t="s">
        <v>208</v>
      </c>
      <c r="BF150">
        <v>0</v>
      </c>
      <c r="BG150">
        <v>0</v>
      </c>
      <c r="BH150" t="s">
        <v>209</v>
      </c>
      <c r="BI150">
        <v>22001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545001</v>
      </c>
      <c r="BY150">
        <v>0</v>
      </c>
      <c r="BZ150">
        <v>80000</v>
      </c>
      <c r="CA150">
        <v>0</v>
      </c>
      <c r="CB150">
        <v>465000</v>
      </c>
      <c r="CC150">
        <v>0</v>
      </c>
      <c r="CD150">
        <v>0</v>
      </c>
      <c r="CE150">
        <v>545000</v>
      </c>
      <c r="CF150">
        <v>0</v>
      </c>
      <c r="CG150">
        <v>0</v>
      </c>
      <c r="CH150">
        <v>450000</v>
      </c>
      <c r="CJ150" t="s">
        <v>406</v>
      </c>
      <c r="CL150" t="s">
        <v>236</v>
      </c>
      <c r="CM150">
        <v>0</v>
      </c>
      <c r="CN150">
        <v>0</v>
      </c>
      <c r="CO150">
        <v>0</v>
      </c>
      <c r="CP150">
        <v>0</v>
      </c>
      <c r="CQ150" t="s">
        <v>1811</v>
      </c>
      <c r="CU150">
        <v>-449999</v>
      </c>
      <c r="CV150" t="s">
        <v>1784</v>
      </c>
      <c r="CW150" t="s">
        <v>1785</v>
      </c>
      <c r="CX150" t="s">
        <v>1786</v>
      </c>
      <c r="CY150" t="s">
        <v>1787</v>
      </c>
      <c r="CZ150" t="s">
        <v>217</v>
      </c>
      <c r="DB150" s="2">
        <v>15950</v>
      </c>
      <c r="DD150" t="s">
        <v>1812</v>
      </c>
      <c r="DF150" t="s">
        <v>220</v>
      </c>
      <c r="DG150">
        <v>451001</v>
      </c>
      <c r="DL150">
        <v>0</v>
      </c>
      <c r="DN150">
        <v>0</v>
      </c>
      <c r="DP150" t="s">
        <v>1813</v>
      </c>
      <c r="DQ150">
        <v>4262777</v>
      </c>
      <c r="DR150" t="s">
        <v>223</v>
      </c>
      <c r="DS150">
        <v>0</v>
      </c>
      <c r="DV150">
        <v>0</v>
      </c>
      <c r="DW150">
        <v>1.27</v>
      </c>
      <c r="DX150">
        <v>5715</v>
      </c>
      <c r="DY150">
        <v>1028.7</v>
      </c>
      <c r="DZ150">
        <v>6743.7</v>
      </c>
      <c r="EC150">
        <v>0</v>
      </c>
      <c r="EQ150" t="s">
        <v>1814</v>
      </c>
      <c r="ER150" s="1">
        <v>45440</v>
      </c>
      <c r="ES150">
        <v>3000</v>
      </c>
      <c r="ET150">
        <v>385606.06</v>
      </c>
      <c r="EU150">
        <v>8984.4</v>
      </c>
      <c r="EV150">
        <v>252667</v>
      </c>
      <c r="EW150" t="s">
        <v>1815</v>
      </c>
      <c r="EX150">
        <v>0</v>
      </c>
      <c r="EY150" t="s">
        <v>226</v>
      </c>
      <c r="EZ150" t="s">
        <v>202</v>
      </c>
      <c r="FA150" t="s">
        <v>226</v>
      </c>
      <c r="FB150" t="s">
        <v>202</v>
      </c>
      <c r="FC150" t="s">
        <v>202</v>
      </c>
      <c r="FD150" t="s">
        <v>202</v>
      </c>
      <c r="FE150" t="s">
        <v>202</v>
      </c>
      <c r="FF150" t="s">
        <v>202</v>
      </c>
      <c r="FG150" t="s">
        <v>202</v>
      </c>
      <c r="FH150" t="s">
        <v>202</v>
      </c>
      <c r="FI150" t="s">
        <v>202</v>
      </c>
      <c r="FJ150" t="s">
        <v>202</v>
      </c>
      <c r="FK150" t="s">
        <v>202</v>
      </c>
      <c r="FL150" t="s">
        <v>202</v>
      </c>
      <c r="FM150" t="s">
        <v>202</v>
      </c>
      <c r="FN150" t="s">
        <v>202</v>
      </c>
      <c r="FO150">
        <v>0</v>
      </c>
      <c r="FP150">
        <v>0</v>
      </c>
      <c r="FQ150">
        <v>0</v>
      </c>
      <c r="FR150">
        <v>4677</v>
      </c>
      <c r="FS150">
        <v>0</v>
      </c>
      <c r="FT150">
        <v>0</v>
      </c>
      <c r="FW150">
        <v>0</v>
      </c>
      <c r="FX150">
        <v>0</v>
      </c>
      <c r="FY150">
        <v>0</v>
      </c>
      <c r="GA150">
        <v>0</v>
      </c>
    </row>
    <row r="151" spans="1:183" x14ac:dyDescent="0.3">
      <c r="A151">
        <v>11193</v>
      </c>
      <c r="B151">
        <v>205</v>
      </c>
      <c r="C151" t="s">
        <v>1727</v>
      </c>
      <c r="D151" t="s">
        <v>1727</v>
      </c>
      <c r="E151" t="s">
        <v>1816</v>
      </c>
      <c r="F151">
        <v>2457346926</v>
      </c>
      <c r="G151">
        <v>2457346926</v>
      </c>
      <c r="H151" t="s">
        <v>1817</v>
      </c>
      <c r="I151" t="s">
        <v>198</v>
      </c>
      <c r="J151" t="s">
        <v>488</v>
      </c>
      <c r="L151" t="s">
        <v>613</v>
      </c>
      <c r="O151">
        <v>8007318422</v>
      </c>
      <c r="P151" t="s">
        <v>1818</v>
      </c>
      <c r="Q151" s="1">
        <v>45464</v>
      </c>
      <c r="R151" s="1">
        <v>45464</v>
      </c>
      <c r="S151" s="1">
        <v>45463</v>
      </c>
      <c r="U151" t="s">
        <v>1818</v>
      </c>
      <c r="W151" t="s">
        <v>202</v>
      </c>
      <c r="AB151">
        <v>571174</v>
      </c>
      <c r="AD151" t="s">
        <v>248</v>
      </c>
      <c r="AE151">
        <v>4716</v>
      </c>
      <c r="AF151" t="s">
        <v>746</v>
      </c>
      <c r="AG151" t="s">
        <v>206</v>
      </c>
      <c r="AH151" t="s">
        <v>250</v>
      </c>
      <c r="AI151">
        <v>581970.54263599997</v>
      </c>
      <c r="AJ151">
        <v>750742</v>
      </c>
      <c r="AK151">
        <v>29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4500</v>
      </c>
      <c r="AW151">
        <v>0</v>
      </c>
      <c r="AX151">
        <v>0</v>
      </c>
      <c r="AY151">
        <v>4500</v>
      </c>
      <c r="AZ151">
        <v>746242</v>
      </c>
      <c r="BA151">
        <v>8705</v>
      </c>
      <c r="BB151">
        <v>0</v>
      </c>
      <c r="BC151">
        <v>0</v>
      </c>
      <c r="BD151">
        <v>4500</v>
      </c>
      <c r="BE151" t="s">
        <v>234</v>
      </c>
      <c r="BF151">
        <v>12768</v>
      </c>
      <c r="BG151">
        <v>0</v>
      </c>
      <c r="BH151" t="s">
        <v>209</v>
      </c>
      <c r="BI151">
        <v>23500</v>
      </c>
      <c r="BJ151">
        <v>885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500</v>
      </c>
      <c r="BT151">
        <v>0</v>
      </c>
      <c r="BU151">
        <v>0</v>
      </c>
      <c r="BV151">
        <v>0</v>
      </c>
      <c r="BW151">
        <v>0</v>
      </c>
      <c r="BX151">
        <v>797100</v>
      </c>
      <c r="BY151">
        <v>0</v>
      </c>
      <c r="BZ151">
        <v>0</v>
      </c>
      <c r="CA151">
        <v>0</v>
      </c>
      <c r="CB151">
        <v>797100</v>
      </c>
      <c r="CC151">
        <v>0</v>
      </c>
      <c r="CD151">
        <v>0</v>
      </c>
      <c r="CE151">
        <v>797100</v>
      </c>
      <c r="CF151">
        <v>0</v>
      </c>
      <c r="CG151">
        <v>0</v>
      </c>
      <c r="CH151">
        <v>0</v>
      </c>
      <c r="CJ151" t="s">
        <v>77</v>
      </c>
      <c r="CL151" t="s">
        <v>77</v>
      </c>
      <c r="CM151">
        <v>0</v>
      </c>
      <c r="CN151">
        <v>0</v>
      </c>
      <c r="CO151">
        <v>0</v>
      </c>
      <c r="CP151">
        <v>0</v>
      </c>
      <c r="CU151">
        <v>0</v>
      </c>
      <c r="CV151" t="s">
        <v>652</v>
      </c>
      <c r="CW151" t="s">
        <v>653</v>
      </c>
      <c r="CX151" t="s">
        <v>615</v>
      </c>
      <c r="CY151" t="s">
        <v>616</v>
      </c>
      <c r="CZ151" t="s">
        <v>217</v>
      </c>
      <c r="DB151" t="s">
        <v>1819</v>
      </c>
      <c r="DD151" t="s">
        <v>1820</v>
      </c>
      <c r="DF151" t="s">
        <v>220</v>
      </c>
      <c r="DG151">
        <v>424206</v>
      </c>
      <c r="DL151">
        <v>0</v>
      </c>
      <c r="DN151">
        <v>0</v>
      </c>
      <c r="DP151" t="s">
        <v>1821</v>
      </c>
      <c r="DQ151">
        <v>1646476</v>
      </c>
      <c r="DR151" t="s">
        <v>223</v>
      </c>
      <c r="DS151">
        <v>12767.6</v>
      </c>
      <c r="DT151" s="1">
        <v>45464</v>
      </c>
      <c r="DU151" t="s">
        <v>1822</v>
      </c>
      <c r="DV151">
        <v>0</v>
      </c>
      <c r="EQ151" t="s">
        <v>1823</v>
      </c>
      <c r="ER151" s="1">
        <v>45427</v>
      </c>
      <c r="ES151">
        <v>6000</v>
      </c>
      <c r="ET151">
        <v>549295.54</v>
      </c>
      <c r="EU151">
        <v>0</v>
      </c>
      <c r="EV151">
        <v>252723</v>
      </c>
      <c r="EW151" t="s">
        <v>1824</v>
      </c>
      <c r="EX151">
        <v>0</v>
      </c>
      <c r="EY151" t="s">
        <v>226</v>
      </c>
      <c r="EZ151" t="s">
        <v>226</v>
      </c>
      <c r="FA151" t="s">
        <v>226</v>
      </c>
      <c r="FB151" t="s">
        <v>226</v>
      </c>
      <c r="FC151" t="s">
        <v>202</v>
      </c>
      <c r="FD151" t="s">
        <v>202</v>
      </c>
      <c r="FE151" t="s">
        <v>202</v>
      </c>
      <c r="FF151" t="s">
        <v>202</v>
      </c>
      <c r="FG151" t="s">
        <v>202</v>
      </c>
      <c r="FH151" t="s">
        <v>202</v>
      </c>
      <c r="FI151" t="s">
        <v>202</v>
      </c>
      <c r="FJ151" t="s">
        <v>202</v>
      </c>
      <c r="FK151" t="s">
        <v>202</v>
      </c>
      <c r="FL151" t="s">
        <v>202</v>
      </c>
      <c r="FM151" t="s">
        <v>202</v>
      </c>
      <c r="FN151" t="s">
        <v>202</v>
      </c>
      <c r="FO151">
        <v>8700</v>
      </c>
      <c r="FP151">
        <v>5</v>
      </c>
      <c r="FQ151">
        <v>0</v>
      </c>
      <c r="FR151">
        <v>4716</v>
      </c>
      <c r="FS151">
        <v>0</v>
      </c>
      <c r="FT151">
        <v>0</v>
      </c>
      <c r="FW151">
        <v>0</v>
      </c>
      <c r="FX151">
        <v>0</v>
      </c>
      <c r="FY151">
        <v>0</v>
      </c>
      <c r="GA151">
        <v>-885</v>
      </c>
    </row>
    <row r="152" spans="1:183" x14ac:dyDescent="0.3">
      <c r="A152">
        <v>11235</v>
      </c>
      <c r="B152">
        <v>206</v>
      </c>
      <c r="C152" t="s">
        <v>1727</v>
      </c>
      <c r="D152" t="s">
        <v>1727</v>
      </c>
      <c r="E152" t="s">
        <v>1825</v>
      </c>
      <c r="F152">
        <v>2457407951</v>
      </c>
      <c r="G152">
        <v>2457407951</v>
      </c>
      <c r="H152" t="s">
        <v>1826</v>
      </c>
      <c r="I152" t="s">
        <v>198</v>
      </c>
      <c r="J152" t="s">
        <v>199</v>
      </c>
      <c r="L152" t="s">
        <v>260</v>
      </c>
      <c r="O152">
        <v>7999973536</v>
      </c>
      <c r="P152" t="s">
        <v>1827</v>
      </c>
      <c r="Q152" s="1">
        <v>45468</v>
      </c>
      <c r="R152" s="1">
        <v>45468</v>
      </c>
      <c r="S152" s="1">
        <v>45467</v>
      </c>
      <c r="U152" t="s">
        <v>1827</v>
      </c>
      <c r="W152" t="s">
        <v>202</v>
      </c>
      <c r="AB152">
        <v>321544</v>
      </c>
      <c r="AD152" t="s">
        <v>1731</v>
      </c>
      <c r="AE152">
        <v>4677</v>
      </c>
      <c r="AF152" t="s">
        <v>1732</v>
      </c>
      <c r="AG152" t="s">
        <v>232</v>
      </c>
      <c r="AH152" t="s">
        <v>207</v>
      </c>
      <c r="AI152">
        <v>422265.632813</v>
      </c>
      <c r="AJ152">
        <v>540500</v>
      </c>
      <c r="AK152">
        <v>28</v>
      </c>
      <c r="AL152">
        <v>15000</v>
      </c>
      <c r="AM152">
        <v>0</v>
      </c>
      <c r="AN152">
        <v>0</v>
      </c>
      <c r="AO152">
        <v>6000</v>
      </c>
      <c r="AP152">
        <v>25000</v>
      </c>
      <c r="AQ152">
        <v>15000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61000</v>
      </c>
      <c r="AZ152">
        <v>479500</v>
      </c>
      <c r="BA152">
        <v>0</v>
      </c>
      <c r="BB152">
        <v>0</v>
      </c>
      <c r="BC152">
        <v>0</v>
      </c>
      <c r="BD152">
        <v>53040</v>
      </c>
      <c r="BE152" t="s">
        <v>208</v>
      </c>
      <c r="BF152">
        <v>0</v>
      </c>
      <c r="BG152">
        <v>0</v>
      </c>
      <c r="BH152" t="s">
        <v>209</v>
      </c>
      <c r="BI152">
        <v>22100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554640</v>
      </c>
      <c r="BY152">
        <v>0</v>
      </c>
      <c r="BZ152">
        <v>84640</v>
      </c>
      <c r="CA152">
        <v>0</v>
      </c>
      <c r="CB152">
        <v>0</v>
      </c>
      <c r="CC152">
        <v>0</v>
      </c>
      <c r="CD152">
        <v>0</v>
      </c>
      <c r="CE152">
        <v>84640</v>
      </c>
      <c r="CF152">
        <v>0</v>
      </c>
      <c r="CG152">
        <v>0</v>
      </c>
      <c r="CH152">
        <v>470000</v>
      </c>
      <c r="CJ152" t="s">
        <v>522</v>
      </c>
      <c r="CL152" t="s">
        <v>211</v>
      </c>
      <c r="CM152">
        <v>0</v>
      </c>
      <c r="CN152">
        <v>0</v>
      </c>
      <c r="CO152">
        <v>0</v>
      </c>
      <c r="CP152">
        <v>0</v>
      </c>
      <c r="CQ152" t="s">
        <v>1828</v>
      </c>
      <c r="CU152">
        <v>0</v>
      </c>
      <c r="CV152">
        <v>2222</v>
      </c>
      <c r="CW152" t="s">
        <v>1829</v>
      </c>
      <c r="CX152" t="s">
        <v>1736</v>
      </c>
      <c r="CY152" t="s">
        <v>1737</v>
      </c>
      <c r="CZ152" t="s">
        <v>217</v>
      </c>
      <c r="DB152" s="2">
        <v>16346</v>
      </c>
      <c r="DD152" t="s">
        <v>1830</v>
      </c>
      <c r="DF152" t="s">
        <v>220</v>
      </c>
      <c r="DG152">
        <v>451442</v>
      </c>
      <c r="DL152">
        <v>0</v>
      </c>
      <c r="DN152">
        <v>0</v>
      </c>
      <c r="DP152" t="s">
        <v>1831</v>
      </c>
      <c r="DQ152">
        <v>4267999</v>
      </c>
      <c r="DR152" t="s">
        <v>223</v>
      </c>
      <c r="DS152">
        <v>0</v>
      </c>
      <c r="DV152">
        <v>0</v>
      </c>
      <c r="DW152">
        <v>1</v>
      </c>
      <c r="DX152">
        <v>4700</v>
      </c>
      <c r="DY152">
        <v>846</v>
      </c>
      <c r="DZ152">
        <v>5546</v>
      </c>
      <c r="EC152">
        <v>0</v>
      </c>
      <c r="EQ152" t="s">
        <v>1832</v>
      </c>
      <c r="ER152" s="1">
        <v>45448</v>
      </c>
      <c r="ES152">
        <v>3000</v>
      </c>
      <c r="ET152">
        <v>385606.06</v>
      </c>
      <c r="EU152">
        <v>8984.4</v>
      </c>
      <c r="EV152">
        <v>253344</v>
      </c>
      <c r="EW152" t="s">
        <v>1833</v>
      </c>
      <c r="EX152">
        <v>0</v>
      </c>
      <c r="EY152" t="s">
        <v>226</v>
      </c>
      <c r="EZ152" t="s">
        <v>202</v>
      </c>
      <c r="FA152" t="s">
        <v>226</v>
      </c>
      <c r="FB152" t="s">
        <v>202</v>
      </c>
      <c r="FC152" t="s">
        <v>202</v>
      </c>
      <c r="FD152" t="s">
        <v>202</v>
      </c>
      <c r="FE152" t="s">
        <v>202</v>
      </c>
      <c r="FF152" t="s">
        <v>202</v>
      </c>
      <c r="FG152" t="s">
        <v>202</v>
      </c>
      <c r="FH152" t="s">
        <v>202</v>
      </c>
      <c r="FI152" t="s">
        <v>202</v>
      </c>
      <c r="FJ152" t="s">
        <v>202</v>
      </c>
      <c r="FK152" t="s">
        <v>202</v>
      </c>
      <c r="FL152" t="s">
        <v>202</v>
      </c>
      <c r="FM152" t="s">
        <v>202</v>
      </c>
      <c r="FN152" t="s">
        <v>202</v>
      </c>
      <c r="FO152">
        <v>0</v>
      </c>
      <c r="FP152">
        <v>0</v>
      </c>
      <c r="FQ152">
        <v>0</v>
      </c>
      <c r="FR152">
        <v>4677</v>
      </c>
      <c r="FS152">
        <v>0</v>
      </c>
      <c r="FT152">
        <v>0</v>
      </c>
      <c r="FW152">
        <v>0</v>
      </c>
      <c r="FX152">
        <v>0</v>
      </c>
      <c r="FY152">
        <v>0</v>
      </c>
      <c r="GA152">
        <v>470000</v>
      </c>
    </row>
    <row r="153" spans="1:183" x14ac:dyDescent="0.3">
      <c r="A153">
        <v>11240</v>
      </c>
      <c r="B153">
        <v>207</v>
      </c>
      <c r="C153" t="s">
        <v>1727</v>
      </c>
      <c r="D153" t="s">
        <v>1727</v>
      </c>
      <c r="E153" t="s">
        <v>1834</v>
      </c>
      <c r="F153">
        <v>2457305368</v>
      </c>
      <c r="G153">
        <v>2457305368</v>
      </c>
      <c r="H153" t="s">
        <v>1835</v>
      </c>
      <c r="I153" t="s">
        <v>198</v>
      </c>
      <c r="J153" t="s">
        <v>199</v>
      </c>
      <c r="L153" t="s">
        <v>260</v>
      </c>
      <c r="O153">
        <v>7879609457</v>
      </c>
      <c r="P153" t="s">
        <v>1836</v>
      </c>
      <c r="Q153" s="1">
        <v>45468</v>
      </c>
      <c r="R153" s="1">
        <v>45468</v>
      </c>
      <c r="S153" s="1">
        <v>45468</v>
      </c>
      <c r="U153" t="s">
        <v>1836</v>
      </c>
      <c r="W153" t="s">
        <v>202</v>
      </c>
      <c r="AB153">
        <v>309329</v>
      </c>
      <c r="AD153" t="s">
        <v>1731</v>
      </c>
      <c r="AE153">
        <v>4677</v>
      </c>
      <c r="AF153" t="s">
        <v>1732</v>
      </c>
      <c r="AG153" t="s">
        <v>232</v>
      </c>
      <c r="AH153" t="s">
        <v>356</v>
      </c>
      <c r="AI153">
        <v>422265.632813</v>
      </c>
      <c r="AJ153">
        <v>540500</v>
      </c>
      <c r="AK153">
        <v>28</v>
      </c>
      <c r="AL153">
        <v>15000</v>
      </c>
      <c r="AM153">
        <v>0</v>
      </c>
      <c r="AN153">
        <v>0</v>
      </c>
      <c r="AO153">
        <v>6000</v>
      </c>
      <c r="AP153">
        <v>0</v>
      </c>
      <c r="AQ153">
        <v>15000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36000</v>
      </c>
      <c r="AZ153">
        <v>504500</v>
      </c>
      <c r="BA153">
        <v>0</v>
      </c>
      <c r="BB153">
        <v>0</v>
      </c>
      <c r="BC153">
        <v>0</v>
      </c>
      <c r="BD153">
        <v>53040</v>
      </c>
      <c r="BE153" t="s">
        <v>208</v>
      </c>
      <c r="BF153">
        <v>0</v>
      </c>
      <c r="BG153">
        <v>0</v>
      </c>
      <c r="BH153" t="s">
        <v>209</v>
      </c>
      <c r="BI153">
        <v>22100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579640</v>
      </c>
      <c r="BY153">
        <v>0</v>
      </c>
      <c r="BZ153">
        <v>39140</v>
      </c>
      <c r="CA153">
        <v>0</v>
      </c>
      <c r="CB153">
        <v>0</v>
      </c>
      <c r="CC153">
        <v>0</v>
      </c>
      <c r="CD153">
        <v>0</v>
      </c>
      <c r="CE153">
        <v>39140</v>
      </c>
      <c r="CF153">
        <v>0</v>
      </c>
      <c r="CG153">
        <v>0</v>
      </c>
      <c r="CH153">
        <v>540000</v>
      </c>
      <c r="CJ153" t="s">
        <v>210</v>
      </c>
      <c r="CL153" t="s">
        <v>211</v>
      </c>
      <c r="CM153">
        <v>0</v>
      </c>
      <c r="CN153">
        <v>0</v>
      </c>
      <c r="CO153">
        <v>0</v>
      </c>
      <c r="CP153">
        <v>0</v>
      </c>
      <c r="CU153">
        <v>500</v>
      </c>
      <c r="CV153" t="s">
        <v>1837</v>
      </c>
      <c r="CW153" t="s">
        <v>1838</v>
      </c>
      <c r="CX153" t="s">
        <v>1736</v>
      </c>
      <c r="CY153" t="s">
        <v>1737</v>
      </c>
      <c r="CZ153" t="s">
        <v>217</v>
      </c>
      <c r="DB153" s="2">
        <v>16742</v>
      </c>
      <c r="DD153" t="s">
        <v>1839</v>
      </c>
      <c r="DF153" t="s">
        <v>220</v>
      </c>
      <c r="DG153">
        <v>451001</v>
      </c>
      <c r="DL153">
        <v>0</v>
      </c>
      <c r="DN153">
        <v>0</v>
      </c>
      <c r="DP153" t="s">
        <v>1840</v>
      </c>
      <c r="DQ153">
        <v>4209305</v>
      </c>
      <c r="DR153" t="s">
        <v>223</v>
      </c>
      <c r="DS153">
        <v>0</v>
      </c>
      <c r="DV153">
        <v>0</v>
      </c>
      <c r="DW153">
        <v>1.5</v>
      </c>
      <c r="DX153">
        <v>8100</v>
      </c>
      <c r="DY153">
        <v>1458</v>
      </c>
      <c r="DZ153">
        <v>9558</v>
      </c>
      <c r="EC153">
        <v>0</v>
      </c>
      <c r="EQ153" t="s">
        <v>1841</v>
      </c>
      <c r="ER153" s="1">
        <v>45374</v>
      </c>
      <c r="ES153">
        <v>3000</v>
      </c>
      <c r="ET153">
        <v>385606.25</v>
      </c>
      <c r="EU153">
        <v>8984.3799999999992</v>
      </c>
      <c r="EV153">
        <v>252086</v>
      </c>
      <c r="EW153" t="s">
        <v>1842</v>
      </c>
      <c r="EX153">
        <v>0</v>
      </c>
      <c r="EY153" t="s">
        <v>226</v>
      </c>
      <c r="EZ153" t="s">
        <v>202</v>
      </c>
      <c r="FA153" t="s">
        <v>226</v>
      </c>
      <c r="FB153" t="s">
        <v>202</v>
      </c>
      <c r="FC153" t="s">
        <v>202</v>
      </c>
      <c r="FD153" t="s">
        <v>202</v>
      </c>
      <c r="FE153" t="s">
        <v>202</v>
      </c>
      <c r="FF153" t="s">
        <v>202</v>
      </c>
      <c r="FG153" t="s">
        <v>202</v>
      </c>
      <c r="FH153" t="s">
        <v>202</v>
      </c>
      <c r="FI153" t="s">
        <v>202</v>
      </c>
      <c r="FJ153" t="s">
        <v>202</v>
      </c>
      <c r="FK153" t="s">
        <v>202</v>
      </c>
      <c r="FL153" t="s">
        <v>202</v>
      </c>
      <c r="FM153" t="s">
        <v>202</v>
      </c>
      <c r="FN153" t="s">
        <v>202</v>
      </c>
      <c r="FO153">
        <v>0</v>
      </c>
      <c r="FP153">
        <v>0</v>
      </c>
      <c r="FQ153">
        <v>0</v>
      </c>
      <c r="FR153">
        <v>4677</v>
      </c>
      <c r="FS153">
        <v>0</v>
      </c>
      <c r="FT153">
        <v>0</v>
      </c>
      <c r="FW153">
        <v>0</v>
      </c>
      <c r="FX153">
        <v>0</v>
      </c>
      <c r="FY153">
        <v>0</v>
      </c>
      <c r="GA153">
        <v>2053</v>
      </c>
    </row>
    <row r="154" spans="1:183" x14ac:dyDescent="0.3">
      <c r="A154">
        <v>11253</v>
      </c>
      <c r="B154">
        <v>208</v>
      </c>
      <c r="C154" t="s">
        <v>1727</v>
      </c>
      <c r="D154" t="s">
        <v>1727</v>
      </c>
      <c r="E154" t="s">
        <v>1469</v>
      </c>
      <c r="F154">
        <v>2457316860</v>
      </c>
      <c r="G154">
        <v>2457316860</v>
      </c>
      <c r="H154" t="s">
        <v>1843</v>
      </c>
      <c r="I154" t="s">
        <v>198</v>
      </c>
      <c r="J154" t="s">
        <v>199</v>
      </c>
      <c r="L154" t="s">
        <v>1844</v>
      </c>
      <c r="O154">
        <v>7828483652</v>
      </c>
      <c r="P154" t="s">
        <v>1845</v>
      </c>
      <c r="Q154" s="1">
        <v>45470</v>
      </c>
      <c r="R154" s="1">
        <v>45470</v>
      </c>
      <c r="S154" s="1">
        <v>45469</v>
      </c>
      <c r="U154" t="s">
        <v>1845</v>
      </c>
      <c r="W154" t="s">
        <v>202</v>
      </c>
      <c r="AB154">
        <v>312832</v>
      </c>
      <c r="AD154" t="s">
        <v>1731</v>
      </c>
      <c r="AE154">
        <v>4719</v>
      </c>
      <c r="AF154" t="s">
        <v>1746</v>
      </c>
      <c r="AG154" t="s">
        <v>206</v>
      </c>
      <c r="AH154" t="s">
        <v>207</v>
      </c>
      <c r="AI154">
        <v>500390.632813</v>
      </c>
      <c r="AJ154">
        <v>640500</v>
      </c>
      <c r="AK154">
        <v>28</v>
      </c>
      <c r="AL154">
        <v>10000</v>
      </c>
      <c r="AM154">
        <v>0</v>
      </c>
      <c r="AN154">
        <v>0</v>
      </c>
      <c r="AO154">
        <v>0</v>
      </c>
      <c r="AP154">
        <v>15000</v>
      </c>
      <c r="AQ154">
        <v>10000</v>
      </c>
      <c r="AR154">
        <v>0</v>
      </c>
      <c r="AS154">
        <v>0</v>
      </c>
      <c r="AT154">
        <v>0</v>
      </c>
      <c r="AU154">
        <v>0</v>
      </c>
      <c r="AV154">
        <v>5040</v>
      </c>
      <c r="AW154">
        <v>0</v>
      </c>
      <c r="AX154">
        <v>0</v>
      </c>
      <c r="AY154">
        <v>40040</v>
      </c>
      <c r="AZ154">
        <v>600460</v>
      </c>
      <c r="BA154">
        <v>0</v>
      </c>
      <c r="BB154">
        <v>0</v>
      </c>
      <c r="BC154">
        <v>0</v>
      </c>
      <c r="BD154">
        <v>61040</v>
      </c>
      <c r="BE154" t="s">
        <v>208</v>
      </c>
      <c r="BF154">
        <v>0</v>
      </c>
      <c r="BG154">
        <v>0</v>
      </c>
      <c r="BH154" t="s">
        <v>209</v>
      </c>
      <c r="BI154">
        <v>23500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685000</v>
      </c>
      <c r="BY154">
        <v>0</v>
      </c>
      <c r="BZ154">
        <v>43900</v>
      </c>
      <c r="CA154">
        <v>0</v>
      </c>
      <c r="CB154">
        <v>1100</v>
      </c>
      <c r="CC154">
        <v>1100</v>
      </c>
      <c r="CD154">
        <v>0</v>
      </c>
      <c r="CE154">
        <v>45000</v>
      </c>
      <c r="CF154">
        <v>0</v>
      </c>
      <c r="CG154">
        <v>0</v>
      </c>
      <c r="CH154">
        <v>640000</v>
      </c>
      <c r="CJ154" t="s">
        <v>210</v>
      </c>
      <c r="CL154" t="s">
        <v>211</v>
      </c>
      <c r="CM154">
        <v>0</v>
      </c>
      <c r="CN154">
        <v>0</v>
      </c>
      <c r="CO154">
        <v>0</v>
      </c>
      <c r="CP154">
        <v>0</v>
      </c>
      <c r="CQ154" t="s">
        <v>1846</v>
      </c>
      <c r="CU154">
        <v>0</v>
      </c>
      <c r="CV154" t="s">
        <v>1766</v>
      </c>
      <c r="CW154" t="s">
        <v>1767</v>
      </c>
      <c r="CX154" t="s">
        <v>1736</v>
      </c>
      <c r="CY154" t="s">
        <v>1737</v>
      </c>
      <c r="CZ154" t="s">
        <v>217</v>
      </c>
      <c r="DB154" s="2">
        <v>17137</v>
      </c>
      <c r="DD154" t="s">
        <v>1847</v>
      </c>
      <c r="DF154" t="s">
        <v>220</v>
      </c>
      <c r="DG154">
        <v>451224</v>
      </c>
      <c r="DL154">
        <v>0</v>
      </c>
      <c r="DN154">
        <v>0</v>
      </c>
      <c r="DP154" t="s">
        <v>1848</v>
      </c>
      <c r="DQ154">
        <v>4225268</v>
      </c>
      <c r="DR154" t="s">
        <v>223</v>
      </c>
      <c r="DS154">
        <v>0</v>
      </c>
      <c r="DV154">
        <v>0</v>
      </c>
      <c r="DW154">
        <v>1.5</v>
      </c>
      <c r="DX154">
        <v>9600</v>
      </c>
      <c r="DY154">
        <v>1728</v>
      </c>
      <c r="DZ154">
        <v>11328</v>
      </c>
      <c r="EC154">
        <v>0</v>
      </c>
      <c r="EQ154" t="s">
        <v>1849</v>
      </c>
      <c r="ER154" s="1">
        <v>45367</v>
      </c>
      <c r="ES154">
        <v>3000</v>
      </c>
      <c r="ET154">
        <v>465856.25</v>
      </c>
      <c r="EU154">
        <v>5859.38</v>
      </c>
      <c r="EV154">
        <v>252225</v>
      </c>
      <c r="EW154" t="s">
        <v>1850</v>
      </c>
      <c r="EX154">
        <v>0</v>
      </c>
      <c r="EY154" t="s">
        <v>226</v>
      </c>
      <c r="EZ154" t="s">
        <v>202</v>
      </c>
      <c r="FA154" t="s">
        <v>226</v>
      </c>
      <c r="FB154" t="s">
        <v>202</v>
      </c>
      <c r="FC154" t="s">
        <v>202</v>
      </c>
      <c r="FD154" t="s">
        <v>202</v>
      </c>
      <c r="FE154" t="s">
        <v>202</v>
      </c>
      <c r="FF154" t="s">
        <v>202</v>
      </c>
      <c r="FG154" t="s">
        <v>202</v>
      </c>
      <c r="FH154" t="s">
        <v>202</v>
      </c>
      <c r="FI154" t="s">
        <v>202</v>
      </c>
      <c r="FJ154" t="s">
        <v>202</v>
      </c>
      <c r="FK154" t="s">
        <v>202</v>
      </c>
      <c r="FL154" t="s">
        <v>202</v>
      </c>
      <c r="FM154" t="s">
        <v>202</v>
      </c>
      <c r="FN154" t="s">
        <v>202</v>
      </c>
      <c r="FO154">
        <v>0</v>
      </c>
      <c r="FP154">
        <v>0</v>
      </c>
      <c r="FQ154">
        <v>0</v>
      </c>
      <c r="FR154">
        <v>4719</v>
      </c>
      <c r="FS154">
        <v>0</v>
      </c>
      <c r="FT154">
        <v>0</v>
      </c>
      <c r="FW154">
        <v>0</v>
      </c>
      <c r="FX154">
        <v>0</v>
      </c>
      <c r="FY154">
        <v>0</v>
      </c>
      <c r="GA154">
        <v>0</v>
      </c>
    </row>
    <row r="155" spans="1:183" x14ac:dyDescent="0.3">
      <c r="A155">
        <v>11260</v>
      </c>
      <c r="B155">
        <v>209</v>
      </c>
      <c r="C155" t="s">
        <v>1727</v>
      </c>
      <c r="D155" t="s">
        <v>1727</v>
      </c>
      <c r="E155" t="s">
        <v>1851</v>
      </c>
      <c r="F155">
        <v>2457255411</v>
      </c>
      <c r="G155">
        <v>2457255411</v>
      </c>
      <c r="H155" t="s">
        <v>1852</v>
      </c>
      <c r="I155" t="s">
        <v>198</v>
      </c>
      <c r="J155" t="s">
        <v>199</v>
      </c>
      <c r="L155" t="s">
        <v>393</v>
      </c>
      <c r="O155">
        <v>9755543748</v>
      </c>
      <c r="P155" t="s">
        <v>1853</v>
      </c>
      <c r="Q155" s="1">
        <v>45468</v>
      </c>
      <c r="R155" s="1">
        <v>45468</v>
      </c>
      <c r="S155" s="1">
        <v>45470</v>
      </c>
      <c r="U155" t="s">
        <v>1853</v>
      </c>
      <c r="W155" t="s">
        <v>202</v>
      </c>
      <c r="AB155">
        <v>321360</v>
      </c>
      <c r="AD155" t="s">
        <v>1731</v>
      </c>
      <c r="AE155">
        <v>4677</v>
      </c>
      <c r="AF155" t="s">
        <v>1732</v>
      </c>
      <c r="AG155" t="s">
        <v>232</v>
      </c>
      <c r="AH155" t="s">
        <v>207</v>
      </c>
      <c r="AI155">
        <v>422265.632813</v>
      </c>
      <c r="AJ155">
        <v>540500</v>
      </c>
      <c r="AK155">
        <v>28</v>
      </c>
      <c r="AL155">
        <v>15000</v>
      </c>
      <c r="AM155">
        <v>0</v>
      </c>
      <c r="AN155">
        <v>0</v>
      </c>
      <c r="AO155">
        <v>6000</v>
      </c>
      <c r="AP155">
        <v>25000</v>
      </c>
      <c r="AQ155">
        <v>15000</v>
      </c>
      <c r="AR155">
        <v>0</v>
      </c>
      <c r="AS155">
        <v>0</v>
      </c>
      <c r="AT155">
        <v>0</v>
      </c>
      <c r="AU155">
        <v>0</v>
      </c>
      <c r="AV155">
        <v>10540</v>
      </c>
      <c r="AW155">
        <v>0</v>
      </c>
      <c r="AX155">
        <v>0</v>
      </c>
      <c r="AY155">
        <v>71540</v>
      </c>
      <c r="AZ155">
        <v>468960</v>
      </c>
      <c r="BA155">
        <v>0</v>
      </c>
      <c r="BB155">
        <v>0</v>
      </c>
      <c r="BC155">
        <v>0</v>
      </c>
      <c r="BD155">
        <v>53040</v>
      </c>
      <c r="BE155" t="s">
        <v>208</v>
      </c>
      <c r="BF155">
        <v>0</v>
      </c>
      <c r="BG155">
        <v>0</v>
      </c>
      <c r="BH155" t="s">
        <v>209</v>
      </c>
      <c r="BI155">
        <v>23000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545000</v>
      </c>
      <c r="BY155">
        <v>0</v>
      </c>
      <c r="BZ155">
        <v>43000</v>
      </c>
      <c r="CA155">
        <v>0</v>
      </c>
      <c r="CB155">
        <v>2000</v>
      </c>
      <c r="CC155">
        <v>2000</v>
      </c>
      <c r="CD155">
        <v>0</v>
      </c>
      <c r="CE155">
        <v>45000</v>
      </c>
      <c r="CF155">
        <v>0</v>
      </c>
      <c r="CG155">
        <v>0</v>
      </c>
      <c r="CH155">
        <v>545000</v>
      </c>
      <c r="CJ155" t="s">
        <v>1219</v>
      </c>
      <c r="CL155" t="s">
        <v>236</v>
      </c>
      <c r="CM155">
        <v>0</v>
      </c>
      <c r="CN155">
        <v>0</v>
      </c>
      <c r="CO155">
        <v>0</v>
      </c>
      <c r="CP155">
        <v>0</v>
      </c>
      <c r="CQ155" t="s">
        <v>1854</v>
      </c>
      <c r="CU155">
        <v>-45000</v>
      </c>
      <c r="CV155" t="s">
        <v>1855</v>
      </c>
      <c r="CW155" t="s">
        <v>1856</v>
      </c>
      <c r="CX155" t="s">
        <v>1857</v>
      </c>
      <c r="CY155" t="s">
        <v>1858</v>
      </c>
      <c r="CZ155" t="s">
        <v>217</v>
      </c>
      <c r="DB155" t="s">
        <v>1859</v>
      </c>
      <c r="DD155" t="s">
        <v>1860</v>
      </c>
      <c r="DF155" t="s">
        <v>220</v>
      </c>
      <c r="DG155">
        <v>451551</v>
      </c>
      <c r="DL155">
        <v>0</v>
      </c>
      <c r="DN155">
        <v>0</v>
      </c>
      <c r="DP155" t="s">
        <v>1861</v>
      </c>
      <c r="DQ155">
        <v>4267051</v>
      </c>
      <c r="DR155" t="s">
        <v>223</v>
      </c>
      <c r="DS155">
        <v>0</v>
      </c>
      <c r="DV155">
        <v>0</v>
      </c>
      <c r="DW155">
        <v>1</v>
      </c>
      <c r="DX155">
        <v>5450</v>
      </c>
      <c r="DY155">
        <v>981</v>
      </c>
      <c r="DZ155">
        <v>6431</v>
      </c>
      <c r="EC155">
        <v>0</v>
      </c>
      <c r="EQ155" t="s">
        <v>1862</v>
      </c>
      <c r="ER155" s="1">
        <v>45448</v>
      </c>
      <c r="ES155">
        <v>3000</v>
      </c>
      <c r="ET155">
        <v>385606.06</v>
      </c>
      <c r="EU155">
        <v>8984.4</v>
      </c>
      <c r="EV155">
        <v>251534</v>
      </c>
      <c r="EW155" t="s">
        <v>1863</v>
      </c>
      <c r="EX155">
        <v>0</v>
      </c>
      <c r="EY155" t="s">
        <v>226</v>
      </c>
      <c r="EZ155" t="s">
        <v>202</v>
      </c>
      <c r="FA155" t="s">
        <v>226</v>
      </c>
      <c r="FB155" t="s">
        <v>202</v>
      </c>
      <c r="FC155" t="s">
        <v>202</v>
      </c>
      <c r="FD155" t="s">
        <v>202</v>
      </c>
      <c r="FE155" t="s">
        <v>202</v>
      </c>
      <c r="FF155" t="s">
        <v>202</v>
      </c>
      <c r="FG155" t="s">
        <v>202</v>
      </c>
      <c r="FH155" t="s">
        <v>202</v>
      </c>
      <c r="FI155" t="s">
        <v>202</v>
      </c>
      <c r="FJ155" t="s">
        <v>202</v>
      </c>
      <c r="FK155" t="s">
        <v>202</v>
      </c>
      <c r="FL155" t="s">
        <v>202</v>
      </c>
      <c r="FM155" t="s">
        <v>202</v>
      </c>
      <c r="FN155" t="s">
        <v>202</v>
      </c>
      <c r="FO155">
        <v>0</v>
      </c>
      <c r="FP155">
        <v>0</v>
      </c>
      <c r="FQ155">
        <v>0</v>
      </c>
      <c r="FR155">
        <v>4677</v>
      </c>
      <c r="FS155">
        <v>0</v>
      </c>
      <c r="FT155">
        <v>0</v>
      </c>
      <c r="FW155">
        <v>0</v>
      </c>
      <c r="FX155">
        <v>0</v>
      </c>
      <c r="FY155">
        <v>0</v>
      </c>
      <c r="GA155">
        <v>500000</v>
      </c>
    </row>
    <row r="156" spans="1:183" x14ac:dyDescent="0.3">
      <c r="A156">
        <v>11279</v>
      </c>
      <c r="B156">
        <v>210</v>
      </c>
      <c r="C156" t="s">
        <v>1727</v>
      </c>
      <c r="D156" t="s">
        <v>1727</v>
      </c>
      <c r="E156" t="s">
        <v>1864</v>
      </c>
      <c r="F156">
        <v>2457461793</v>
      </c>
      <c r="G156">
        <v>2457461793</v>
      </c>
      <c r="H156" t="s">
        <v>1865</v>
      </c>
      <c r="I156" t="s">
        <v>198</v>
      </c>
      <c r="J156" t="s">
        <v>199</v>
      </c>
      <c r="L156" t="s">
        <v>393</v>
      </c>
      <c r="O156">
        <v>9669514837</v>
      </c>
      <c r="P156" t="s">
        <v>1866</v>
      </c>
      <c r="Q156" s="1">
        <v>45471</v>
      </c>
      <c r="R156" s="1">
        <v>45471</v>
      </c>
      <c r="S156" s="1">
        <v>45471</v>
      </c>
      <c r="U156" t="s">
        <v>1866</v>
      </c>
      <c r="W156" t="s">
        <v>202</v>
      </c>
      <c r="AB156">
        <v>308017</v>
      </c>
      <c r="AD156" t="s">
        <v>1731</v>
      </c>
      <c r="AE156">
        <v>4692</v>
      </c>
      <c r="AF156" t="s">
        <v>1732</v>
      </c>
      <c r="AG156" t="s">
        <v>232</v>
      </c>
      <c r="AH156" t="s">
        <v>207</v>
      </c>
      <c r="AI156">
        <v>410546.882813</v>
      </c>
      <c r="AJ156">
        <v>525500</v>
      </c>
      <c r="AK156">
        <v>28</v>
      </c>
      <c r="AL156">
        <v>15000</v>
      </c>
      <c r="AM156">
        <v>0</v>
      </c>
      <c r="AN156">
        <v>0</v>
      </c>
      <c r="AO156">
        <v>6000</v>
      </c>
      <c r="AP156">
        <v>0</v>
      </c>
      <c r="AQ156">
        <v>15000</v>
      </c>
      <c r="AR156">
        <v>0</v>
      </c>
      <c r="AS156">
        <v>0</v>
      </c>
      <c r="AT156">
        <v>0</v>
      </c>
      <c r="AU156">
        <v>0</v>
      </c>
      <c r="AV156">
        <v>20000</v>
      </c>
      <c r="AW156">
        <v>0</v>
      </c>
      <c r="AX156">
        <v>0</v>
      </c>
      <c r="AY156">
        <v>56000</v>
      </c>
      <c r="AZ156">
        <v>469500</v>
      </c>
      <c r="BA156">
        <v>0</v>
      </c>
      <c r="BB156">
        <v>0</v>
      </c>
      <c r="BC156">
        <v>0</v>
      </c>
      <c r="BD156">
        <v>58340</v>
      </c>
      <c r="BE156" t="s">
        <v>208</v>
      </c>
      <c r="BF156">
        <v>0</v>
      </c>
      <c r="BG156">
        <v>0</v>
      </c>
      <c r="BH156" t="s">
        <v>209</v>
      </c>
      <c r="BI156">
        <v>22100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15000</v>
      </c>
      <c r="BU156">
        <v>0</v>
      </c>
      <c r="BV156">
        <v>0</v>
      </c>
      <c r="BW156">
        <v>0</v>
      </c>
      <c r="BX156">
        <v>564940</v>
      </c>
      <c r="BY156">
        <v>0</v>
      </c>
      <c r="BZ156">
        <v>62940</v>
      </c>
      <c r="CA156">
        <v>0</v>
      </c>
      <c r="CB156">
        <v>2000</v>
      </c>
      <c r="CC156">
        <v>0</v>
      </c>
      <c r="CD156">
        <v>0</v>
      </c>
      <c r="CE156">
        <v>64940</v>
      </c>
      <c r="CF156">
        <v>0</v>
      </c>
      <c r="CG156">
        <v>0</v>
      </c>
      <c r="CH156">
        <v>500000</v>
      </c>
      <c r="CJ156" t="s">
        <v>210</v>
      </c>
      <c r="CL156" t="s">
        <v>211</v>
      </c>
      <c r="CM156">
        <v>0</v>
      </c>
      <c r="CN156">
        <v>0</v>
      </c>
      <c r="CO156">
        <v>0</v>
      </c>
      <c r="CP156">
        <v>0</v>
      </c>
      <c r="CU156">
        <v>0</v>
      </c>
      <c r="CV156" t="s">
        <v>1867</v>
      </c>
      <c r="CW156" t="s">
        <v>1868</v>
      </c>
      <c r="CX156" t="s">
        <v>1857</v>
      </c>
      <c r="CY156" t="s">
        <v>1858</v>
      </c>
      <c r="CZ156" t="s">
        <v>217</v>
      </c>
      <c r="DB156" t="s">
        <v>1869</v>
      </c>
      <c r="DD156" t="s">
        <v>1870</v>
      </c>
      <c r="DF156" t="s">
        <v>220</v>
      </c>
      <c r="DG156">
        <v>451551</v>
      </c>
      <c r="DL156">
        <v>0</v>
      </c>
      <c r="DN156">
        <v>0</v>
      </c>
      <c r="DP156" t="s">
        <v>1871</v>
      </c>
      <c r="DQ156">
        <v>4203683</v>
      </c>
      <c r="DR156" t="s">
        <v>223</v>
      </c>
      <c r="DS156">
        <v>0</v>
      </c>
      <c r="DV156">
        <v>0</v>
      </c>
      <c r="DW156">
        <v>1.5</v>
      </c>
      <c r="DX156">
        <v>7500</v>
      </c>
      <c r="DY156">
        <v>1350</v>
      </c>
      <c r="DZ156">
        <v>8850</v>
      </c>
      <c r="EC156">
        <v>0</v>
      </c>
      <c r="EQ156" t="s">
        <v>1872</v>
      </c>
      <c r="ER156" s="1">
        <v>45359</v>
      </c>
      <c r="ES156">
        <v>3000</v>
      </c>
      <c r="ET156">
        <v>373887.5</v>
      </c>
      <c r="EU156">
        <v>8984.3799999999992</v>
      </c>
      <c r="EV156">
        <v>254099</v>
      </c>
      <c r="EW156" t="s">
        <v>1873</v>
      </c>
      <c r="EX156">
        <v>0</v>
      </c>
      <c r="EY156" t="s">
        <v>226</v>
      </c>
      <c r="EZ156" t="s">
        <v>202</v>
      </c>
      <c r="FA156" t="s">
        <v>226</v>
      </c>
      <c r="FB156" t="s">
        <v>202</v>
      </c>
      <c r="FC156" t="s">
        <v>202</v>
      </c>
      <c r="FD156" t="s">
        <v>202</v>
      </c>
      <c r="FE156" t="s">
        <v>202</v>
      </c>
      <c r="FF156" t="s">
        <v>202</v>
      </c>
      <c r="FG156" t="s">
        <v>202</v>
      </c>
      <c r="FH156" t="s">
        <v>202</v>
      </c>
      <c r="FI156" t="s">
        <v>202</v>
      </c>
      <c r="FJ156" t="s">
        <v>202</v>
      </c>
      <c r="FK156" t="s">
        <v>202</v>
      </c>
      <c r="FL156" t="s">
        <v>202</v>
      </c>
      <c r="FM156" t="s">
        <v>202</v>
      </c>
      <c r="FN156" t="s">
        <v>202</v>
      </c>
      <c r="FO156">
        <v>0</v>
      </c>
      <c r="FP156">
        <v>0</v>
      </c>
      <c r="FQ156">
        <v>0</v>
      </c>
      <c r="FR156">
        <v>4692</v>
      </c>
      <c r="FS156">
        <v>0</v>
      </c>
      <c r="FT156">
        <v>0</v>
      </c>
      <c r="FW156">
        <v>0</v>
      </c>
      <c r="FX156">
        <v>0</v>
      </c>
      <c r="FY156">
        <v>0</v>
      </c>
      <c r="GA156">
        <v>500000</v>
      </c>
    </row>
    <row r="157" spans="1:183" x14ac:dyDescent="0.3">
      <c r="A157">
        <v>11280</v>
      </c>
      <c r="B157">
        <v>211</v>
      </c>
      <c r="C157" t="s">
        <v>1727</v>
      </c>
      <c r="D157" t="s">
        <v>1727</v>
      </c>
      <c r="E157" t="s">
        <v>1874</v>
      </c>
      <c r="F157">
        <v>2457430534</v>
      </c>
      <c r="G157">
        <v>2457430534</v>
      </c>
      <c r="H157" t="s">
        <v>1875</v>
      </c>
      <c r="I157" t="s">
        <v>198</v>
      </c>
      <c r="J157" t="s">
        <v>199</v>
      </c>
      <c r="L157" t="s">
        <v>393</v>
      </c>
      <c r="O157">
        <v>9752161494</v>
      </c>
      <c r="P157" t="s">
        <v>1876</v>
      </c>
      <c r="Q157" s="1">
        <v>45472</v>
      </c>
      <c r="R157" s="1">
        <v>45472</v>
      </c>
      <c r="S157" s="1">
        <v>45471</v>
      </c>
      <c r="U157" t="s">
        <v>1876</v>
      </c>
      <c r="W157" t="s">
        <v>202</v>
      </c>
      <c r="AB157">
        <v>305721</v>
      </c>
      <c r="AD157" t="s">
        <v>1731</v>
      </c>
      <c r="AE157">
        <v>4677</v>
      </c>
      <c r="AF157" t="s">
        <v>1732</v>
      </c>
      <c r="AG157" t="s">
        <v>232</v>
      </c>
      <c r="AH157" t="s">
        <v>356</v>
      </c>
      <c r="AI157">
        <v>422265.632813</v>
      </c>
      <c r="AJ157">
        <v>540500</v>
      </c>
      <c r="AK157">
        <v>28</v>
      </c>
      <c r="AL157">
        <v>15000</v>
      </c>
      <c r="AM157">
        <v>0</v>
      </c>
      <c r="AN157">
        <v>0</v>
      </c>
      <c r="AO157">
        <v>6000</v>
      </c>
      <c r="AP157">
        <v>25000</v>
      </c>
      <c r="AQ157">
        <v>15000</v>
      </c>
      <c r="AR157">
        <v>0</v>
      </c>
      <c r="AS157">
        <v>0</v>
      </c>
      <c r="AT157">
        <v>0</v>
      </c>
      <c r="AU157">
        <v>0</v>
      </c>
      <c r="AV157">
        <v>35000</v>
      </c>
      <c r="AW157">
        <v>0</v>
      </c>
      <c r="AX157">
        <v>0</v>
      </c>
      <c r="AY157">
        <v>96000</v>
      </c>
      <c r="AZ157">
        <v>444500</v>
      </c>
      <c r="BA157">
        <v>0</v>
      </c>
      <c r="BB157">
        <v>0</v>
      </c>
      <c r="BC157">
        <v>0</v>
      </c>
      <c r="BD157">
        <v>53040</v>
      </c>
      <c r="BE157" t="s">
        <v>208</v>
      </c>
      <c r="BF157">
        <v>0</v>
      </c>
      <c r="BG157">
        <v>0</v>
      </c>
      <c r="BH157" t="s">
        <v>209</v>
      </c>
      <c r="BI157">
        <v>22100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519640</v>
      </c>
      <c r="BY157">
        <v>0</v>
      </c>
      <c r="BZ157">
        <v>2100</v>
      </c>
      <c r="CA157">
        <v>0</v>
      </c>
      <c r="CB157">
        <v>440000</v>
      </c>
      <c r="CC157">
        <v>0</v>
      </c>
      <c r="CD157">
        <v>0</v>
      </c>
      <c r="CE157">
        <v>442100</v>
      </c>
      <c r="CF157">
        <v>0</v>
      </c>
      <c r="CG157">
        <v>0</v>
      </c>
      <c r="CH157">
        <v>440000</v>
      </c>
      <c r="CJ157" t="s">
        <v>235</v>
      </c>
      <c r="CL157" t="s">
        <v>236</v>
      </c>
      <c r="CM157">
        <v>385000</v>
      </c>
      <c r="CN157">
        <v>175000</v>
      </c>
      <c r="CO157">
        <v>0</v>
      </c>
      <c r="CP157">
        <v>210000</v>
      </c>
      <c r="CQ157" t="s">
        <v>1877</v>
      </c>
      <c r="CT157" t="s">
        <v>1878</v>
      </c>
      <c r="CU157">
        <v>-572460</v>
      </c>
      <c r="CV157" t="s">
        <v>1879</v>
      </c>
      <c r="CW157" t="s">
        <v>1880</v>
      </c>
      <c r="CX157" t="s">
        <v>1881</v>
      </c>
      <c r="CY157" t="s">
        <v>1882</v>
      </c>
      <c r="CZ157" t="s">
        <v>217</v>
      </c>
      <c r="DB157" t="s">
        <v>1883</v>
      </c>
      <c r="DD157" t="s">
        <v>1884</v>
      </c>
      <c r="DF157" t="s">
        <v>220</v>
      </c>
      <c r="DG157">
        <v>451551</v>
      </c>
      <c r="DL157">
        <v>0</v>
      </c>
      <c r="DN157">
        <v>0</v>
      </c>
      <c r="DP157" t="s">
        <v>1885</v>
      </c>
      <c r="DQ157">
        <v>4192857</v>
      </c>
      <c r="DR157" t="s">
        <v>223</v>
      </c>
      <c r="DS157">
        <v>0</v>
      </c>
      <c r="DV157">
        <v>0</v>
      </c>
      <c r="DW157">
        <v>0.97</v>
      </c>
      <c r="DX157">
        <v>4268</v>
      </c>
      <c r="DY157">
        <v>768.24</v>
      </c>
      <c r="DZ157">
        <v>5036.24</v>
      </c>
      <c r="EC157">
        <v>0</v>
      </c>
      <c r="EQ157" t="s">
        <v>1886</v>
      </c>
      <c r="ER157" s="1">
        <v>45316</v>
      </c>
      <c r="ES157">
        <v>3000</v>
      </c>
      <c r="ET157">
        <v>385606.25</v>
      </c>
      <c r="EU157">
        <v>8984.3799999999992</v>
      </c>
      <c r="EV157">
        <v>253616</v>
      </c>
      <c r="EW157" t="s">
        <v>1887</v>
      </c>
      <c r="EX157">
        <v>0</v>
      </c>
      <c r="EY157" t="s">
        <v>226</v>
      </c>
      <c r="EZ157" t="s">
        <v>202</v>
      </c>
      <c r="FA157" t="s">
        <v>226</v>
      </c>
      <c r="FB157" t="s">
        <v>202</v>
      </c>
      <c r="FC157" t="s">
        <v>202</v>
      </c>
      <c r="FD157" t="s">
        <v>202</v>
      </c>
      <c r="FE157" t="s">
        <v>202</v>
      </c>
      <c r="FF157" t="s">
        <v>202</v>
      </c>
      <c r="FG157" t="s">
        <v>202</v>
      </c>
      <c r="FH157" t="s">
        <v>202</v>
      </c>
      <c r="FI157" t="s">
        <v>202</v>
      </c>
      <c r="FJ157" t="s">
        <v>202</v>
      </c>
      <c r="FK157" t="s">
        <v>202</v>
      </c>
      <c r="FL157" t="s">
        <v>202</v>
      </c>
      <c r="FM157" t="s">
        <v>202</v>
      </c>
      <c r="FN157" t="s">
        <v>202</v>
      </c>
      <c r="FO157">
        <v>0</v>
      </c>
      <c r="FP157">
        <v>0</v>
      </c>
      <c r="FQ157">
        <v>0</v>
      </c>
      <c r="FR157">
        <v>4677</v>
      </c>
      <c r="FS157">
        <v>0</v>
      </c>
      <c r="FT157">
        <v>0</v>
      </c>
      <c r="FW157">
        <v>0</v>
      </c>
      <c r="FX157">
        <v>0</v>
      </c>
      <c r="FY157">
        <v>0</v>
      </c>
      <c r="GA157">
        <v>77540</v>
      </c>
    </row>
    <row r="158" spans="1:183" x14ac:dyDescent="0.3">
      <c r="A158">
        <v>11105</v>
      </c>
      <c r="B158">
        <v>212</v>
      </c>
      <c r="C158" t="s">
        <v>1888</v>
      </c>
      <c r="D158" t="s">
        <v>1888</v>
      </c>
      <c r="E158" t="s">
        <v>1889</v>
      </c>
      <c r="F158">
        <v>2457127039</v>
      </c>
      <c r="G158">
        <v>2457127039</v>
      </c>
      <c r="H158" t="s">
        <v>1890</v>
      </c>
      <c r="I158" t="s">
        <v>198</v>
      </c>
      <c r="J158" t="s">
        <v>199</v>
      </c>
      <c r="L158" t="s">
        <v>260</v>
      </c>
      <c r="O158">
        <v>7441158008</v>
      </c>
      <c r="P158" t="s">
        <v>1891</v>
      </c>
      <c r="Q158" s="1">
        <v>45453</v>
      </c>
      <c r="R158" s="1">
        <v>45453</v>
      </c>
      <c r="S158" s="1">
        <v>45453</v>
      </c>
      <c r="U158" t="s">
        <v>1891</v>
      </c>
      <c r="W158" t="s">
        <v>202</v>
      </c>
      <c r="AB158" t="s">
        <v>1892</v>
      </c>
      <c r="AD158" t="s">
        <v>310</v>
      </c>
      <c r="AE158">
        <v>4763</v>
      </c>
      <c r="AF158" t="s">
        <v>355</v>
      </c>
      <c r="AG158" t="s">
        <v>232</v>
      </c>
      <c r="AH158" t="s">
        <v>207</v>
      </c>
      <c r="AI158">
        <v>434883.62790700002</v>
      </c>
      <c r="AJ158">
        <v>561000</v>
      </c>
      <c r="AK158">
        <v>29</v>
      </c>
      <c r="AL158">
        <v>10000</v>
      </c>
      <c r="AM158">
        <v>0</v>
      </c>
      <c r="AN158">
        <v>0</v>
      </c>
      <c r="AO158">
        <v>0</v>
      </c>
      <c r="AP158">
        <v>0</v>
      </c>
      <c r="AQ158">
        <v>15000</v>
      </c>
      <c r="AR158">
        <v>0</v>
      </c>
      <c r="AS158">
        <v>0</v>
      </c>
      <c r="AT158">
        <v>0</v>
      </c>
      <c r="AU158">
        <v>0</v>
      </c>
      <c r="AV158">
        <v>10701</v>
      </c>
      <c r="AW158">
        <v>0</v>
      </c>
      <c r="AX158">
        <v>0</v>
      </c>
      <c r="AY158">
        <v>35701</v>
      </c>
      <c r="AZ158">
        <v>525299</v>
      </c>
      <c r="BA158">
        <v>30000</v>
      </c>
      <c r="BB158">
        <v>0</v>
      </c>
      <c r="BC158">
        <v>0</v>
      </c>
      <c r="BD158">
        <v>53351</v>
      </c>
      <c r="BE158" t="s">
        <v>208</v>
      </c>
      <c r="BF158">
        <v>0</v>
      </c>
      <c r="BG158">
        <v>0</v>
      </c>
      <c r="BH158" t="s">
        <v>209</v>
      </c>
      <c r="BI158">
        <v>25000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633650</v>
      </c>
      <c r="BY158">
        <v>0</v>
      </c>
      <c r="BZ158">
        <v>93000</v>
      </c>
      <c r="CA158">
        <v>0</v>
      </c>
      <c r="CB158">
        <v>0</v>
      </c>
      <c r="CC158">
        <v>0</v>
      </c>
      <c r="CD158">
        <v>0</v>
      </c>
      <c r="CE158">
        <v>93000</v>
      </c>
      <c r="CF158">
        <v>0</v>
      </c>
      <c r="CG158">
        <v>0</v>
      </c>
      <c r="CH158">
        <v>540650</v>
      </c>
      <c r="CJ158" t="s">
        <v>276</v>
      </c>
      <c r="CL158" t="s">
        <v>211</v>
      </c>
      <c r="CM158">
        <v>0</v>
      </c>
      <c r="CN158">
        <v>0</v>
      </c>
      <c r="CO158">
        <v>0</v>
      </c>
      <c r="CP158">
        <v>0</v>
      </c>
      <c r="CU158">
        <v>0</v>
      </c>
      <c r="CV158" t="s">
        <v>1893</v>
      </c>
      <c r="CW158" t="s">
        <v>1894</v>
      </c>
      <c r="CX158" t="s">
        <v>1786</v>
      </c>
      <c r="CY158" t="s">
        <v>1787</v>
      </c>
      <c r="CZ158" t="s">
        <v>217</v>
      </c>
      <c r="DB158" t="s">
        <v>1895</v>
      </c>
      <c r="DD158" t="s">
        <v>1896</v>
      </c>
      <c r="DF158" t="s">
        <v>220</v>
      </c>
      <c r="DG158">
        <v>451221</v>
      </c>
      <c r="DL158">
        <v>0</v>
      </c>
      <c r="DN158">
        <v>0</v>
      </c>
      <c r="DP158" t="s">
        <v>1897</v>
      </c>
      <c r="DQ158">
        <v>4259299</v>
      </c>
      <c r="DR158" t="s">
        <v>223</v>
      </c>
      <c r="DS158">
        <v>0</v>
      </c>
      <c r="DV158">
        <v>0</v>
      </c>
      <c r="DW158">
        <v>1</v>
      </c>
      <c r="DX158">
        <v>5406.5</v>
      </c>
      <c r="DY158">
        <v>973.17</v>
      </c>
      <c r="DZ158">
        <v>6379.67</v>
      </c>
      <c r="EC158">
        <v>0</v>
      </c>
      <c r="EQ158" t="s">
        <v>1898</v>
      </c>
      <c r="ER158" s="1">
        <v>45434</v>
      </c>
      <c r="ES158">
        <v>3000</v>
      </c>
      <c r="ET158">
        <v>404981.86</v>
      </c>
      <c r="EU158">
        <v>5426.4</v>
      </c>
      <c r="EV158">
        <v>250269</v>
      </c>
      <c r="EW158" t="s">
        <v>1899</v>
      </c>
      <c r="EX158">
        <v>0</v>
      </c>
      <c r="EY158" t="s">
        <v>226</v>
      </c>
      <c r="EZ158" t="s">
        <v>202</v>
      </c>
      <c r="FA158" t="s">
        <v>226</v>
      </c>
      <c r="FB158" t="s">
        <v>202</v>
      </c>
      <c r="FC158" t="s">
        <v>202</v>
      </c>
      <c r="FD158" t="s">
        <v>202</v>
      </c>
      <c r="FE158" t="s">
        <v>202</v>
      </c>
      <c r="FF158" t="s">
        <v>202</v>
      </c>
      <c r="FG158" t="s">
        <v>202</v>
      </c>
      <c r="FH158" t="s">
        <v>202</v>
      </c>
      <c r="FI158" t="s">
        <v>202</v>
      </c>
      <c r="FJ158" t="s">
        <v>202</v>
      </c>
      <c r="FK158" t="s">
        <v>202</v>
      </c>
      <c r="FL158" t="s">
        <v>202</v>
      </c>
      <c r="FM158" t="s">
        <v>202</v>
      </c>
      <c r="FN158" t="s">
        <v>202</v>
      </c>
      <c r="FO158">
        <v>30000</v>
      </c>
      <c r="FP158">
        <v>0</v>
      </c>
      <c r="FQ158">
        <v>0</v>
      </c>
      <c r="FR158">
        <v>4763</v>
      </c>
      <c r="FS158">
        <v>0</v>
      </c>
      <c r="FT158">
        <v>0</v>
      </c>
      <c r="FW158">
        <v>0</v>
      </c>
      <c r="FX158">
        <v>0</v>
      </c>
      <c r="FY158">
        <v>0</v>
      </c>
      <c r="GA158">
        <v>0</v>
      </c>
    </row>
    <row r="159" spans="1:183" x14ac:dyDescent="0.3">
      <c r="A159">
        <v>11122</v>
      </c>
      <c r="B159">
        <v>213</v>
      </c>
      <c r="C159" t="s">
        <v>1888</v>
      </c>
      <c r="D159" t="s">
        <v>1888</v>
      </c>
      <c r="E159" t="s">
        <v>1900</v>
      </c>
      <c r="F159">
        <v>2457093131</v>
      </c>
      <c r="G159">
        <v>2457093131</v>
      </c>
      <c r="H159" t="s">
        <v>1901</v>
      </c>
      <c r="I159" t="s">
        <v>198</v>
      </c>
      <c r="J159" t="s">
        <v>199</v>
      </c>
      <c r="L159" t="s">
        <v>377</v>
      </c>
      <c r="O159">
        <v>9098111848</v>
      </c>
      <c r="P159" t="s">
        <v>1902</v>
      </c>
      <c r="Q159" s="1">
        <v>45454</v>
      </c>
      <c r="R159" s="1">
        <v>45454</v>
      </c>
      <c r="S159" s="1">
        <v>45454</v>
      </c>
      <c r="U159" t="s">
        <v>1902</v>
      </c>
      <c r="W159" t="s">
        <v>202</v>
      </c>
      <c r="AB159">
        <v>421736</v>
      </c>
      <c r="AD159" t="s">
        <v>323</v>
      </c>
      <c r="AE159">
        <v>4824</v>
      </c>
      <c r="AF159" t="s">
        <v>324</v>
      </c>
      <c r="AG159" t="s">
        <v>232</v>
      </c>
      <c r="AH159" t="s">
        <v>250</v>
      </c>
      <c r="AI159">
        <v>668620.66896599997</v>
      </c>
      <c r="AJ159">
        <v>969500</v>
      </c>
      <c r="AK159">
        <v>45</v>
      </c>
      <c r="AL159">
        <v>0</v>
      </c>
      <c r="AM159">
        <v>0</v>
      </c>
      <c r="AN159">
        <v>0</v>
      </c>
      <c r="AO159">
        <v>0</v>
      </c>
      <c r="AP159">
        <v>10000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22731</v>
      </c>
      <c r="AW159">
        <v>0</v>
      </c>
      <c r="AX159">
        <v>0</v>
      </c>
      <c r="AY159">
        <v>32731</v>
      </c>
      <c r="AZ159">
        <v>936769</v>
      </c>
      <c r="BA159">
        <v>46000</v>
      </c>
      <c r="BB159">
        <v>0</v>
      </c>
      <c r="BC159">
        <v>0</v>
      </c>
      <c r="BD159">
        <v>85331</v>
      </c>
      <c r="BE159" t="s">
        <v>208</v>
      </c>
      <c r="BF159">
        <v>0</v>
      </c>
      <c r="BG159">
        <v>0</v>
      </c>
      <c r="BH159" t="s">
        <v>209</v>
      </c>
      <c r="BI159">
        <v>33002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1101102</v>
      </c>
      <c r="BY159">
        <v>0</v>
      </c>
      <c r="BZ159">
        <v>0</v>
      </c>
      <c r="CA159">
        <v>0</v>
      </c>
      <c r="CB159">
        <v>51900</v>
      </c>
      <c r="CC159">
        <v>5100</v>
      </c>
      <c r="CD159">
        <v>0</v>
      </c>
      <c r="CE159">
        <v>51900</v>
      </c>
      <c r="CF159">
        <v>0</v>
      </c>
      <c r="CG159">
        <v>0</v>
      </c>
      <c r="CH159">
        <v>889200</v>
      </c>
      <c r="CJ159" t="s">
        <v>276</v>
      </c>
      <c r="CL159" t="s">
        <v>211</v>
      </c>
      <c r="CM159">
        <v>160000</v>
      </c>
      <c r="CN159">
        <v>0</v>
      </c>
      <c r="CO159">
        <v>0</v>
      </c>
      <c r="CP159">
        <v>160000</v>
      </c>
      <c r="CQ159" t="s">
        <v>1903</v>
      </c>
      <c r="CT159" t="s">
        <v>1450</v>
      </c>
      <c r="CU159">
        <v>2</v>
      </c>
      <c r="CV159" t="s">
        <v>1904</v>
      </c>
      <c r="CW159" t="s">
        <v>1905</v>
      </c>
      <c r="CX159" t="s">
        <v>1786</v>
      </c>
      <c r="CY159" t="s">
        <v>1787</v>
      </c>
      <c r="CZ159" t="s">
        <v>217</v>
      </c>
      <c r="DB159" t="s">
        <v>1906</v>
      </c>
      <c r="DD159" t="s">
        <v>1907</v>
      </c>
      <c r="DF159" t="s">
        <v>220</v>
      </c>
      <c r="DG159">
        <v>454001</v>
      </c>
      <c r="DL159">
        <v>0</v>
      </c>
      <c r="DN159">
        <v>0</v>
      </c>
      <c r="DP159" t="s">
        <v>1908</v>
      </c>
      <c r="DQ159">
        <v>9512524</v>
      </c>
      <c r="DR159" t="s">
        <v>223</v>
      </c>
      <c r="DS159">
        <v>0</v>
      </c>
      <c r="DV159">
        <v>0</v>
      </c>
      <c r="DW159">
        <v>1</v>
      </c>
      <c r="DX159">
        <v>8892</v>
      </c>
      <c r="DY159">
        <v>1600.56</v>
      </c>
      <c r="DZ159">
        <v>10492.56</v>
      </c>
      <c r="EC159">
        <v>0</v>
      </c>
      <c r="EQ159" t="s">
        <v>1909</v>
      </c>
      <c r="ER159" s="1">
        <v>45434</v>
      </c>
      <c r="ES159">
        <v>6000</v>
      </c>
      <c r="ET159">
        <v>623495.66</v>
      </c>
      <c r="EU159">
        <v>0</v>
      </c>
      <c r="EV159">
        <v>249970</v>
      </c>
      <c r="EW159" t="s">
        <v>1910</v>
      </c>
      <c r="EX159">
        <v>0</v>
      </c>
      <c r="EY159" t="s">
        <v>226</v>
      </c>
      <c r="EZ159" t="s">
        <v>202</v>
      </c>
      <c r="FA159" t="s">
        <v>226</v>
      </c>
      <c r="FB159" t="s">
        <v>202</v>
      </c>
      <c r="FC159" t="s">
        <v>202</v>
      </c>
      <c r="FD159" t="s">
        <v>202</v>
      </c>
      <c r="FE159" t="s">
        <v>202</v>
      </c>
      <c r="FF159" t="s">
        <v>202</v>
      </c>
      <c r="FG159" t="s">
        <v>202</v>
      </c>
      <c r="FH159" t="s">
        <v>202</v>
      </c>
      <c r="FI159" t="s">
        <v>202</v>
      </c>
      <c r="FJ159" t="s">
        <v>202</v>
      </c>
      <c r="FK159" t="s">
        <v>202</v>
      </c>
      <c r="FL159" t="s">
        <v>202</v>
      </c>
      <c r="FM159" t="s">
        <v>202</v>
      </c>
      <c r="FN159" t="s">
        <v>202</v>
      </c>
      <c r="FO159">
        <v>45998</v>
      </c>
      <c r="FP159">
        <v>2</v>
      </c>
      <c r="FQ159">
        <v>0</v>
      </c>
      <c r="FR159">
        <v>4824</v>
      </c>
      <c r="FS159">
        <v>0</v>
      </c>
      <c r="FT159">
        <v>0</v>
      </c>
      <c r="FW159">
        <v>0</v>
      </c>
      <c r="FX159">
        <v>0</v>
      </c>
      <c r="FY159">
        <v>0</v>
      </c>
      <c r="GA159">
        <v>0</v>
      </c>
    </row>
    <row r="160" spans="1:183" x14ac:dyDescent="0.3">
      <c r="A160">
        <v>11161</v>
      </c>
      <c r="B160">
        <v>214</v>
      </c>
      <c r="C160" t="s">
        <v>1888</v>
      </c>
      <c r="D160" t="s">
        <v>1888</v>
      </c>
      <c r="E160" t="s">
        <v>1911</v>
      </c>
      <c r="F160">
        <v>2457168517</v>
      </c>
      <c r="G160">
        <v>2457168517</v>
      </c>
      <c r="H160" t="s">
        <v>1912</v>
      </c>
      <c r="I160" t="s">
        <v>198</v>
      </c>
      <c r="J160" t="s">
        <v>199</v>
      </c>
      <c r="L160" t="s">
        <v>393</v>
      </c>
      <c r="O160">
        <v>8435087800</v>
      </c>
      <c r="P160" t="s">
        <v>1913</v>
      </c>
      <c r="Q160" s="1">
        <v>45458</v>
      </c>
      <c r="R160" s="1">
        <v>45458</v>
      </c>
      <c r="S160" s="1">
        <v>45458</v>
      </c>
      <c r="U160" t="s">
        <v>1913</v>
      </c>
      <c r="W160" t="s">
        <v>202</v>
      </c>
      <c r="AB160" t="s">
        <v>1914</v>
      </c>
      <c r="AD160" t="s">
        <v>310</v>
      </c>
      <c r="AE160">
        <v>4763</v>
      </c>
      <c r="AF160" t="s">
        <v>355</v>
      </c>
      <c r="AG160" t="s">
        <v>232</v>
      </c>
      <c r="AH160" t="s">
        <v>207</v>
      </c>
      <c r="AI160">
        <v>434883.62790700002</v>
      </c>
      <c r="AJ160">
        <v>561000</v>
      </c>
      <c r="AK160">
        <v>29</v>
      </c>
      <c r="AL160">
        <v>10000</v>
      </c>
      <c r="AM160">
        <v>0</v>
      </c>
      <c r="AN160">
        <v>0</v>
      </c>
      <c r="AO160">
        <v>0</v>
      </c>
      <c r="AP160">
        <v>0</v>
      </c>
      <c r="AQ160">
        <v>15000</v>
      </c>
      <c r="AR160">
        <v>0</v>
      </c>
      <c r="AS160">
        <v>0</v>
      </c>
      <c r="AT160">
        <v>0</v>
      </c>
      <c r="AU160">
        <v>0</v>
      </c>
      <c r="AV160">
        <v>16351</v>
      </c>
      <c r="AW160">
        <v>0</v>
      </c>
      <c r="AX160">
        <v>0</v>
      </c>
      <c r="AY160">
        <v>41351</v>
      </c>
      <c r="AZ160">
        <v>519649</v>
      </c>
      <c r="BA160">
        <v>30000</v>
      </c>
      <c r="BB160">
        <v>0</v>
      </c>
      <c r="BC160">
        <v>0</v>
      </c>
      <c r="BD160">
        <v>53351</v>
      </c>
      <c r="BE160" t="s">
        <v>208</v>
      </c>
      <c r="BF160">
        <v>0</v>
      </c>
      <c r="BG160">
        <v>0</v>
      </c>
      <c r="BH160" t="s">
        <v>209</v>
      </c>
      <c r="BI160">
        <v>25000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628000</v>
      </c>
      <c r="BY160">
        <v>0</v>
      </c>
      <c r="BZ160">
        <v>96000</v>
      </c>
      <c r="CA160">
        <v>0</v>
      </c>
      <c r="CB160">
        <v>0</v>
      </c>
      <c r="CC160">
        <v>0</v>
      </c>
      <c r="CD160">
        <v>0</v>
      </c>
      <c r="CE160">
        <v>96000</v>
      </c>
      <c r="CF160">
        <v>0</v>
      </c>
      <c r="CG160">
        <v>0</v>
      </c>
      <c r="CH160">
        <v>532000</v>
      </c>
      <c r="CJ160" t="s">
        <v>522</v>
      </c>
      <c r="CL160" t="s">
        <v>211</v>
      </c>
      <c r="CM160">
        <v>0</v>
      </c>
      <c r="CN160">
        <v>0</v>
      </c>
      <c r="CO160">
        <v>0</v>
      </c>
      <c r="CP160">
        <v>0</v>
      </c>
      <c r="CU160">
        <v>0</v>
      </c>
      <c r="CV160" t="s">
        <v>1784</v>
      </c>
      <c r="CW160" t="s">
        <v>1785</v>
      </c>
      <c r="CX160" t="s">
        <v>1786</v>
      </c>
      <c r="CY160" t="s">
        <v>1787</v>
      </c>
      <c r="CZ160" t="s">
        <v>217</v>
      </c>
      <c r="DB160" t="s">
        <v>1915</v>
      </c>
      <c r="DD160" t="s">
        <v>1916</v>
      </c>
      <c r="DF160" t="s">
        <v>220</v>
      </c>
      <c r="DG160">
        <v>451551</v>
      </c>
      <c r="DL160">
        <v>0</v>
      </c>
      <c r="DN160">
        <v>0</v>
      </c>
      <c r="DP160" t="s">
        <v>1917</v>
      </c>
      <c r="DQ160">
        <v>4253962</v>
      </c>
      <c r="DR160" t="s">
        <v>223</v>
      </c>
      <c r="DS160">
        <v>0</v>
      </c>
      <c r="DV160">
        <v>0</v>
      </c>
      <c r="DW160">
        <v>1</v>
      </c>
      <c r="DX160">
        <v>5320</v>
      </c>
      <c r="DY160">
        <v>957.6</v>
      </c>
      <c r="DZ160">
        <v>6277.6</v>
      </c>
      <c r="EC160">
        <v>0</v>
      </c>
      <c r="EQ160" t="s">
        <v>1918</v>
      </c>
      <c r="ER160" s="1">
        <v>45422</v>
      </c>
      <c r="ES160">
        <v>3000</v>
      </c>
      <c r="ET160">
        <v>404981.86</v>
      </c>
      <c r="EU160">
        <v>5426.4</v>
      </c>
      <c r="EV160">
        <v>250708</v>
      </c>
      <c r="EW160" t="s">
        <v>1919</v>
      </c>
      <c r="EX160">
        <v>0</v>
      </c>
      <c r="EY160" t="s">
        <v>226</v>
      </c>
      <c r="EZ160" t="s">
        <v>202</v>
      </c>
      <c r="FA160" t="s">
        <v>226</v>
      </c>
      <c r="FB160" t="s">
        <v>202</v>
      </c>
      <c r="FC160" t="s">
        <v>202</v>
      </c>
      <c r="FD160" t="s">
        <v>202</v>
      </c>
      <c r="FE160" t="s">
        <v>202</v>
      </c>
      <c r="FF160" t="s">
        <v>202</v>
      </c>
      <c r="FG160" t="s">
        <v>202</v>
      </c>
      <c r="FH160" t="s">
        <v>202</v>
      </c>
      <c r="FI160" t="s">
        <v>202</v>
      </c>
      <c r="FJ160" t="s">
        <v>202</v>
      </c>
      <c r="FK160" t="s">
        <v>202</v>
      </c>
      <c r="FL160" t="s">
        <v>202</v>
      </c>
      <c r="FM160" t="s">
        <v>202</v>
      </c>
      <c r="FN160" t="s">
        <v>202</v>
      </c>
      <c r="FO160">
        <v>29505</v>
      </c>
      <c r="FP160">
        <v>495</v>
      </c>
      <c r="FQ160">
        <v>0</v>
      </c>
      <c r="FR160">
        <v>4763</v>
      </c>
      <c r="FS160">
        <v>0</v>
      </c>
      <c r="FT160">
        <v>0</v>
      </c>
      <c r="FW160">
        <v>0</v>
      </c>
      <c r="FX160">
        <v>0</v>
      </c>
      <c r="FY160">
        <v>0</v>
      </c>
      <c r="GA160">
        <v>-495</v>
      </c>
    </row>
    <row r="161" spans="1:183" x14ac:dyDescent="0.3">
      <c r="A161">
        <v>11167</v>
      </c>
      <c r="B161">
        <v>215</v>
      </c>
      <c r="C161" t="s">
        <v>1888</v>
      </c>
      <c r="D161" t="s">
        <v>1888</v>
      </c>
      <c r="E161" t="s">
        <v>1920</v>
      </c>
      <c r="F161">
        <v>2457230537</v>
      </c>
      <c r="G161">
        <v>2457230537</v>
      </c>
      <c r="H161" t="s">
        <v>1921</v>
      </c>
      <c r="I161" t="s">
        <v>198</v>
      </c>
      <c r="J161" t="s">
        <v>199</v>
      </c>
      <c r="L161" t="s">
        <v>1844</v>
      </c>
      <c r="O161">
        <v>9993353789</v>
      </c>
      <c r="P161" t="s">
        <v>1922</v>
      </c>
      <c r="Q161" s="1">
        <v>45460</v>
      </c>
      <c r="R161" s="1">
        <v>45460</v>
      </c>
      <c r="S161" s="1">
        <v>45460</v>
      </c>
      <c r="U161" t="s">
        <v>1922</v>
      </c>
      <c r="W161" t="s">
        <v>202</v>
      </c>
      <c r="AB161">
        <v>819439</v>
      </c>
      <c r="AD161" t="s">
        <v>287</v>
      </c>
      <c r="AE161">
        <v>4725</v>
      </c>
      <c r="AF161" t="s">
        <v>405</v>
      </c>
      <c r="AG161" t="s">
        <v>232</v>
      </c>
      <c r="AH161" t="s">
        <v>250</v>
      </c>
      <c r="AI161">
        <v>677931.02069000003</v>
      </c>
      <c r="AJ161">
        <v>983000</v>
      </c>
      <c r="AK161">
        <v>45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983000</v>
      </c>
      <c r="BA161">
        <v>5000</v>
      </c>
      <c r="BB161">
        <v>0</v>
      </c>
      <c r="BC161">
        <v>0</v>
      </c>
      <c r="BD161">
        <v>86811</v>
      </c>
      <c r="BE161" t="s">
        <v>208</v>
      </c>
      <c r="BF161">
        <v>0</v>
      </c>
      <c r="BG161">
        <v>0</v>
      </c>
      <c r="BH161" t="s">
        <v>209</v>
      </c>
      <c r="BI161">
        <v>32200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1107011</v>
      </c>
      <c r="BY161">
        <v>0</v>
      </c>
      <c r="BZ161">
        <v>0</v>
      </c>
      <c r="CA161">
        <v>0</v>
      </c>
      <c r="CB161">
        <v>1112600</v>
      </c>
      <c r="CC161">
        <v>11000</v>
      </c>
      <c r="CD161">
        <v>0</v>
      </c>
      <c r="CE161">
        <v>1112600</v>
      </c>
      <c r="CF161">
        <v>0</v>
      </c>
      <c r="CG161">
        <v>0</v>
      </c>
      <c r="CH161">
        <v>600000</v>
      </c>
      <c r="CJ161" t="s">
        <v>235</v>
      </c>
      <c r="CL161" t="s">
        <v>236</v>
      </c>
      <c r="CM161">
        <v>0</v>
      </c>
      <c r="CN161">
        <v>0</v>
      </c>
      <c r="CO161">
        <v>0</v>
      </c>
      <c r="CP161">
        <v>0</v>
      </c>
      <c r="CU161">
        <v>-605589</v>
      </c>
      <c r="CV161" t="s">
        <v>1904</v>
      </c>
      <c r="CW161" t="s">
        <v>1905</v>
      </c>
      <c r="CX161" t="s">
        <v>1786</v>
      </c>
      <c r="CY161" t="s">
        <v>1787</v>
      </c>
      <c r="CZ161" t="s">
        <v>217</v>
      </c>
      <c r="DB161" t="s">
        <v>1923</v>
      </c>
      <c r="DD161" t="s">
        <v>1924</v>
      </c>
      <c r="DF161" t="s">
        <v>220</v>
      </c>
      <c r="DG161">
        <v>451224</v>
      </c>
      <c r="DL161">
        <v>0</v>
      </c>
      <c r="DN161">
        <v>0</v>
      </c>
      <c r="DP161" t="s">
        <v>1925</v>
      </c>
      <c r="DQ161">
        <v>9532162</v>
      </c>
      <c r="DR161" t="s">
        <v>223</v>
      </c>
      <c r="DS161">
        <v>0</v>
      </c>
      <c r="DV161">
        <v>0</v>
      </c>
      <c r="DW161">
        <v>0.97</v>
      </c>
      <c r="DX161">
        <v>5820</v>
      </c>
      <c r="DY161">
        <v>1047.5999999999999</v>
      </c>
      <c r="DZ161">
        <v>6867.6</v>
      </c>
      <c r="EC161">
        <v>0</v>
      </c>
      <c r="EQ161" t="s">
        <v>1926</v>
      </c>
      <c r="ER161" s="1">
        <v>45456</v>
      </c>
      <c r="ES161">
        <v>8500</v>
      </c>
      <c r="ET161">
        <v>632556.03</v>
      </c>
      <c r="EU161">
        <v>0</v>
      </c>
      <c r="EV161">
        <v>251319</v>
      </c>
      <c r="EW161" t="s">
        <v>1927</v>
      </c>
      <c r="EX161">
        <v>0</v>
      </c>
      <c r="EY161" t="s">
        <v>226</v>
      </c>
      <c r="EZ161" t="s">
        <v>202</v>
      </c>
      <c r="FA161" t="s">
        <v>226</v>
      </c>
      <c r="FB161" t="s">
        <v>202</v>
      </c>
      <c r="FC161" t="s">
        <v>202</v>
      </c>
      <c r="FD161" t="s">
        <v>202</v>
      </c>
      <c r="FE161" t="s">
        <v>202</v>
      </c>
      <c r="FF161" t="s">
        <v>202</v>
      </c>
      <c r="FG161" t="s">
        <v>202</v>
      </c>
      <c r="FH161" t="s">
        <v>202</v>
      </c>
      <c r="FI161" t="s">
        <v>202</v>
      </c>
      <c r="FJ161" t="s">
        <v>202</v>
      </c>
      <c r="FK161" t="s">
        <v>202</v>
      </c>
      <c r="FL161" t="s">
        <v>202</v>
      </c>
      <c r="FM161" t="s">
        <v>202</v>
      </c>
      <c r="FN161" t="s">
        <v>202</v>
      </c>
      <c r="FO161">
        <v>5000</v>
      </c>
      <c r="FP161">
        <v>0</v>
      </c>
      <c r="FQ161">
        <v>0</v>
      </c>
      <c r="FR161">
        <v>4725</v>
      </c>
      <c r="FS161">
        <v>0</v>
      </c>
      <c r="FT161">
        <v>0</v>
      </c>
      <c r="FW161">
        <v>0</v>
      </c>
      <c r="FX161">
        <v>0</v>
      </c>
      <c r="FY161">
        <v>0</v>
      </c>
      <c r="GA161">
        <v>-5590</v>
      </c>
    </row>
    <row r="162" spans="1:183" x14ac:dyDescent="0.3">
      <c r="A162">
        <v>11175</v>
      </c>
      <c r="B162">
        <v>216</v>
      </c>
      <c r="C162" t="s">
        <v>1888</v>
      </c>
      <c r="D162" t="s">
        <v>1888</v>
      </c>
      <c r="E162" t="s">
        <v>1928</v>
      </c>
      <c r="F162">
        <v>2457065081</v>
      </c>
      <c r="G162">
        <v>2457065081</v>
      </c>
      <c r="H162" t="s">
        <v>1929</v>
      </c>
      <c r="I162" t="s">
        <v>198</v>
      </c>
      <c r="J162" t="s">
        <v>199</v>
      </c>
      <c r="L162" t="s">
        <v>1930</v>
      </c>
      <c r="O162">
        <v>9826090807</v>
      </c>
      <c r="P162" t="s">
        <v>1931</v>
      </c>
      <c r="Q162" s="1">
        <v>45456</v>
      </c>
      <c r="R162" s="1">
        <v>45456</v>
      </c>
      <c r="S162" s="1">
        <v>45462</v>
      </c>
      <c r="U162" t="s">
        <v>1931</v>
      </c>
      <c r="W162" t="s">
        <v>202</v>
      </c>
      <c r="AB162">
        <v>431502</v>
      </c>
      <c r="AD162" t="s">
        <v>323</v>
      </c>
      <c r="AE162">
        <v>4820</v>
      </c>
      <c r="AF162" t="s">
        <v>1932</v>
      </c>
      <c r="AG162" t="s">
        <v>206</v>
      </c>
      <c r="AH162" t="s">
        <v>1933</v>
      </c>
      <c r="AI162">
        <v>845172.10344800004</v>
      </c>
      <c r="AJ162">
        <v>1225499</v>
      </c>
      <c r="AK162">
        <v>45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15800</v>
      </c>
      <c r="AW162">
        <v>0</v>
      </c>
      <c r="AX162">
        <v>0</v>
      </c>
      <c r="AY162">
        <v>15800</v>
      </c>
      <c r="AZ162">
        <v>1209699</v>
      </c>
      <c r="BA162">
        <v>0</v>
      </c>
      <c r="BB162">
        <v>0</v>
      </c>
      <c r="BC162">
        <v>0</v>
      </c>
      <c r="BD162">
        <v>130338</v>
      </c>
      <c r="BE162" t="s">
        <v>234</v>
      </c>
      <c r="BF162">
        <v>20827</v>
      </c>
      <c r="BG162">
        <v>0</v>
      </c>
      <c r="BH162" t="s">
        <v>209</v>
      </c>
      <c r="BI162">
        <v>38059</v>
      </c>
      <c r="BJ162">
        <v>885</v>
      </c>
      <c r="BK162">
        <v>0</v>
      </c>
      <c r="BL162">
        <v>0</v>
      </c>
      <c r="BM162">
        <v>0</v>
      </c>
      <c r="BN162">
        <v>12106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1411914</v>
      </c>
      <c r="BY162">
        <v>0</v>
      </c>
      <c r="BZ162">
        <v>199000</v>
      </c>
      <c r="CA162">
        <v>0</v>
      </c>
      <c r="CB162">
        <v>374400</v>
      </c>
      <c r="CC162">
        <v>11000</v>
      </c>
      <c r="CD162">
        <v>0</v>
      </c>
      <c r="CE162">
        <v>573400</v>
      </c>
      <c r="CF162">
        <v>0</v>
      </c>
      <c r="CG162">
        <v>0</v>
      </c>
      <c r="CH162">
        <v>889200</v>
      </c>
      <c r="CJ162" t="s">
        <v>276</v>
      </c>
      <c r="CL162" t="s">
        <v>211</v>
      </c>
      <c r="CM162">
        <v>0</v>
      </c>
      <c r="CN162">
        <v>0</v>
      </c>
      <c r="CO162">
        <v>0</v>
      </c>
      <c r="CP162">
        <v>0</v>
      </c>
      <c r="CU162">
        <v>-50686</v>
      </c>
      <c r="CV162" t="s">
        <v>1904</v>
      </c>
      <c r="CW162" t="s">
        <v>1905</v>
      </c>
      <c r="CX162" t="s">
        <v>1786</v>
      </c>
      <c r="CY162" t="s">
        <v>1787</v>
      </c>
      <c r="CZ162" t="s">
        <v>217</v>
      </c>
      <c r="DB162" t="s">
        <v>1934</v>
      </c>
      <c r="DD162" t="s">
        <v>1935</v>
      </c>
      <c r="DF162" t="s">
        <v>220</v>
      </c>
      <c r="DG162">
        <v>454552</v>
      </c>
      <c r="DL162">
        <v>0</v>
      </c>
      <c r="DN162">
        <v>0</v>
      </c>
      <c r="DP162" t="s">
        <v>1936</v>
      </c>
      <c r="DQ162">
        <v>9527626</v>
      </c>
      <c r="DR162" t="s">
        <v>223</v>
      </c>
      <c r="DS162">
        <v>20827</v>
      </c>
      <c r="DT162" s="1">
        <v>45462</v>
      </c>
      <c r="DU162" t="s">
        <v>1937</v>
      </c>
      <c r="DV162">
        <v>0</v>
      </c>
      <c r="DW162">
        <v>1</v>
      </c>
      <c r="DX162">
        <v>8892</v>
      </c>
      <c r="DY162">
        <v>1600.56</v>
      </c>
      <c r="DZ162">
        <v>10492.56</v>
      </c>
      <c r="EC162">
        <v>0</v>
      </c>
      <c r="EQ162" t="s">
        <v>1938</v>
      </c>
      <c r="ER162" s="1">
        <v>45454</v>
      </c>
      <c r="ES162">
        <v>6000</v>
      </c>
      <c r="ET162">
        <v>798047.1</v>
      </c>
      <c r="EU162">
        <v>0</v>
      </c>
      <c r="EV162">
        <v>249927</v>
      </c>
      <c r="EW162" t="s">
        <v>1939</v>
      </c>
      <c r="EX162">
        <v>0</v>
      </c>
      <c r="EY162" t="s">
        <v>226</v>
      </c>
      <c r="EZ162" t="s">
        <v>226</v>
      </c>
      <c r="FA162" t="s">
        <v>226</v>
      </c>
      <c r="FB162" t="s">
        <v>202</v>
      </c>
      <c r="FC162" t="s">
        <v>202</v>
      </c>
      <c r="FD162" t="s">
        <v>202</v>
      </c>
      <c r="FE162" t="s">
        <v>202</v>
      </c>
      <c r="FF162" t="s">
        <v>202</v>
      </c>
      <c r="FG162" t="s">
        <v>202</v>
      </c>
      <c r="FH162" t="s">
        <v>202</v>
      </c>
      <c r="FI162" t="s">
        <v>202</v>
      </c>
      <c r="FJ162" t="s">
        <v>202</v>
      </c>
      <c r="FK162" t="s">
        <v>202</v>
      </c>
      <c r="FL162" t="s">
        <v>202</v>
      </c>
      <c r="FM162" t="s">
        <v>202</v>
      </c>
      <c r="FN162" t="s">
        <v>202</v>
      </c>
      <c r="FO162">
        <v>45500</v>
      </c>
      <c r="FP162">
        <v>-45500</v>
      </c>
      <c r="FQ162">
        <v>1.51</v>
      </c>
      <c r="FR162">
        <v>4820</v>
      </c>
      <c r="FS162">
        <v>0</v>
      </c>
      <c r="FT162">
        <v>0</v>
      </c>
      <c r="FW162">
        <v>0</v>
      </c>
      <c r="FX162">
        <v>0</v>
      </c>
      <c r="FY162">
        <v>0</v>
      </c>
      <c r="GA162">
        <v>-6072</v>
      </c>
    </row>
    <row r="163" spans="1:183" x14ac:dyDescent="0.3">
      <c r="A163">
        <v>11176</v>
      </c>
      <c r="B163">
        <v>217</v>
      </c>
      <c r="C163" t="s">
        <v>1888</v>
      </c>
      <c r="D163" t="s">
        <v>1888</v>
      </c>
      <c r="E163" t="s">
        <v>1940</v>
      </c>
      <c r="F163">
        <v>2457335491</v>
      </c>
      <c r="G163">
        <v>2457335491</v>
      </c>
      <c r="H163" t="s">
        <v>1941</v>
      </c>
      <c r="I163" t="s">
        <v>198</v>
      </c>
      <c r="J163" t="s">
        <v>199</v>
      </c>
      <c r="L163" t="s">
        <v>260</v>
      </c>
      <c r="O163">
        <v>9669862432</v>
      </c>
      <c r="P163" t="s">
        <v>1942</v>
      </c>
      <c r="Q163" s="1">
        <v>45463</v>
      </c>
      <c r="R163" s="1">
        <v>45463</v>
      </c>
      <c r="S163" s="1">
        <v>45463</v>
      </c>
      <c r="U163" t="s">
        <v>1942</v>
      </c>
      <c r="W163" t="s">
        <v>202</v>
      </c>
      <c r="AB163" t="s">
        <v>1943</v>
      </c>
      <c r="AD163" t="s">
        <v>204</v>
      </c>
      <c r="AE163">
        <v>4687</v>
      </c>
      <c r="AF163" t="s">
        <v>263</v>
      </c>
      <c r="AG163" t="s">
        <v>232</v>
      </c>
      <c r="AH163" t="s">
        <v>356</v>
      </c>
      <c r="AI163">
        <v>464728.68217099999</v>
      </c>
      <c r="AJ163">
        <v>599500</v>
      </c>
      <c r="AK163">
        <v>29</v>
      </c>
      <c r="AL163">
        <v>10000</v>
      </c>
      <c r="AM163">
        <v>0</v>
      </c>
      <c r="AN163">
        <v>0</v>
      </c>
      <c r="AO163">
        <v>2100</v>
      </c>
      <c r="AP163">
        <v>0</v>
      </c>
      <c r="AQ163">
        <v>25000</v>
      </c>
      <c r="AR163">
        <v>0</v>
      </c>
      <c r="AS163">
        <v>0</v>
      </c>
      <c r="AT163">
        <v>0</v>
      </c>
      <c r="AU163">
        <v>0</v>
      </c>
      <c r="AV163">
        <v>14982</v>
      </c>
      <c r="AW163">
        <v>0</v>
      </c>
      <c r="AX163">
        <v>0</v>
      </c>
      <c r="AY163">
        <v>52082</v>
      </c>
      <c r="AZ163">
        <v>547418</v>
      </c>
      <c r="BA163">
        <v>35000</v>
      </c>
      <c r="BB163">
        <v>0</v>
      </c>
      <c r="BC163">
        <v>0</v>
      </c>
      <c r="BD163">
        <v>56351</v>
      </c>
      <c r="BE163" t="s">
        <v>234</v>
      </c>
      <c r="BF163">
        <v>9346</v>
      </c>
      <c r="BG163">
        <v>0</v>
      </c>
      <c r="BH163" t="s">
        <v>209</v>
      </c>
      <c r="BI163">
        <v>21000</v>
      </c>
      <c r="BJ163">
        <v>885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670000</v>
      </c>
      <c r="BY163">
        <v>0</v>
      </c>
      <c r="BZ163">
        <v>0</v>
      </c>
      <c r="CA163">
        <v>0</v>
      </c>
      <c r="CB163">
        <v>100000</v>
      </c>
      <c r="CC163">
        <v>0</v>
      </c>
      <c r="CD163">
        <v>0</v>
      </c>
      <c r="CE163">
        <v>100000</v>
      </c>
      <c r="CF163">
        <v>0</v>
      </c>
      <c r="CG163">
        <v>0</v>
      </c>
      <c r="CH163">
        <v>550850</v>
      </c>
      <c r="CJ163" t="s">
        <v>276</v>
      </c>
      <c r="CL163" t="s">
        <v>211</v>
      </c>
      <c r="CM163">
        <v>0</v>
      </c>
      <c r="CN163">
        <v>0</v>
      </c>
      <c r="CO163">
        <v>0</v>
      </c>
      <c r="CP163">
        <v>0</v>
      </c>
      <c r="CU163">
        <v>19150</v>
      </c>
      <c r="CV163" t="s">
        <v>1893</v>
      </c>
      <c r="CW163" t="s">
        <v>1894</v>
      </c>
      <c r="CX163" t="s">
        <v>1786</v>
      </c>
      <c r="CY163" t="s">
        <v>1787</v>
      </c>
      <c r="CZ163" t="s">
        <v>217</v>
      </c>
      <c r="DB163" t="s">
        <v>1944</v>
      </c>
      <c r="DD163" t="s">
        <v>1945</v>
      </c>
      <c r="DF163" t="s">
        <v>220</v>
      </c>
      <c r="DG163">
        <v>451221</v>
      </c>
      <c r="DL163">
        <v>0</v>
      </c>
      <c r="DN163">
        <v>0</v>
      </c>
      <c r="DP163" t="s">
        <v>1946</v>
      </c>
      <c r="DQ163" t="s">
        <v>1947</v>
      </c>
      <c r="DR163" t="s">
        <v>223</v>
      </c>
      <c r="DS163">
        <v>9345.6</v>
      </c>
      <c r="DT163" s="1">
        <v>45463</v>
      </c>
      <c r="DU163" t="s">
        <v>1948</v>
      </c>
      <c r="DV163">
        <v>0</v>
      </c>
      <c r="DW163">
        <v>1</v>
      </c>
      <c r="DX163">
        <v>5508.5</v>
      </c>
      <c r="DY163">
        <v>991.53</v>
      </c>
      <c r="DZ163">
        <v>6500.03</v>
      </c>
      <c r="EC163">
        <v>0</v>
      </c>
      <c r="EQ163" t="s">
        <v>1949</v>
      </c>
      <c r="ER163" s="1">
        <v>45324</v>
      </c>
      <c r="ES163">
        <v>4000</v>
      </c>
      <c r="ET163">
        <v>429977.32</v>
      </c>
      <c r="EU163">
        <v>5426.36</v>
      </c>
      <c r="EV163">
        <v>252414</v>
      </c>
      <c r="EW163" t="s">
        <v>1950</v>
      </c>
      <c r="EX163">
        <v>0</v>
      </c>
      <c r="EY163" t="s">
        <v>226</v>
      </c>
      <c r="EZ163" t="s">
        <v>226</v>
      </c>
      <c r="FA163" t="s">
        <v>226</v>
      </c>
      <c r="FB163" t="s">
        <v>202</v>
      </c>
      <c r="FC163" t="s">
        <v>202</v>
      </c>
      <c r="FD163" t="s">
        <v>202</v>
      </c>
      <c r="FE163" t="s">
        <v>202</v>
      </c>
      <c r="FF163" t="s">
        <v>202</v>
      </c>
      <c r="FG163" t="s">
        <v>202</v>
      </c>
      <c r="FH163" t="s">
        <v>202</v>
      </c>
      <c r="FI163" t="s">
        <v>202</v>
      </c>
      <c r="FJ163" t="s">
        <v>202</v>
      </c>
      <c r="FK163" t="s">
        <v>202</v>
      </c>
      <c r="FL163" t="s">
        <v>202</v>
      </c>
      <c r="FM163" t="s">
        <v>202</v>
      </c>
      <c r="FN163" t="s">
        <v>202</v>
      </c>
      <c r="FO163">
        <v>35000</v>
      </c>
      <c r="FP163">
        <v>0</v>
      </c>
      <c r="FQ163">
        <v>673.92</v>
      </c>
      <c r="FR163">
        <v>4687</v>
      </c>
      <c r="FS163">
        <v>0</v>
      </c>
      <c r="FT163">
        <v>0</v>
      </c>
      <c r="FW163">
        <v>0</v>
      </c>
      <c r="FX163">
        <v>0</v>
      </c>
      <c r="FY163">
        <v>0</v>
      </c>
      <c r="GA163">
        <v>18265</v>
      </c>
    </row>
    <row r="164" spans="1:183" x14ac:dyDescent="0.3">
      <c r="A164">
        <v>11201</v>
      </c>
      <c r="B164">
        <v>218</v>
      </c>
      <c r="C164" t="s">
        <v>1888</v>
      </c>
      <c r="D164" t="s">
        <v>1888</v>
      </c>
      <c r="E164" t="s">
        <v>1951</v>
      </c>
      <c r="F164">
        <v>2456843544</v>
      </c>
      <c r="G164">
        <v>2456843544</v>
      </c>
      <c r="H164" t="s">
        <v>1952</v>
      </c>
      <c r="I164" t="s">
        <v>198</v>
      </c>
      <c r="J164" t="s">
        <v>199</v>
      </c>
      <c r="L164" t="s">
        <v>260</v>
      </c>
      <c r="O164">
        <v>7909702332</v>
      </c>
      <c r="P164" t="s">
        <v>1953</v>
      </c>
      <c r="Q164" s="1">
        <v>45464</v>
      </c>
      <c r="R164" s="1">
        <v>45464</v>
      </c>
      <c r="S164" s="1">
        <v>45463</v>
      </c>
      <c r="U164" t="s">
        <v>1953</v>
      </c>
      <c r="W164" t="s">
        <v>202</v>
      </c>
      <c r="AB164" t="s">
        <v>1954</v>
      </c>
      <c r="AD164" t="s">
        <v>310</v>
      </c>
      <c r="AE164">
        <v>4763</v>
      </c>
      <c r="AF164" t="s">
        <v>355</v>
      </c>
      <c r="AG164" t="s">
        <v>232</v>
      </c>
      <c r="AH164" t="s">
        <v>207</v>
      </c>
      <c r="AI164">
        <v>434883.62790700002</v>
      </c>
      <c r="AJ164">
        <v>561000</v>
      </c>
      <c r="AK164">
        <v>29</v>
      </c>
      <c r="AL164">
        <v>10000</v>
      </c>
      <c r="AM164">
        <v>0</v>
      </c>
      <c r="AN164">
        <v>0</v>
      </c>
      <c r="AO164">
        <v>0</v>
      </c>
      <c r="AP164">
        <v>0</v>
      </c>
      <c r="AQ164">
        <v>15000</v>
      </c>
      <c r="AR164">
        <v>0</v>
      </c>
      <c r="AS164">
        <v>0</v>
      </c>
      <c r="AT164">
        <v>0</v>
      </c>
      <c r="AU164">
        <v>0</v>
      </c>
      <c r="AV164">
        <v>10251</v>
      </c>
      <c r="AW164">
        <v>0</v>
      </c>
      <c r="AX164">
        <v>0</v>
      </c>
      <c r="AY164">
        <v>35251</v>
      </c>
      <c r="AZ164">
        <v>525749</v>
      </c>
      <c r="BA164">
        <v>6100</v>
      </c>
      <c r="BB164">
        <v>0</v>
      </c>
      <c r="BC164">
        <v>0</v>
      </c>
      <c r="BD164">
        <v>53351</v>
      </c>
      <c r="BE164" t="s">
        <v>208</v>
      </c>
      <c r="BF164">
        <v>0</v>
      </c>
      <c r="BG164">
        <v>0</v>
      </c>
      <c r="BH164" t="s">
        <v>209</v>
      </c>
      <c r="BI164">
        <v>25000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610200</v>
      </c>
      <c r="BY164">
        <v>0</v>
      </c>
      <c r="BZ164">
        <v>60100</v>
      </c>
      <c r="CA164">
        <v>0</v>
      </c>
      <c r="CB164">
        <v>2100</v>
      </c>
      <c r="CC164">
        <v>0</v>
      </c>
      <c r="CD164">
        <v>0</v>
      </c>
      <c r="CE164">
        <v>62200</v>
      </c>
      <c r="CF164">
        <v>0</v>
      </c>
      <c r="CG164">
        <v>0</v>
      </c>
      <c r="CH164">
        <v>548000</v>
      </c>
      <c r="CJ164" t="s">
        <v>210</v>
      </c>
      <c r="CL164" t="s">
        <v>211</v>
      </c>
      <c r="CM164">
        <v>0</v>
      </c>
      <c r="CN164">
        <v>0</v>
      </c>
      <c r="CO164">
        <v>0</v>
      </c>
      <c r="CP164">
        <v>0</v>
      </c>
      <c r="CU164">
        <v>0</v>
      </c>
      <c r="CV164" t="s">
        <v>1784</v>
      </c>
      <c r="CW164" t="s">
        <v>1785</v>
      </c>
      <c r="CX164" t="s">
        <v>1786</v>
      </c>
      <c r="CY164" t="s">
        <v>1787</v>
      </c>
      <c r="CZ164" t="s">
        <v>217</v>
      </c>
      <c r="DB164" t="s">
        <v>1955</v>
      </c>
      <c r="DD164" t="s">
        <v>1956</v>
      </c>
      <c r="DF164" t="s">
        <v>220</v>
      </c>
      <c r="DG164">
        <v>451220</v>
      </c>
      <c r="DL164">
        <v>0</v>
      </c>
      <c r="DN164">
        <v>0</v>
      </c>
      <c r="DP164" t="s">
        <v>1957</v>
      </c>
      <c r="DQ164">
        <v>4243619</v>
      </c>
      <c r="DR164" t="s">
        <v>223</v>
      </c>
      <c r="DS164">
        <v>0</v>
      </c>
      <c r="DV164">
        <v>0</v>
      </c>
      <c r="DW164">
        <v>1.5</v>
      </c>
      <c r="DX164">
        <v>8220</v>
      </c>
      <c r="DY164">
        <v>1479.6</v>
      </c>
      <c r="DZ164">
        <v>9699.6</v>
      </c>
      <c r="EC164">
        <v>0</v>
      </c>
      <c r="EQ164" t="s">
        <v>1958</v>
      </c>
      <c r="ER164" s="1">
        <v>45401</v>
      </c>
      <c r="ES164">
        <v>3000</v>
      </c>
      <c r="ET164">
        <v>404981.86</v>
      </c>
      <c r="EU164">
        <v>5426.4</v>
      </c>
      <c r="EV164">
        <v>252313</v>
      </c>
      <c r="EW164" t="s">
        <v>1959</v>
      </c>
      <c r="EX164">
        <v>0</v>
      </c>
      <c r="EY164" t="s">
        <v>226</v>
      </c>
      <c r="EZ164" t="s">
        <v>202</v>
      </c>
      <c r="FA164" t="s">
        <v>226</v>
      </c>
      <c r="FB164" t="s">
        <v>202</v>
      </c>
      <c r="FC164" t="s">
        <v>202</v>
      </c>
      <c r="FD164" t="s">
        <v>202</v>
      </c>
      <c r="FE164" t="s">
        <v>202</v>
      </c>
      <c r="FF164" t="s">
        <v>202</v>
      </c>
      <c r="FG164" t="s">
        <v>202</v>
      </c>
      <c r="FH164" t="s">
        <v>202</v>
      </c>
      <c r="FI164" t="s">
        <v>202</v>
      </c>
      <c r="FJ164" t="s">
        <v>202</v>
      </c>
      <c r="FK164" t="s">
        <v>202</v>
      </c>
      <c r="FL164" t="s">
        <v>202</v>
      </c>
      <c r="FM164" t="s">
        <v>202</v>
      </c>
      <c r="FN164" t="s">
        <v>202</v>
      </c>
      <c r="FO164">
        <v>6100</v>
      </c>
      <c r="FP164">
        <v>0</v>
      </c>
      <c r="FQ164">
        <v>0</v>
      </c>
      <c r="FR164">
        <v>4763</v>
      </c>
      <c r="FS164">
        <v>0</v>
      </c>
      <c r="FT164">
        <v>0</v>
      </c>
      <c r="FW164">
        <v>0</v>
      </c>
      <c r="FX164">
        <v>0</v>
      </c>
      <c r="FY164">
        <v>0</v>
      </c>
      <c r="GA164">
        <v>-446</v>
      </c>
    </row>
    <row r="165" spans="1:183" x14ac:dyDescent="0.3">
      <c r="A165">
        <v>11225</v>
      </c>
      <c r="B165">
        <v>219</v>
      </c>
      <c r="C165" t="s">
        <v>1888</v>
      </c>
      <c r="D165" t="s">
        <v>1888</v>
      </c>
      <c r="E165" t="s">
        <v>1960</v>
      </c>
      <c r="F165">
        <v>2457340338</v>
      </c>
      <c r="G165">
        <v>2457340338</v>
      </c>
      <c r="H165" t="s">
        <v>1961</v>
      </c>
      <c r="I165" t="s">
        <v>198</v>
      </c>
      <c r="J165" t="s">
        <v>199</v>
      </c>
      <c r="L165" t="s">
        <v>1844</v>
      </c>
      <c r="O165">
        <v>8871786075</v>
      </c>
      <c r="P165" t="s">
        <v>1962</v>
      </c>
      <c r="Q165" s="1">
        <v>45467</v>
      </c>
      <c r="R165" s="1">
        <v>45467</v>
      </c>
      <c r="S165" s="1">
        <v>45467</v>
      </c>
      <c r="U165" t="s">
        <v>1962</v>
      </c>
      <c r="W165" t="s">
        <v>202</v>
      </c>
      <c r="AB165">
        <v>822101</v>
      </c>
      <c r="AD165" t="s">
        <v>287</v>
      </c>
      <c r="AE165">
        <v>4725</v>
      </c>
      <c r="AF165" t="s">
        <v>405</v>
      </c>
      <c r="AG165" t="s">
        <v>232</v>
      </c>
      <c r="AH165" t="s">
        <v>250</v>
      </c>
      <c r="AI165">
        <v>677931.02069000003</v>
      </c>
      <c r="AJ165">
        <v>983000</v>
      </c>
      <c r="AK165">
        <v>45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2000</v>
      </c>
      <c r="AW165">
        <v>0</v>
      </c>
      <c r="AX165">
        <v>0</v>
      </c>
      <c r="AY165">
        <v>2000</v>
      </c>
      <c r="AZ165">
        <v>981000</v>
      </c>
      <c r="BA165">
        <v>45000</v>
      </c>
      <c r="BB165">
        <v>0</v>
      </c>
      <c r="BC165">
        <v>0</v>
      </c>
      <c r="BD165">
        <v>86811</v>
      </c>
      <c r="BE165" t="s">
        <v>208</v>
      </c>
      <c r="BF165">
        <v>0</v>
      </c>
      <c r="BG165">
        <v>0</v>
      </c>
      <c r="BH165" t="s">
        <v>209</v>
      </c>
      <c r="BI165">
        <v>32200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1145011</v>
      </c>
      <c r="BY165">
        <v>0</v>
      </c>
      <c r="BZ165">
        <v>0</v>
      </c>
      <c r="CA165">
        <v>0</v>
      </c>
      <c r="CB165">
        <v>50000</v>
      </c>
      <c r="CC165">
        <v>11000</v>
      </c>
      <c r="CD165">
        <v>0</v>
      </c>
      <c r="CE165">
        <v>50000</v>
      </c>
      <c r="CF165">
        <v>0</v>
      </c>
      <c r="CG165">
        <v>0</v>
      </c>
      <c r="CH165">
        <v>700000</v>
      </c>
      <c r="CJ165" t="s">
        <v>522</v>
      </c>
      <c r="CL165" t="s">
        <v>211</v>
      </c>
      <c r="CM165">
        <v>350000</v>
      </c>
      <c r="CN165">
        <v>0</v>
      </c>
      <c r="CO165">
        <v>0</v>
      </c>
      <c r="CP165">
        <v>350000</v>
      </c>
      <c r="CQ165" t="s">
        <v>1963</v>
      </c>
      <c r="CT165" t="s">
        <v>1450</v>
      </c>
      <c r="CU165">
        <v>45011</v>
      </c>
      <c r="CV165" t="s">
        <v>1893</v>
      </c>
      <c r="CW165" t="s">
        <v>1894</v>
      </c>
      <c r="CX165" t="s">
        <v>1786</v>
      </c>
      <c r="CY165" t="s">
        <v>1787</v>
      </c>
      <c r="CZ165" t="s">
        <v>217</v>
      </c>
      <c r="DB165" t="s">
        <v>1964</v>
      </c>
      <c r="DD165" t="s">
        <v>1965</v>
      </c>
      <c r="DF165" t="s">
        <v>220</v>
      </c>
      <c r="DG165">
        <v>451224</v>
      </c>
      <c r="DL165">
        <v>0</v>
      </c>
      <c r="DN165">
        <v>0</v>
      </c>
      <c r="DP165" t="s">
        <v>1966</v>
      </c>
      <c r="DQ165">
        <v>7461131</v>
      </c>
      <c r="DR165" t="s">
        <v>223</v>
      </c>
      <c r="DS165">
        <v>0</v>
      </c>
      <c r="DV165">
        <v>0</v>
      </c>
      <c r="DW165">
        <v>1</v>
      </c>
      <c r="DX165">
        <v>7000</v>
      </c>
      <c r="DY165">
        <v>1260</v>
      </c>
      <c r="DZ165">
        <v>8260</v>
      </c>
      <c r="EC165">
        <v>0</v>
      </c>
      <c r="EQ165" t="s">
        <v>1967</v>
      </c>
      <c r="ER165" s="1">
        <v>45456</v>
      </c>
      <c r="ES165">
        <v>8500</v>
      </c>
      <c r="ET165">
        <v>632556.03</v>
      </c>
      <c r="EU165">
        <v>0</v>
      </c>
      <c r="EV165">
        <v>252621</v>
      </c>
      <c r="EW165" t="s">
        <v>1968</v>
      </c>
      <c r="EX165">
        <v>0</v>
      </c>
      <c r="EY165" t="s">
        <v>226</v>
      </c>
      <c r="EZ165" t="s">
        <v>202</v>
      </c>
      <c r="FA165" t="s">
        <v>226</v>
      </c>
      <c r="FB165" t="s">
        <v>202</v>
      </c>
      <c r="FC165" t="s">
        <v>202</v>
      </c>
      <c r="FD165" t="s">
        <v>202</v>
      </c>
      <c r="FE165" t="s">
        <v>202</v>
      </c>
      <c r="FF165" t="s">
        <v>202</v>
      </c>
      <c r="FG165" t="s">
        <v>202</v>
      </c>
      <c r="FH165" t="s">
        <v>202</v>
      </c>
      <c r="FI165" t="s">
        <v>202</v>
      </c>
      <c r="FJ165" t="s">
        <v>202</v>
      </c>
      <c r="FK165" t="s">
        <v>202</v>
      </c>
      <c r="FL165" t="s">
        <v>202</v>
      </c>
      <c r="FM165" t="s">
        <v>202</v>
      </c>
      <c r="FN165" t="s">
        <v>202</v>
      </c>
      <c r="FO165">
        <v>44451</v>
      </c>
      <c r="FP165">
        <v>549</v>
      </c>
      <c r="FQ165">
        <v>0</v>
      </c>
      <c r="FR165">
        <v>4725</v>
      </c>
      <c r="FS165">
        <v>0</v>
      </c>
      <c r="FT165">
        <v>0</v>
      </c>
      <c r="FW165">
        <v>0</v>
      </c>
      <c r="FX165">
        <v>0</v>
      </c>
      <c r="FY165">
        <v>0</v>
      </c>
      <c r="GA165">
        <v>44461</v>
      </c>
    </row>
    <row r="166" spans="1:183" x14ac:dyDescent="0.3">
      <c r="A166">
        <v>11266</v>
      </c>
      <c r="B166">
        <v>220</v>
      </c>
      <c r="C166" t="s">
        <v>1888</v>
      </c>
      <c r="D166" t="s">
        <v>1888</v>
      </c>
      <c r="E166" t="s">
        <v>1595</v>
      </c>
      <c r="F166">
        <v>2457457811</v>
      </c>
      <c r="G166">
        <v>2457457811</v>
      </c>
      <c r="H166" t="s">
        <v>1969</v>
      </c>
      <c r="I166" t="s">
        <v>198</v>
      </c>
      <c r="J166" t="s">
        <v>199</v>
      </c>
      <c r="L166" t="s">
        <v>393</v>
      </c>
      <c r="O166">
        <v>9993056679</v>
      </c>
      <c r="P166" t="s">
        <v>1970</v>
      </c>
      <c r="Q166" s="1">
        <v>45471</v>
      </c>
      <c r="R166" s="1">
        <v>45471</v>
      </c>
      <c r="S166" s="1">
        <v>45470</v>
      </c>
      <c r="U166" t="s">
        <v>1970</v>
      </c>
      <c r="W166" t="s">
        <v>202</v>
      </c>
      <c r="AB166">
        <v>289742</v>
      </c>
      <c r="AD166" t="s">
        <v>274</v>
      </c>
      <c r="AE166">
        <v>4707</v>
      </c>
      <c r="AF166" t="s">
        <v>275</v>
      </c>
      <c r="AG166" t="s">
        <v>232</v>
      </c>
      <c r="AH166" t="s">
        <v>1261</v>
      </c>
      <c r="AI166">
        <v>392248.06201599998</v>
      </c>
      <c r="AJ166">
        <v>506000</v>
      </c>
      <c r="AK166">
        <v>29</v>
      </c>
      <c r="AL166">
        <v>20000</v>
      </c>
      <c r="AM166">
        <v>0</v>
      </c>
      <c r="AN166">
        <v>0</v>
      </c>
      <c r="AO166">
        <v>2500</v>
      </c>
      <c r="AP166">
        <v>15000</v>
      </c>
      <c r="AQ166">
        <v>20000</v>
      </c>
      <c r="AR166">
        <v>0</v>
      </c>
      <c r="AS166">
        <v>0</v>
      </c>
      <c r="AT166">
        <v>0</v>
      </c>
      <c r="AU166">
        <v>0</v>
      </c>
      <c r="AV166">
        <v>10000</v>
      </c>
      <c r="AW166">
        <v>0</v>
      </c>
      <c r="AX166">
        <v>0</v>
      </c>
      <c r="AY166">
        <v>67500</v>
      </c>
      <c r="AZ166">
        <v>438500</v>
      </c>
      <c r="BA166">
        <v>38000</v>
      </c>
      <c r="BB166">
        <v>0</v>
      </c>
      <c r="BC166">
        <v>0</v>
      </c>
      <c r="BD166">
        <v>48151</v>
      </c>
      <c r="BE166" t="s">
        <v>234</v>
      </c>
      <c r="BF166">
        <v>7883</v>
      </c>
      <c r="BG166">
        <v>2561</v>
      </c>
      <c r="BH166" t="s">
        <v>209</v>
      </c>
      <c r="BI166">
        <v>20000</v>
      </c>
      <c r="BJ166">
        <v>885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555980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486000</v>
      </c>
      <c r="CJ166" t="s">
        <v>210</v>
      </c>
      <c r="CL166" t="s">
        <v>211</v>
      </c>
      <c r="CM166">
        <v>410000</v>
      </c>
      <c r="CN166">
        <v>309000</v>
      </c>
      <c r="CO166">
        <v>0</v>
      </c>
      <c r="CP166">
        <v>101000</v>
      </c>
      <c r="CQ166" t="s">
        <v>1971</v>
      </c>
      <c r="CT166" t="s">
        <v>1450</v>
      </c>
      <c r="CU166">
        <v>-31020</v>
      </c>
      <c r="CV166" t="s">
        <v>1904</v>
      </c>
      <c r="CW166" t="s">
        <v>1905</v>
      </c>
      <c r="CX166" t="s">
        <v>1786</v>
      </c>
      <c r="CY166" t="s">
        <v>1787</v>
      </c>
      <c r="CZ166" t="s">
        <v>217</v>
      </c>
      <c r="DB166" t="s">
        <v>1972</v>
      </c>
      <c r="DD166" t="s">
        <v>1973</v>
      </c>
      <c r="DF166" t="s">
        <v>220</v>
      </c>
      <c r="DG166">
        <v>451551</v>
      </c>
      <c r="DL166">
        <v>0</v>
      </c>
      <c r="DN166">
        <v>0</v>
      </c>
      <c r="DP166" t="s">
        <v>1974</v>
      </c>
      <c r="DQ166">
        <v>1270902</v>
      </c>
      <c r="DR166" t="s">
        <v>223</v>
      </c>
      <c r="DS166">
        <v>7882.4</v>
      </c>
      <c r="DT166" s="1">
        <v>45471</v>
      </c>
      <c r="DU166" t="s">
        <v>1975</v>
      </c>
      <c r="DV166">
        <v>0</v>
      </c>
      <c r="DW166">
        <v>1.5</v>
      </c>
      <c r="DX166">
        <v>7290</v>
      </c>
      <c r="DY166">
        <v>1312.2</v>
      </c>
      <c r="DZ166">
        <v>8602.2000000000007</v>
      </c>
      <c r="EC166">
        <v>0</v>
      </c>
      <c r="EQ166" t="s">
        <v>1976</v>
      </c>
      <c r="ER166" s="1">
        <v>45430</v>
      </c>
      <c r="ES166">
        <v>4500</v>
      </c>
      <c r="ET166">
        <v>356119.94</v>
      </c>
      <c r="EU166">
        <v>10852.7</v>
      </c>
      <c r="EV166">
        <v>254022</v>
      </c>
      <c r="EW166" t="s">
        <v>1977</v>
      </c>
      <c r="EX166">
        <v>0</v>
      </c>
      <c r="EY166" t="s">
        <v>226</v>
      </c>
      <c r="EZ166" t="s">
        <v>226</v>
      </c>
      <c r="FA166" t="s">
        <v>226</v>
      </c>
      <c r="FB166" t="s">
        <v>202</v>
      </c>
      <c r="FC166" t="s">
        <v>202</v>
      </c>
      <c r="FD166" t="s">
        <v>202</v>
      </c>
      <c r="FE166" t="s">
        <v>202</v>
      </c>
      <c r="FF166" t="s">
        <v>202</v>
      </c>
      <c r="FG166" t="s">
        <v>202</v>
      </c>
      <c r="FH166" t="s">
        <v>202</v>
      </c>
      <c r="FI166" t="s">
        <v>202</v>
      </c>
      <c r="FJ166" t="s">
        <v>202</v>
      </c>
      <c r="FK166" t="s">
        <v>202</v>
      </c>
      <c r="FL166" t="s">
        <v>202</v>
      </c>
      <c r="FM166" t="s">
        <v>202</v>
      </c>
      <c r="FN166" t="s">
        <v>202</v>
      </c>
      <c r="FO166">
        <v>36374</v>
      </c>
      <c r="FP166">
        <v>1626</v>
      </c>
      <c r="FQ166">
        <v>0</v>
      </c>
      <c r="FR166">
        <v>4707</v>
      </c>
      <c r="FS166">
        <v>0</v>
      </c>
      <c r="FT166">
        <v>0</v>
      </c>
      <c r="FW166">
        <v>0</v>
      </c>
      <c r="FX166">
        <v>0</v>
      </c>
      <c r="FY166">
        <v>0</v>
      </c>
      <c r="GA166">
        <v>854119</v>
      </c>
    </row>
    <row r="167" spans="1:183" x14ac:dyDescent="0.3">
      <c r="A167">
        <v>11277</v>
      </c>
      <c r="B167">
        <v>221</v>
      </c>
      <c r="C167" t="s">
        <v>1888</v>
      </c>
      <c r="D167" t="s">
        <v>1888</v>
      </c>
      <c r="E167" t="s">
        <v>1978</v>
      </c>
      <c r="F167">
        <v>2457370817</v>
      </c>
      <c r="G167">
        <v>2457370817</v>
      </c>
      <c r="H167" t="s">
        <v>1979</v>
      </c>
      <c r="I167" t="s">
        <v>198</v>
      </c>
      <c r="J167" t="s">
        <v>199</v>
      </c>
      <c r="L167" t="s">
        <v>1980</v>
      </c>
      <c r="O167">
        <v>9993569121</v>
      </c>
      <c r="P167" t="s">
        <v>1981</v>
      </c>
      <c r="Q167" s="1">
        <v>45471</v>
      </c>
      <c r="R167" s="1">
        <v>45471</v>
      </c>
      <c r="S167" s="1">
        <v>45471</v>
      </c>
      <c r="U167" t="s">
        <v>1981</v>
      </c>
      <c r="W167" t="s">
        <v>202</v>
      </c>
      <c r="AB167" t="s">
        <v>1982</v>
      </c>
      <c r="AD167" t="s">
        <v>310</v>
      </c>
      <c r="AE167">
        <v>4765</v>
      </c>
      <c r="AF167" t="s">
        <v>367</v>
      </c>
      <c r="AG167" t="s">
        <v>232</v>
      </c>
      <c r="AH167" t="s">
        <v>466</v>
      </c>
      <c r="AI167">
        <v>440309.992248</v>
      </c>
      <c r="AJ167">
        <v>568000</v>
      </c>
      <c r="AK167">
        <v>29</v>
      </c>
      <c r="AL167">
        <v>10000</v>
      </c>
      <c r="AM167">
        <v>0</v>
      </c>
      <c r="AN167">
        <v>0</v>
      </c>
      <c r="AO167">
        <v>0</v>
      </c>
      <c r="AP167">
        <v>0</v>
      </c>
      <c r="AQ167">
        <v>15000</v>
      </c>
      <c r="AR167">
        <v>0</v>
      </c>
      <c r="AS167">
        <v>0</v>
      </c>
      <c r="AT167">
        <v>0</v>
      </c>
      <c r="AU167">
        <v>0</v>
      </c>
      <c r="AV167">
        <v>13911</v>
      </c>
      <c r="AW167">
        <v>0</v>
      </c>
      <c r="AX167">
        <v>0</v>
      </c>
      <c r="AY167">
        <v>38911</v>
      </c>
      <c r="AZ167">
        <v>529089</v>
      </c>
      <c r="BA167">
        <v>2000</v>
      </c>
      <c r="BB167">
        <v>0</v>
      </c>
      <c r="BC167">
        <v>0</v>
      </c>
      <c r="BD167">
        <v>53911</v>
      </c>
      <c r="BE167" t="s">
        <v>208</v>
      </c>
      <c r="BF167">
        <v>0</v>
      </c>
      <c r="BG167">
        <v>0</v>
      </c>
      <c r="BH167" t="s">
        <v>209</v>
      </c>
      <c r="BI167">
        <v>25000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610000</v>
      </c>
      <c r="BY167">
        <v>0</v>
      </c>
      <c r="BZ167">
        <v>199000</v>
      </c>
      <c r="CA167">
        <v>0</v>
      </c>
      <c r="CB167">
        <v>106100</v>
      </c>
      <c r="CC167">
        <v>5100</v>
      </c>
      <c r="CD167">
        <v>0</v>
      </c>
      <c r="CE167">
        <v>305100</v>
      </c>
      <c r="CF167">
        <v>0</v>
      </c>
      <c r="CG167">
        <v>0</v>
      </c>
      <c r="CH167">
        <v>300000</v>
      </c>
      <c r="CJ167" t="s">
        <v>276</v>
      </c>
      <c r="CL167" t="s">
        <v>211</v>
      </c>
      <c r="CM167">
        <v>0</v>
      </c>
      <c r="CN167">
        <v>0</v>
      </c>
      <c r="CO167">
        <v>0</v>
      </c>
      <c r="CP167">
        <v>0</v>
      </c>
      <c r="CU167">
        <v>4900</v>
      </c>
      <c r="CV167" t="s">
        <v>1904</v>
      </c>
      <c r="CW167" t="s">
        <v>1905</v>
      </c>
      <c r="CX167" t="s">
        <v>1786</v>
      </c>
      <c r="CY167" t="s">
        <v>1787</v>
      </c>
      <c r="CZ167" t="s">
        <v>217</v>
      </c>
      <c r="DB167" t="s">
        <v>1983</v>
      </c>
      <c r="DD167" t="s">
        <v>1984</v>
      </c>
      <c r="DF167" t="s">
        <v>220</v>
      </c>
      <c r="DG167">
        <v>454331</v>
      </c>
      <c r="DL167">
        <v>0</v>
      </c>
      <c r="DN167">
        <v>0</v>
      </c>
      <c r="DP167" t="s">
        <v>1985</v>
      </c>
      <c r="DQ167">
        <v>4252739</v>
      </c>
      <c r="DR167" t="s">
        <v>223</v>
      </c>
      <c r="DS167">
        <v>0</v>
      </c>
      <c r="DV167">
        <v>0</v>
      </c>
      <c r="DW167">
        <v>1</v>
      </c>
      <c r="DX167">
        <v>3000</v>
      </c>
      <c r="DY167">
        <v>540</v>
      </c>
      <c r="DZ167">
        <v>3540</v>
      </c>
      <c r="EC167">
        <v>0</v>
      </c>
      <c r="EQ167" t="s">
        <v>1986</v>
      </c>
      <c r="ER167" s="1">
        <v>45418</v>
      </c>
      <c r="ES167">
        <v>3000</v>
      </c>
      <c r="ET167">
        <v>410408.86</v>
      </c>
      <c r="EU167">
        <v>5426.4</v>
      </c>
      <c r="EV167">
        <v>252960</v>
      </c>
      <c r="EW167" t="s">
        <v>1987</v>
      </c>
      <c r="EX167">
        <v>0</v>
      </c>
      <c r="EY167" t="s">
        <v>226</v>
      </c>
      <c r="EZ167" t="s">
        <v>202</v>
      </c>
      <c r="FA167" t="s">
        <v>226</v>
      </c>
      <c r="FB167" t="s">
        <v>202</v>
      </c>
      <c r="FC167" t="s">
        <v>202</v>
      </c>
      <c r="FD167" t="s">
        <v>202</v>
      </c>
      <c r="FE167" t="s">
        <v>202</v>
      </c>
      <c r="FF167" t="s">
        <v>202</v>
      </c>
      <c r="FG167" t="s">
        <v>202</v>
      </c>
      <c r="FH167" t="s">
        <v>202</v>
      </c>
      <c r="FI167" t="s">
        <v>202</v>
      </c>
      <c r="FJ167" t="s">
        <v>202</v>
      </c>
      <c r="FK167" t="s">
        <v>202</v>
      </c>
      <c r="FL167" t="s">
        <v>202</v>
      </c>
      <c r="FM167" t="s">
        <v>202</v>
      </c>
      <c r="FN167" t="s">
        <v>202</v>
      </c>
      <c r="FO167">
        <v>2000</v>
      </c>
      <c r="FP167">
        <v>0</v>
      </c>
      <c r="FQ167">
        <v>0</v>
      </c>
      <c r="FR167">
        <v>4765</v>
      </c>
      <c r="FS167">
        <v>0</v>
      </c>
      <c r="FT167">
        <v>0</v>
      </c>
      <c r="FW167">
        <v>0</v>
      </c>
      <c r="FX167">
        <v>0</v>
      </c>
      <c r="FY167">
        <v>0</v>
      </c>
      <c r="GA167">
        <v>4900</v>
      </c>
    </row>
    <row r="168" spans="1:183" x14ac:dyDescent="0.3">
      <c r="A168">
        <v>11283</v>
      </c>
      <c r="B168">
        <v>222</v>
      </c>
      <c r="C168" t="s">
        <v>1888</v>
      </c>
      <c r="D168" t="s">
        <v>1888</v>
      </c>
      <c r="E168" t="s">
        <v>1988</v>
      </c>
      <c r="F168">
        <v>2457469609</v>
      </c>
      <c r="G168">
        <v>2457469609</v>
      </c>
      <c r="H168" t="s">
        <v>1989</v>
      </c>
      <c r="I168" t="s">
        <v>198</v>
      </c>
      <c r="J168" t="s">
        <v>199</v>
      </c>
      <c r="L168" t="s">
        <v>1844</v>
      </c>
      <c r="O168">
        <v>9669988713</v>
      </c>
      <c r="P168" t="s">
        <v>1990</v>
      </c>
      <c r="Q168" s="1">
        <v>45472</v>
      </c>
      <c r="R168" s="1">
        <v>45472</v>
      </c>
      <c r="S168" s="1">
        <v>45472</v>
      </c>
      <c r="U168" t="s">
        <v>1990</v>
      </c>
      <c r="W168" t="s">
        <v>202</v>
      </c>
      <c r="AB168" t="s">
        <v>1991</v>
      </c>
      <c r="AD168" t="s">
        <v>310</v>
      </c>
      <c r="AE168">
        <v>4763</v>
      </c>
      <c r="AF168" t="s">
        <v>355</v>
      </c>
      <c r="AG168" t="s">
        <v>232</v>
      </c>
      <c r="AH168" t="s">
        <v>207</v>
      </c>
      <c r="AI168">
        <v>434883.62790700002</v>
      </c>
      <c r="AJ168">
        <v>561000</v>
      </c>
      <c r="AK168">
        <v>29</v>
      </c>
      <c r="AL168">
        <v>10000</v>
      </c>
      <c r="AM168">
        <v>0</v>
      </c>
      <c r="AN168">
        <v>0</v>
      </c>
      <c r="AO168">
        <v>0</v>
      </c>
      <c r="AP168">
        <v>0</v>
      </c>
      <c r="AQ168">
        <v>15000</v>
      </c>
      <c r="AR168">
        <v>0</v>
      </c>
      <c r="AS168">
        <v>0</v>
      </c>
      <c r="AT168">
        <v>0</v>
      </c>
      <c r="AU168">
        <v>0</v>
      </c>
      <c r="AV168">
        <v>19351</v>
      </c>
      <c r="AW168">
        <v>0</v>
      </c>
      <c r="AX168">
        <v>0</v>
      </c>
      <c r="AY168">
        <v>44351</v>
      </c>
      <c r="AZ168">
        <v>516649</v>
      </c>
      <c r="BA168">
        <v>30000</v>
      </c>
      <c r="BB168">
        <v>0</v>
      </c>
      <c r="BC168">
        <v>0</v>
      </c>
      <c r="BD168">
        <v>53351</v>
      </c>
      <c r="BE168" t="s">
        <v>208</v>
      </c>
      <c r="BF168">
        <v>0</v>
      </c>
      <c r="BG168">
        <v>0</v>
      </c>
      <c r="BH168" t="s">
        <v>209</v>
      </c>
      <c r="BI168">
        <v>25000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625000</v>
      </c>
      <c r="BY168">
        <v>0</v>
      </c>
      <c r="BZ168">
        <v>0</v>
      </c>
      <c r="CA168">
        <v>0</v>
      </c>
      <c r="CB168">
        <v>625000</v>
      </c>
      <c r="CC168">
        <v>0</v>
      </c>
      <c r="CD168">
        <v>0</v>
      </c>
      <c r="CE168">
        <v>625000</v>
      </c>
      <c r="CF168">
        <v>0</v>
      </c>
      <c r="CG168">
        <v>0</v>
      </c>
      <c r="CH168">
        <v>450000</v>
      </c>
      <c r="CJ168" t="s">
        <v>406</v>
      </c>
      <c r="CL168" t="s">
        <v>236</v>
      </c>
      <c r="CM168">
        <v>0</v>
      </c>
      <c r="CN168">
        <v>0</v>
      </c>
      <c r="CO168">
        <v>0</v>
      </c>
      <c r="CP168">
        <v>0</v>
      </c>
      <c r="CU168">
        <v>-450000</v>
      </c>
      <c r="CV168" t="s">
        <v>1893</v>
      </c>
      <c r="CW168" t="s">
        <v>1894</v>
      </c>
      <c r="CX168" t="s">
        <v>1786</v>
      </c>
      <c r="CY168" t="s">
        <v>1787</v>
      </c>
      <c r="CZ168" t="s">
        <v>217</v>
      </c>
      <c r="DB168" t="s">
        <v>1992</v>
      </c>
      <c r="DD168" t="s">
        <v>1993</v>
      </c>
      <c r="DF168" t="s">
        <v>220</v>
      </c>
      <c r="DG168">
        <v>451224</v>
      </c>
      <c r="DL168">
        <v>0</v>
      </c>
      <c r="DN168">
        <v>0</v>
      </c>
      <c r="DP168" t="s">
        <v>1994</v>
      </c>
      <c r="DQ168">
        <v>4271266</v>
      </c>
      <c r="DR168" t="s">
        <v>223</v>
      </c>
      <c r="DS168">
        <v>0</v>
      </c>
      <c r="DV168">
        <v>0</v>
      </c>
      <c r="DW168">
        <v>1.27</v>
      </c>
      <c r="DX168">
        <v>5715</v>
      </c>
      <c r="DY168">
        <v>1028.7</v>
      </c>
      <c r="DZ168">
        <v>6743.7</v>
      </c>
      <c r="EC168">
        <v>0</v>
      </c>
      <c r="EQ168" t="s">
        <v>1995</v>
      </c>
      <c r="ER168" s="1">
        <v>45463</v>
      </c>
      <c r="ES168">
        <v>3000</v>
      </c>
      <c r="ET168">
        <v>404981.86</v>
      </c>
      <c r="EU168">
        <v>5426.4</v>
      </c>
      <c r="EV168">
        <v>254135</v>
      </c>
      <c r="EW168" t="s">
        <v>1996</v>
      </c>
      <c r="EX168">
        <v>0</v>
      </c>
      <c r="EY168" t="s">
        <v>226</v>
      </c>
      <c r="EZ168" t="s">
        <v>202</v>
      </c>
      <c r="FA168" t="s">
        <v>226</v>
      </c>
      <c r="FB168" t="s">
        <v>202</v>
      </c>
      <c r="FC168" t="s">
        <v>202</v>
      </c>
      <c r="FD168" t="s">
        <v>202</v>
      </c>
      <c r="FE168" t="s">
        <v>202</v>
      </c>
      <c r="FF168" t="s">
        <v>202</v>
      </c>
      <c r="FG168" t="s">
        <v>202</v>
      </c>
      <c r="FH168" t="s">
        <v>202</v>
      </c>
      <c r="FI168" t="s">
        <v>202</v>
      </c>
      <c r="FJ168" t="s">
        <v>202</v>
      </c>
      <c r="FK168" t="s">
        <v>202</v>
      </c>
      <c r="FL168" t="s">
        <v>202</v>
      </c>
      <c r="FM168" t="s">
        <v>202</v>
      </c>
      <c r="FN168" t="s">
        <v>202</v>
      </c>
      <c r="FO168">
        <v>30000</v>
      </c>
      <c r="FP168">
        <v>0</v>
      </c>
      <c r="FQ168">
        <v>0</v>
      </c>
      <c r="FR168">
        <v>4763</v>
      </c>
      <c r="FS168">
        <v>0</v>
      </c>
      <c r="FT168">
        <v>0</v>
      </c>
      <c r="FW168">
        <v>0</v>
      </c>
      <c r="FX168">
        <v>0</v>
      </c>
      <c r="FY168">
        <v>0</v>
      </c>
      <c r="GA168">
        <v>625000</v>
      </c>
    </row>
    <row r="169" spans="1:183" x14ac:dyDescent="0.3">
      <c r="A169">
        <v>11070</v>
      </c>
      <c r="B169">
        <v>223</v>
      </c>
      <c r="C169" t="s">
        <v>1997</v>
      </c>
      <c r="D169" t="s">
        <v>1997</v>
      </c>
      <c r="E169" t="s">
        <v>1998</v>
      </c>
      <c r="F169">
        <v>2457068956</v>
      </c>
      <c r="G169">
        <v>2457068956</v>
      </c>
      <c r="H169" t="s">
        <v>1999</v>
      </c>
      <c r="I169" t="s">
        <v>198</v>
      </c>
      <c r="J169" t="s">
        <v>199</v>
      </c>
      <c r="L169" t="s">
        <v>1744</v>
      </c>
      <c r="O169">
        <v>9009584900</v>
      </c>
      <c r="P169" t="s">
        <v>2000</v>
      </c>
      <c r="Q169" s="1">
        <v>45443</v>
      </c>
      <c r="R169" s="1">
        <v>45443</v>
      </c>
      <c r="S169" s="1">
        <v>45446</v>
      </c>
      <c r="U169" t="s">
        <v>2000</v>
      </c>
      <c r="W169" t="s">
        <v>202</v>
      </c>
      <c r="AB169">
        <v>101927</v>
      </c>
      <c r="AD169" t="s">
        <v>230</v>
      </c>
      <c r="AE169">
        <v>4811</v>
      </c>
      <c r="AF169" t="s">
        <v>231</v>
      </c>
      <c r="AG169" t="s">
        <v>232</v>
      </c>
      <c r="AH169" t="s">
        <v>250</v>
      </c>
      <c r="AI169">
        <v>586234</v>
      </c>
      <c r="AJ169">
        <v>756242</v>
      </c>
      <c r="AK169">
        <v>29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8874</v>
      </c>
      <c r="AW169">
        <v>0</v>
      </c>
      <c r="AX169">
        <v>0</v>
      </c>
      <c r="AY169">
        <v>8874</v>
      </c>
      <c r="AZ169">
        <v>747368</v>
      </c>
      <c r="BA169">
        <v>31600</v>
      </c>
      <c r="BB169">
        <v>0</v>
      </c>
      <c r="BC169">
        <v>0</v>
      </c>
      <c r="BD169">
        <v>68170</v>
      </c>
      <c r="BE169" t="s">
        <v>234</v>
      </c>
      <c r="BF169">
        <v>12862</v>
      </c>
      <c r="BG169">
        <v>0</v>
      </c>
      <c r="BH169" t="s">
        <v>209</v>
      </c>
      <c r="BI169">
        <v>30000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890000</v>
      </c>
      <c r="BY169">
        <v>0</v>
      </c>
      <c r="BZ169">
        <v>11000</v>
      </c>
      <c r="CA169">
        <v>0</v>
      </c>
      <c r="CB169">
        <v>896500</v>
      </c>
      <c r="CC169">
        <v>0</v>
      </c>
      <c r="CD169">
        <v>0</v>
      </c>
      <c r="CE169">
        <v>907500</v>
      </c>
      <c r="CF169">
        <v>0</v>
      </c>
      <c r="CG169">
        <v>0</v>
      </c>
      <c r="CH169">
        <v>770508</v>
      </c>
      <c r="CI169">
        <v>770508</v>
      </c>
      <c r="CJ169" t="s">
        <v>1219</v>
      </c>
      <c r="CL169" t="s">
        <v>211</v>
      </c>
      <c r="CM169">
        <v>0</v>
      </c>
      <c r="CN169">
        <v>0</v>
      </c>
      <c r="CO169">
        <v>0</v>
      </c>
      <c r="CP169">
        <v>0</v>
      </c>
      <c r="CU169">
        <v>-17500</v>
      </c>
      <c r="CV169" t="s">
        <v>1855</v>
      </c>
      <c r="CW169" t="s">
        <v>1856</v>
      </c>
      <c r="CX169" t="s">
        <v>1857</v>
      </c>
      <c r="CY169" t="s">
        <v>1858</v>
      </c>
      <c r="CZ169" t="s">
        <v>217</v>
      </c>
      <c r="DB169" t="s">
        <v>2001</v>
      </c>
      <c r="DD169" t="s">
        <v>2002</v>
      </c>
      <c r="DF169" t="s">
        <v>220</v>
      </c>
      <c r="DG169">
        <v>451666</v>
      </c>
      <c r="DL169">
        <v>0</v>
      </c>
      <c r="DN169">
        <v>0</v>
      </c>
      <c r="DP169" t="s">
        <v>2003</v>
      </c>
      <c r="DQ169">
        <v>1001920</v>
      </c>
      <c r="DR169" t="s">
        <v>223</v>
      </c>
      <c r="DS169">
        <v>12862</v>
      </c>
      <c r="DT169" s="1">
        <v>45447</v>
      </c>
      <c r="DU169" t="s">
        <v>2004</v>
      </c>
      <c r="DV169">
        <v>0</v>
      </c>
      <c r="DW169">
        <v>1</v>
      </c>
      <c r="DX169">
        <v>7705.08</v>
      </c>
      <c r="DY169">
        <v>1386.91</v>
      </c>
      <c r="DZ169">
        <v>9091.99</v>
      </c>
      <c r="EC169">
        <v>0</v>
      </c>
      <c r="EQ169" t="s">
        <v>2005</v>
      </c>
      <c r="ER169" s="1">
        <v>45412</v>
      </c>
      <c r="ES169">
        <v>6000</v>
      </c>
      <c r="ET169">
        <v>565963</v>
      </c>
      <c r="EU169">
        <v>0</v>
      </c>
      <c r="EV169">
        <v>249595</v>
      </c>
      <c r="EW169" t="s">
        <v>2006</v>
      </c>
      <c r="EX169">
        <v>0</v>
      </c>
      <c r="EY169" t="s">
        <v>226</v>
      </c>
      <c r="EZ169" t="s">
        <v>226</v>
      </c>
      <c r="FA169" t="s">
        <v>226</v>
      </c>
      <c r="FB169" t="s">
        <v>202</v>
      </c>
      <c r="FC169" t="s">
        <v>202</v>
      </c>
      <c r="FD169" t="s">
        <v>202</v>
      </c>
      <c r="FE169" t="s">
        <v>202</v>
      </c>
      <c r="FF169" t="s">
        <v>202</v>
      </c>
      <c r="FG169" t="s">
        <v>202</v>
      </c>
      <c r="FH169" t="s">
        <v>202</v>
      </c>
      <c r="FI169" t="s">
        <v>202</v>
      </c>
      <c r="FJ169" t="s">
        <v>202</v>
      </c>
      <c r="FK169" t="s">
        <v>202</v>
      </c>
      <c r="FL169" t="s">
        <v>202</v>
      </c>
      <c r="FM169" t="s">
        <v>202</v>
      </c>
      <c r="FN169" t="s">
        <v>202</v>
      </c>
      <c r="FO169">
        <v>32069</v>
      </c>
      <c r="FP169">
        <v>-469</v>
      </c>
      <c r="FQ169">
        <v>59.41</v>
      </c>
      <c r="FR169">
        <v>4811</v>
      </c>
      <c r="FS169">
        <v>0</v>
      </c>
      <c r="FT169">
        <v>0</v>
      </c>
      <c r="FW169">
        <v>0</v>
      </c>
      <c r="FX169">
        <v>0</v>
      </c>
      <c r="FY169">
        <v>0</v>
      </c>
      <c r="GA169">
        <v>0</v>
      </c>
    </row>
    <row r="170" spans="1:183" x14ac:dyDescent="0.3">
      <c r="A170">
        <v>11087</v>
      </c>
      <c r="B170">
        <v>224</v>
      </c>
      <c r="C170" t="s">
        <v>1997</v>
      </c>
      <c r="D170" t="s">
        <v>1997</v>
      </c>
      <c r="E170" t="s">
        <v>2007</v>
      </c>
      <c r="F170">
        <v>2456529557</v>
      </c>
      <c r="G170">
        <v>2456529557</v>
      </c>
      <c r="H170" t="s">
        <v>2008</v>
      </c>
      <c r="I170" t="s">
        <v>198</v>
      </c>
      <c r="J170" t="s">
        <v>199</v>
      </c>
      <c r="L170" t="s">
        <v>1744</v>
      </c>
      <c r="O170">
        <v>9981972111</v>
      </c>
      <c r="P170" t="s">
        <v>2009</v>
      </c>
      <c r="Q170" s="1">
        <v>45450</v>
      </c>
      <c r="R170" s="1">
        <v>45450</v>
      </c>
      <c r="S170" s="1">
        <v>45450</v>
      </c>
      <c r="U170" t="s">
        <v>2009</v>
      </c>
      <c r="W170" t="s">
        <v>202</v>
      </c>
      <c r="AB170" t="s">
        <v>2010</v>
      </c>
      <c r="AD170" t="s">
        <v>204</v>
      </c>
      <c r="AE170">
        <v>4688</v>
      </c>
      <c r="AF170" t="s">
        <v>664</v>
      </c>
      <c r="AG170" t="s">
        <v>232</v>
      </c>
      <c r="AH170" t="s">
        <v>1065</v>
      </c>
      <c r="AI170">
        <v>523643.41085300001</v>
      </c>
      <c r="AJ170">
        <v>675500</v>
      </c>
      <c r="AK170">
        <v>29</v>
      </c>
      <c r="AL170">
        <v>10000</v>
      </c>
      <c r="AM170">
        <v>0</v>
      </c>
      <c r="AN170">
        <v>0</v>
      </c>
      <c r="AO170">
        <v>0</v>
      </c>
      <c r="AP170">
        <v>20000</v>
      </c>
      <c r="AQ170">
        <v>25000</v>
      </c>
      <c r="AR170">
        <v>0</v>
      </c>
      <c r="AS170">
        <v>0</v>
      </c>
      <c r="AT170">
        <v>0</v>
      </c>
      <c r="AU170">
        <v>0</v>
      </c>
      <c r="AV170">
        <v>22621</v>
      </c>
      <c r="AW170">
        <v>0</v>
      </c>
      <c r="AX170">
        <v>0</v>
      </c>
      <c r="AY170">
        <v>77621</v>
      </c>
      <c r="AZ170">
        <v>597879</v>
      </c>
      <c r="BA170">
        <v>42000</v>
      </c>
      <c r="BB170">
        <v>0</v>
      </c>
      <c r="BC170">
        <v>0</v>
      </c>
      <c r="BD170">
        <v>62621</v>
      </c>
      <c r="BE170" t="s">
        <v>208</v>
      </c>
      <c r="BF170">
        <v>0</v>
      </c>
      <c r="BG170">
        <v>0</v>
      </c>
      <c r="BH170" t="s">
        <v>209</v>
      </c>
      <c r="BI170">
        <v>27500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730000</v>
      </c>
      <c r="BY170">
        <v>0</v>
      </c>
      <c r="BZ170">
        <v>64251</v>
      </c>
      <c r="CA170">
        <v>0</v>
      </c>
      <c r="CB170">
        <v>0</v>
      </c>
      <c r="CC170">
        <v>0</v>
      </c>
      <c r="CD170">
        <v>0</v>
      </c>
      <c r="CE170">
        <v>64251</v>
      </c>
      <c r="CF170">
        <v>0</v>
      </c>
      <c r="CG170">
        <v>0</v>
      </c>
      <c r="CH170">
        <v>601558</v>
      </c>
      <c r="CJ170" t="s">
        <v>299</v>
      </c>
      <c r="CL170" t="s">
        <v>211</v>
      </c>
      <c r="CM170">
        <v>64190</v>
      </c>
      <c r="CN170">
        <v>0</v>
      </c>
      <c r="CO170">
        <v>0</v>
      </c>
      <c r="CP170">
        <v>64190</v>
      </c>
      <c r="CQ170" t="s">
        <v>2011</v>
      </c>
      <c r="CT170" t="s">
        <v>1878</v>
      </c>
      <c r="CU170">
        <v>1</v>
      </c>
      <c r="CV170" t="s">
        <v>1855</v>
      </c>
      <c r="CW170" t="s">
        <v>1856</v>
      </c>
      <c r="CX170" t="s">
        <v>1857</v>
      </c>
      <c r="CY170" t="s">
        <v>1858</v>
      </c>
      <c r="CZ170" t="s">
        <v>217</v>
      </c>
      <c r="DB170" t="s">
        <v>2012</v>
      </c>
      <c r="DD170" t="s">
        <v>2013</v>
      </c>
      <c r="DF170" t="s">
        <v>220</v>
      </c>
      <c r="DG170">
        <v>451666</v>
      </c>
      <c r="DL170">
        <v>0</v>
      </c>
      <c r="DN170">
        <v>0</v>
      </c>
      <c r="DP170" t="s">
        <v>2014</v>
      </c>
      <c r="DQ170">
        <v>1062060</v>
      </c>
      <c r="DR170" t="s">
        <v>223</v>
      </c>
      <c r="DS170">
        <v>0</v>
      </c>
      <c r="DV170">
        <v>0</v>
      </c>
      <c r="DW170">
        <v>1.5</v>
      </c>
      <c r="DX170">
        <v>9023.3700000000008</v>
      </c>
      <c r="DY170">
        <v>1624.21</v>
      </c>
      <c r="DZ170">
        <v>10647.58</v>
      </c>
      <c r="EC170">
        <v>0</v>
      </c>
      <c r="EQ170" t="s">
        <v>2015</v>
      </c>
      <c r="ER170" s="1">
        <v>45358</v>
      </c>
      <c r="ES170">
        <v>4000</v>
      </c>
      <c r="ET170">
        <v>487892.05</v>
      </c>
      <c r="EU170">
        <v>5426.36</v>
      </c>
      <c r="EV170">
        <v>243420</v>
      </c>
      <c r="EW170" t="s">
        <v>2016</v>
      </c>
      <c r="EX170">
        <v>0</v>
      </c>
      <c r="EY170" t="s">
        <v>226</v>
      </c>
      <c r="EZ170" t="s">
        <v>202</v>
      </c>
      <c r="FA170" t="s">
        <v>226</v>
      </c>
      <c r="FB170" t="s">
        <v>202</v>
      </c>
      <c r="FC170" t="s">
        <v>202</v>
      </c>
      <c r="FD170" t="s">
        <v>202</v>
      </c>
      <c r="FE170" t="s">
        <v>202</v>
      </c>
      <c r="FF170" t="s">
        <v>202</v>
      </c>
      <c r="FG170" t="s">
        <v>202</v>
      </c>
      <c r="FH170" t="s">
        <v>202</v>
      </c>
      <c r="FI170" t="s">
        <v>202</v>
      </c>
      <c r="FJ170" t="s">
        <v>202</v>
      </c>
      <c r="FK170" t="s">
        <v>202</v>
      </c>
      <c r="FL170" t="s">
        <v>202</v>
      </c>
      <c r="FM170" t="s">
        <v>202</v>
      </c>
      <c r="FN170" t="s">
        <v>202</v>
      </c>
      <c r="FO170">
        <v>42000</v>
      </c>
      <c r="FP170">
        <v>0</v>
      </c>
      <c r="FQ170">
        <v>3.66</v>
      </c>
      <c r="FR170">
        <v>4688</v>
      </c>
      <c r="FS170">
        <v>0</v>
      </c>
      <c r="FT170">
        <v>0</v>
      </c>
      <c r="FW170">
        <v>0</v>
      </c>
      <c r="FX170">
        <v>0</v>
      </c>
      <c r="FY170">
        <v>0</v>
      </c>
      <c r="GA170">
        <v>0</v>
      </c>
    </row>
    <row r="171" spans="1:183" x14ac:dyDescent="0.3">
      <c r="A171">
        <v>11088</v>
      </c>
      <c r="B171">
        <v>225</v>
      </c>
      <c r="C171" t="s">
        <v>1997</v>
      </c>
      <c r="D171" t="s">
        <v>1997</v>
      </c>
      <c r="E171" t="s">
        <v>2017</v>
      </c>
      <c r="F171">
        <v>2457156415</v>
      </c>
      <c r="G171">
        <v>2457156415</v>
      </c>
      <c r="H171" t="s">
        <v>2018</v>
      </c>
      <c r="I171" t="s">
        <v>198</v>
      </c>
      <c r="J171" t="s">
        <v>199</v>
      </c>
      <c r="L171" t="s">
        <v>1744</v>
      </c>
      <c r="O171">
        <v>9977315243</v>
      </c>
      <c r="P171" t="s">
        <v>2019</v>
      </c>
      <c r="Q171" s="1">
        <v>45450</v>
      </c>
      <c r="R171" s="1">
        <v>45450</v>
      </c>
      <c r="S171" s="1">
        <v>45449</v>
      </c>
      <c r="U171" t="s">
        <v>2019</v>
      </c>
      <c r="W171" t="s">
        <v>202</v>
      </c>
      <c r="AB171" t="s">
        <v>2020</v>
      </c>
      <c r="AD171" t="s">
        <v>310</v>
      </c>
      <c r="AE171">
        <v>4763</v>
      </c>
      <c r="AF171" t="s">
        <v>355</v>
      </c>
      <c r="AG171" t="s">
        <v>232</v>
      </c>
      <c r="AH171" t="s">
        <v>207</v>
      </c>
      <c r="AI171">
        <v>434883.62790700002</v>
      </c>
      <c r="AJ171">
        <v>561000</v>
      </c>
      <c r="AK171">
        <v>29</v>
      </c>
      <c r="AL171">
        <v>10000</v>
      </c>
      <c r="AM171">
        <v>0</v>
      </c>
      <c r="AN171">
        <v>0</v>
      </c>
      <c r="AO171">
        <v>0</v>
      </c>
      <c r="AP171">
        <v>0</v>
      </c>
      <c r="AQ171">
        <v>15000</v>
      </c>
      <c r="AR171">
        <v>0</v>
      </c>
      <c r="AS171">
        <v>0</v>
      </c>
      <c r="AT171">
        <v>0</v>
      </c>
      <c r="AU171">
        <v>0</v>
      </c>
      <c r="AV171">
        <v>1351</v>
      </c>
      <c r="AW171">
        <v>0</v>
      </c>
      <c r="AX171">
        <v>0</v>
      </c>
      <c r="AY171">
        <v>26351</v>
      </c>
      <c r="AZ171">
        <v>534649</v>
      </c>
      <c r="BA171">
        <v>30000</v>
      </c>
      <c r="BB171">
        <v>0</v>
      </c>
      <c r="BC171">
        <v>0</v>
      </c>
      <c r="BD171">
        <v>53351</v>
      </c>
      <c r="BE171" t="s">
        <v>208</v>
      </c>
      <c r="BF171">
        <v>0</v>
      </c>
      <c r="BG171">
        <v>0</v>
      </c>
      <c r="BH171" t="s">
        <v>209</v>
      </c>
      <c r="BI171">
        <v>26002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644002</v>
      </c>
      <c r="BY171">
        <v>0</v>
      </c>
      <c r="BZ171">
        <v>0</v>
      </c>
      <c r="CA171">
        <v>0</v>
      </c>
      <c r="CB171">
        <v>644000</v>
      </c>
      <c r="CC171">
        <v>0</v>
      </c>
      <c r="CD171">
        <v>0</v>
      </c>
      <c r="CE171">
        <v>644000</v>
      </c>
      <c r="CF171">
        <v>0</v>
      </c>
      <c r="CG171">
        <v>0</v>
      </c>
      <c r="CH171">
        <v>0</v>
      </c>
      <c r="CJ171" t="s">
        <v>1158</v>
      </c>
      <c r="CL171" t="s">
        <v>236</v>
      </c>
      <c r="CM171">
        <v>0</v>
      </c>
      <c r="CN171">
        <v>0</v>
      </c>
      <c r="CO171">
        <v>0</v>
      </c>
      <c r="CP171">
        <v>0</v>
      </c>
      <c r="CU171">
        <v>2</v>
      </c>
      <c r="CV171" t="s">
        <v>2021</v>
      </c>
      <c r="CW171" t="s">
        <v>2022</v>
      </c>
      <c r="CX171" t="s">
        <v>1857</v>
      </c>
      <c r="CY171" t="s">
        <v>1858</v>
      </c>
      <c r="CZ171" t="s">
        <v>217</v>
      </c>
      <c r="DB171" t="s">
        <v>2023</v>
      </c>
      <c r="DD171" t="s">
        <v>2024</v>
      </c>
      <c r="DF171" t="s">
        <v>220</v>
      </c>
      <c r="DG171">
        <v>451666</v>
      </c>
      <c r="DL171">
        <v>0</v>
      </c>
      <c r="DN171">
        <v>0</v>
      </c>
      <c r="DP171" t="s">
        <v>2025</v>
      </c>
      <c r="DQ171">
        <v>4259662</v>
      </c>
      <c r="DR171" t="s">
        <v>223</v>
      </c>
      <c r="DS171">
        <v>0</v>
      </c>
      <c r="DV171">
        <v>0</v>
      </c>
      <c r="EQ171" t="s">
        <v>2026</v>
      </c>
      <c r="ER171" s="1">
        <v>45433</v>
      </c>
      <c r="ES171">
        <v>3000</v>
      </c>
      <c r="ET171">
        <v>404981.86</v>
      </c>
      <c r="EU171">
        <v>5426.4</v>
      </c>
      <c r="EV171">
        <v>250527</v>
      </c>
      <c r="EW171" t="s">
        <v>2027</v>
      </c>
      <c r="EX171">
        <v>0</v>
      </c>
      <c r="EY171" t="s">
        <v>226</v>
      </c>
      <c r="EZ171" t="s">
        <v>202</v>
      </c>
      <c r="FA171" t="s">
        <v>226</v>
      </c>
      <c r="FB171" t="s">
        <v>202</v>
      </c>
      <c r="FC171" t="s">
        <v>202</v>
      </c>
      <c r="FD171" t="s">
        <v>202</v>
      </c>
      <c r="FE171" t="s">
        <v>202</v>
      </c>
      <c r="FF171" t="s">
        <v>202</v>
      </c>
      <c r="FG171" t="s">
        <v>202</v>
      </c>
      <c r="FH171" t="s">
        <v>202</v>
      </c>
      <c r="FI171" t="s">
        <v>202</v>
      </c>
      <c r="FJ171" t="s">
        <v>202</v>
      </c>
      <c r="FK171" t="s">
        <v>202</v>
      </c>
      <c r="FL171" t="s">
        <v>202</v>
      </c>
      <c r="FM171" t="s">
        <v>202</v>
      </c>
      <c r="FN171" t="s">
        <v>202</v>
      </c>
      <c r="FO171">
        <v>30001</v>
      </c>
      <c r="FP171">
        <v>-1</v>
      </c>
      <c r="FQ171">
        <v>8.7899999999999991</v>
      </c>
      <c r="FR171">
        <v>4763</v>
      </c>
      <c r="FS171">
        <v>0</v>
      </c>
      <c r="FT171">
        <v>0</v>
      </c>
      <c r="FW171">
        <v>0</v>
      </c>
      <c r="FX171">
        <v>0</v>
      </c>
      <c r="FY171">
        <v>0</v>
      </c>
      <c r="GA171">
        <v>0</v>
      </c>
    </row>
    <row r="172" spans="1:183" x14ac:dyDescent="0.3">
      <c r="A172">
        <v>11155</v>
      </c>
      <c r="B172">
        <v>226</v>
      </c>
      <c r="C172" t="s">
        <v>1997</v>
      </c>
      <c r="D172" t="s">
        <v>1997</v>
      </c>
      <c r="E172" t="s">
        <v>2028</v>
      </c>
      <c r="F172">
        <v>2457236758</v>
      </c>
      <c r="G172">
        <v>2457236758</v>
      </c>
      <c r="H172" t="s">
        <v>2029</v>
      </c>
      <c r="I172" t="s">
        <v>198</v>
      </c>
      <c r="J172" t="s">
        <v>199</v>
      </c>
      <c r="L172" t="s">
        <v>1744</v>
      </c>
      <c r="O172">
        <v>9302688469</v>
      </c>
      <c r="P172" t="s">
        <v>2030</v>
      </c>
      <c r="Q172" s="1">
        <v>45458</v>
      </c>
      <c r="R172" s="1">
        <v>45458</v>
      </c>
      <c r="S172" s="1">
        <v>45458</v>
      </c>
      <c r="U172" t="s">
        <v>2030</v>
      </c>
      <c r="W172" t="s">
        <v>202</v>
      </c>
      <c r="AB172" t="s">
        <v>2031</v>
      </c>
      <c r="AD172" t="s">
        <v>310</v>
      </c>
      <c r="AE172">
        <v>4763</v>
      </c>
      <c r="AF172" t="s">
        <v>355</v>
      </c>
      <c r="AG172" t="s">
        <v>232</v>
      </c>
      <c r="AH172" t="s">
        <v>207</v>
      </c>
      <c r="AI172">
        <v>434883.62790700002</v>
      </c>
      <c r="AJ172">
        <v>561000</v>
      </c>
      <c r="AK172">
        <v>29</v>
      </c>
      <c r="AL172">
        <v>10000</v>
      </c>
      <c r="AM172">
        <v>0</v>
      </c>
      <c r="AN172">
        <v>0</v>
      </c>
      <c r="AO172">
        <v>3100</v>
      </c>
      <c r="AP172">
        <v>0</v>
      </c>
      <c r="AQ172">
        <v>15000</v>
      </c>
      <c r="AR172">
        <v>0</v>
      </c>
      <c r="AS172">
        <v>0</v>
      </c>
      <c r="AT172">
        <v>0</v>
      </c>
      <c r="AU172">
        <v>0</v>
      </c>
      <c r="AV172">
        <v>16500</v>
      </c>
      <c r="AW172">
        <v>0</v>
      </c>
      <c r="AX172">
        <v>0</v>
      </c>
      <c r="AY172">
        <v>44600</v>
      </c>
      <c r="AZ172">
        <v>516400</v>
      </c>
      <c r="BA172">
        <v>24790</v>
      </c>
      <c r="BB172">
        <v>0</v>
      </c>
      <c r="BC172">
        <v>0</v>
      </c>
      <c r="BD172">
        <v>53351</v>
      </c>
      <c r="BE172" t="s">
        <v>234</v>
      </c>
      <c r="BF172">
        <v>8850</v>
      </c>
      <c r="BG172">
        <v>2750</v>
      </c>
      <c r="BH172" t="s">
        <v>209</v>
      </c>
      <c r="BI172">
        <v>26100</v>
      </c>
      <c r="BJ172">
        <v>885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500</v>
      </c>
      <c r="BT172">
        <v>0</v>
      </c>
      <c r="BU172">
        <v>0</v>
      </c>
      <c r="BV172">
        <v>0</v>
      </c>
      <c r="BW172">
        <v>0</v>
      </c>
      <c r="BX172">
        <v>633626</v>
      </c>
      <c r="BY172">
        <v>0</v>
      </c>
      <c r="BZ172">
        <v>101526</v>
      </c>
      <c r="CA172">
        <v>0</v>
      </c>
      <c r="CB172">
        <v>97100</v>
      </c>
      <c r="CC172">
        <v>2100</v>
      </c>
      <c r="CD172">
        <v>0</v>
      </c>
      <c r="CE172">
        <v>198626</v>
      </c>
      <c r="CF172">
        <v>0</v>
      </c>
      <c r="CG172">
        <v>0</v>
      </c>
      <c r="CH172">
        <v>435000</v>
      </c>
      <c r="CJ172" t="s">
        <v>210</v>
      </c>
      <c r="CL172" t="s">
        <v>211</v>
      </c>
      <c r="CM172">
        <v>0</v>
      </c>
      <c r="CN172">
        <v>0</v>
      </c>
      <c r="CO172">
        <v>0</v>
      </c>
      <c r="CP172">
        <v>0</v>
      </c>
      <c r="CU172">
        <v>0</v>
      </c>
      <c r="CV172" t="s">
        <v>2032</v>
      </c>
      <c r="CW172" t="s">
        <v>2033</v>
      </c>
      <c r="CX172" t="s">
        <v>1749</v>
      </c>
      <c r="CY172" t="s">
        <v>1750</v>
      </c>
      <c r="CZ172" t="s">
        <v>217</v>
      </c>
      <c r="DB172" t="s">
        <v>2034</v>
      </c>
      <c r="DD172" t="s">
        <v>2035</v>
      </c>
      <c r="DF172" t="s">
        <v>220</v>
      </c>
      <c r="DG172">
        <v>451666</v>
      </c>
      <c r="DL172">
        <v>0</v>
      </c>
      <c r="DN172">
        <v>0</v>
      </c>
      <c r="DP172" t="s">
        <v>2036</v>
      </c>
      <c r="DQ172">
        <v>4262427</v>
      </c>
      <c r="DR172" t="s">
        <v>223</v>
      </c>
      <c r="DS172">
        <v>8743.7999999999993</v>
      </c>
      <c r="DT172" s="1">
        <v>45458</v>
      </c>
      <c r="DU172" t="s">
        <v>2037</v>
      </c>
      <c r="DV172">
        <v>0</v>
      </c>
      <c r="DW172">
        <v>1.5</v>
      </c>
      <c r="DX172">
        <v>6525</v>
      </c>
      <c r="DY172">
        <v>1174.5</v>
      </c>
      <c r="DZ172">
        <v>7699.5</v>
      </c>
      <c r="EC172">
        <v>0</v>
      </c>
      <c r="EQ172" t="s">
        <v>2038</v>
      </c>
      <c r="ER172" s="1">
        <v>45441</v>
      </c>
      <c r="ES172">
        <v>3000</v>
      </c>
      <c r="ET172">
        <v>404981.86</v>
      </c>
      <c r="EU172">
        <v>5426.4</v>
      </c>
      <c r="EV172">
        <v>251355</v>
      </c>
      <c r="EW172" t="s">
        <v>2039</v>
      </c>
      <c r="EX172">
        <v>0</v>
      </c>
      <c r="EY172" t="s">
        <v>226</v>
      </c>
      <c r="EZ172" t="s">
        <v>226</v>
      </c>
      <c r="FA172" t="s">
        <v>226</v>
      </c>
      <c r="FB172" t="s">
        <v>226</v>
      </c>
      <c r="FC172" t="s">
        <v>202</v>
      </c>
      <c r="FD172" t="s">
        <v>202</v>
      </c>
      <c r="FE172" t="s">
        <v>202</v>
      </c>
      <c r="FF172" t="s">
        <v>202</v>
      </c>
      <c r="FG172" t="s">
        <v>202</v>
      </c>
      <c r="FH172" t="s">
        <v>202</v>
      </c>
      <c r="FI172" t="s">
        <v>202</v>
      </c>
      <c r="FJ172" t="s">
        <v>202</v>
      </c>
      <c r="FK172" t="s">
        <v>202</v>
      </c>
      <c r="FL172" t="s">
        <v>202</v>
      </c>
      <c r="FM172" t="s">
        <v>202</v>
      </c>
      <c r="FN172" t="s">
        <v>202</v>
      </c>
      <c r="FO172">
        <v>22046</v>
      </c>
      <c r="FP172">
        <v>2744</v>
      </c>
      <c r="FQ172">
        <v>0</v>
      </c>
      <c r="FR172">
        <v>4763</v>
      </c>
      <c r="FS172">
        <v>0</v>
      </c>
      <c r="FT172">
        <v>0</v>
      </c>
      <c r="FW172">
        <v>0</v>
      </c>
      <c r="FX172">
        <v>0</v>
      </c>
      <c r="FY172">
        <v>0</v>
      </c>
      <c r="GA172">
        <v>431371</v>
      </c>
    </row>
    <row r="173" spans="1:183" x14ac:dyDescent="0.3">
      <c r="A173">
        <v>11204</v>
      </c>
      <c r="B173">
        <v>227</v>
      </c>
      <c r="C173" t="s">
        <v>1997</v>
      </c>
      <c r="D173" t="s">
        <v>1997</v>
      </c>
      <c r="E173" t="s">
        <v>2040</v>
      </c>
      <c r="F173">
        <v>2457266740</v>
      </c>
      <c r="G173">
        <v>2457266740</v>
      </c>
      <c r="H173" t="s">
        <v>2041</v>
      </c>
      <c r="I173" t="s">
        <v>198</v>
      </c>
      <c r="J173" t="s">
        <v>199</v>
      </c>
      <c r="L173" t="s">
        <v>1744</v>
      </c>
      <c r="O173">
        <v>9630799523</v>
      </c>
      <c r="P173" t="s">
        <v>2042</v>
      </c>
      <c r="Q173" s="1">
        <v>45458</v>
      </c>
      <c r="R173" s="1">
        <v>45458</v>
      </c>
      <c r="S173" s="1">
        <v>45462</v>
      </c>
      <c r="U173" t="s">
        <v>2042</v>
      </c>
      <c r="W173" t="s">
        <v>202</v>
      </c>
      <c r="AB173" t="s">
        <v>2043</v>
      </c>
      <c r="AD173" t="s">
        <v>310</v>
      </c>
      <c r="AE173">
        <v>4763</v>
      </c>
      <c r="AF173" t="s">
        <v>355</v>
      </c>
      <c r="AG173" t="s">
        <v>232</v>
      </c>
      <c r="AH173" t="s">
        <v>207</v>
      </c>
      <c r="AI173">
        <v>434883.62790700002</v>
      </c>
      <c r="AJ173">
        <v>561000</v>
      </c>
      <c r="AK173">
        <v>29</v>
      </c>
      <c r="AL173">
        <v>10000</v>
      </c>
      <c r="AM173">
        <v>0</v>
      </c>
      <c r="AN173">
        <v>0</v>
      </c>
      <c r="AO173">
        <v>0</v>
      </c>
      <c r="AP173">
        <v>0</v>
      </c>
      <c r="AQ173">
        <v>15000</v>
      </c>
      <c r="AR173">
        <v>0</v>
      </c>
      <c r="AS173">
        <v>0</v>
      </c>
      <c r="AT173">
        <v>0</v>
      </c>
      <c r="AU173">
        <v>0</v>
      </c>
      <c r="AV173">
        <v>8555</v>
      </c>
      <c r="AW173">
        <v>0</v>
      </c>
      <c r="AX173">
        <v>0</v>
      </c>
      <c r="AY173">
        <v>33555</v>
      </c>
      <c r="AZ173">
        <v>527445</v>
      </c>
      <c r="BA173">
        <v>34100</v>
      </c>
      <c r="BB173">
        <v>0</v>
      </c>
      <c r="BC173">
        <v>0</v>
      </c>
      <c r="BD173">
        <v>53351</v>
      </c>
      <c r="BE173" t="s">
        <v>234</v>
      </c>
      <c r="BF173">
        <v>8744</v>
      </c>
      <c r="BG173">
        <v>0</v>
      </c>
      <c r="BH173" t="s">
        <v>209</v>
      </c>
      <c r="BI173">
        <v>26002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649642</v>
      </c>
      <c r="BY173">
        <v>0</v>
      </c>
      <c r="BZ173">
        <v>0</v>
      </c>
      <c r="CA173">
        <v>0</v>
      </c>
      <c r="CB173">
        <v>108600</v>
      </c>
      <c r="CC173">
        <v>0</v>
      </c>
      <c r="CD173">
        <v>0</v>
      </c>
      <c r="CE173">
        <v>108600</v>
      </c>
      <c r="CF173">
        <v>0</v>
      </c>
      <c r="CG173">
        <v>0</v>
      </c>
      <c r="CH173">
        <v>541040</v>
      </c>
      <c r="CJ173" t="s">
        <v>299</v>
      </c>
      <c r="CL173" t="s">
        <v>211</v>
      </c>
      <c r="CM173">
        <v>0</v>
      </c>
      <c r="CN173">
        <v>0</v>
      </c>
      <c r="CO173">
        <v>0</v>
      </c>
      <c r="CP173">
        <v>0</v>
      </c>
      <c r="CU173">
        <v>2</v>
      </c>
      <c r="CV173" t="s">
        <v>1857</v>
      </c>
      <c r="CW173" t="s">
        <v>1858</v>
      </c>
      <c r="CX173" t="s">
        <v>1857</v>
      </c>
      <c r="CY173" t="s">
        <v>1858</v>
      </c>
      <c r="CZ173" t="s">
        <v>217</v>
      </c>
      <c r="DB173" t="s">
        <v>2044</v>
      </c>
      <c r="DD173" t="s">
        <v>2045</v>
      </c>
      <c r="DF173" t="s">
        <v>220</v>
      </c>
      <c r="DG173">
        <v>451666</v>
      </c>
      <c r="DL173">
        <v>0</v>
      </c>
      <c r="DN173">
        <v>0</v>
      </c>
      <c r="DP173" t="s">
        <v>2046</v>
      </c>
      <c r="DQ173">
        <v>4261873</v>
      </c>
      <c r="DR173" t="s">
        <v>223</v>
      </c>
      <c r="DS173">
        <v>8743.7999999999993</v>
      </c>
      <c r="DT173" s="1">
        <v>45462</v>
      </c>
      <c r="DU173" t="s">
        <v>2047</v>
      </c>
      <c r="DV173">
        <v>0</v>
      </c>
      <c r="DW173">
        <v>1.5</v>
      </c>
      <c r="DX173">
        <v>8115.6</v>
      </c>
      <c r="DY173">
        <v>1460.81</v>
      </c>
      <c r="DZ173">
        <v>9576.41</v>
      </c>
      <c r="EC173">
        <v>0</v>
      </c>
      <c r="EQ173" t="s">
        <v>2048</v>
      </c>
      <c r="ER173" s="1">
        <v>45441</v>
      </c>
      <c r="ES173">
        <v>3000</v>
      </c>
      <c r="ET173">
        <v>404981.86</v>
      </c>
      <c r="EU173">
        <v>5426.4</v>
      </c>
      <c r="EV173">
        <v>251677</v>
      </c>
      <c r="EW173" t="s">
        <v>2049</v>
      </c>
      <c r="EX173">
        <v>0</v>
      </c>
      <c r="EY173" t="s">
        <v>226</v>
      </c>
      <c r="EZ173" t="s">
        <v>226</v>
      </c>
      <c r="FA173" t="s">
        <v>226</v>
      </c>
      <c r="FB173" t="s">
        <v>202</v>
      </c>
      <c r="FC173" t="s">
        <v>202</v>
      </c>
      <c r="FD173" t="s">
        <v>202</v>
      </c>
      <c r="FE173" t="s">
        <v>202</v>
      </c>
      <c r="FF173" t="s">
        <v>202</v>
      </c>
      <c r="FG173" t="s">
        <v>202</v>
      </c>
      <c r="FH173" t="s">
        <v>202</v>
      </c>
      <c r="FI173" t="s">
        <v>202</v>
      </c>
      <c r="FJ173" t="s">
        <v>202</v>
      </c>
      <c r="FK173" t="s">
        <v>202</v>
      </c>
      <c r="FL173" t="s">
        <v>202</v>
      </c>
      <c r="FM173" t="s">
        <v>202</v>
      </c>
      <c r="FN173" t="s">
        <v>202</v>
      </c>
      <c r="FO173">
        <v>34099</v>
      </c>
      <c r="FP173">
        <v>1</v>
      </c>
      <c r="FQ173">
        <v>3.18</v>
      </c>
      <c r="FR173">
        <v>4763</v>
      </c>
      <c r="FS173">
        <v>0</v>
      </c>
      <c r="FT173">
        <v>0</v>
      </c>
      <c r="FW173">
        <v>0</v>
      </c>
      <c r="FX173">
        <v>0</v>
      </c>
      <c r="FY173">
        <v>0</v>
      </c>
      <c r="GA173">
        <v>0</v>
      </c>
    </row>
    <row r="174" spans="1:183" x14ac:dyDescent="0.3">
      <c r="A174">
        <v>11214</v>
      </c>
      <c r="B174">
        <v>228</v>
      </c>
      <c r="C174" t="s">
        <v>1997</v>
      </c>
      <c r="D174" t="s">
        <v>1997</v>
      </c>
      <c r="E174" t="s">
        <v>2050</v>
      </c>
      <c r="F174">
        <v>2457337505</v>
      </c>
      <c r="G174">
        <v>2457337505</v>
      </c>
      <c r="H174" t="s">
        <v>2051</v>
      </c>
      <c r="I174" t="s">
        <v>198</v>
      </c>
      <c r="J174" t="s">
        <v>488</v>
      </c>
      <c r="L174" t="s">
        <v>2052</v>
      </c>
      <c r="O174">
        <v>9424031658</v>
      </c>
      <c r="P174" t="s">
        <v>2053</v>
      </c>
      <c r="Q174" s="1">
        <v>45465</v>
      </c>
      <c r="R174" s="1">
        <v>45465</v>
      </c>
      <c r="S174" s="1">
        <v>45464</v>
      </c>
      <c r="U174" t="s">
        <v>2053</v>
      </c>
      <c r="W174" t="s">
        <v>202</v>
      </c>
      <c r="AB174" t="s">
        <v>2054</v>
      </c>
      <c r="AD174" t="s">
        <v>310</v>
      </c>
      <c r="AE174">
        <v>4800</v>
      </c>
      <c r="AF174" t="s">
        <v>311</v>
      </c>
      <c r="AG174" t="s">
        <v>206</v>
      </c>
      <c r="AH174" t="s">
        <v>356</v>
      </c>
      <c r="AI174">
        <v>510077.42635700002</v>
      </c>
      <c r="AJ174">
        <v>658000</v>
      </c>
      <c r="AK174">
        <v>29</v>
      </c>
      <c r="AL174">
        <v>10000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9194</v>
      </c>
      <c r="AW174">
        <v>0</v>
      </c>
      <c r="AX174">
        <v>0</v>
      </c>
      <c r="AY174">
        <v>19194</v>
      </c>
      <c r="AZ174">
        <v>638806</v>
      </c>
      <c r="BA174">
        <v>0</v>
      </c>
      <c r="BB174">
        <v>0</v>
      </c>
      <c r="BC174">
        <v>0</v>
      </c>
      <c r="BD174">
        <v>4500</v>
      </c>
      <c r="BE174" t="s">
        <v>234</v>
      </c>
      <c r="BF174">
        <v>10255</v>
      </c>
      <c r="BG174">
        <v>0</v>
      </c>
      <c r="BH174" t="s">
        <v>209</v>
      </c>
      <c r="BI174">
        <v>27000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680561</v>
      </c>
      <c r="BY174">
        <v>0</v>
      </c>
      <c r="BZ174">
        <v>26500</v>
      </c>
      <c r="CA174">
        <v>0</v>
      </c>
      <c r="CB174">
        <v>28786</v>
      </c>
      <c r="CC174">
        <v>0</v>
      </c>
      <c r="CD174">
        <v>0</v>
      </c>
      <c r="CE174">
        <v>55286</v>
      </c>
      <c r="CF174">
        <v>0</v>
      </c>
      <c r="CG174">
        <v>0</v>
      </c>
      <c r="CH174">
        <v>625000</v>
      </c>
      <c r="CJ174" t="s">
        <v>522</v>
      </c>
      <c r="CL174" t="s">
        <v>211</v>
      </c>
      <c r="CM174">
        <v>0</v>
      </c>
      <c r="CN174">
        <v>0</v>
      </c>
      <c r="CO174">
        <v>0</v>
      </c>
      <c r="CP174">
        <v>0</v>
      </c>
      <c r="CU174">
        <v>275</v>
      </c>
      <c r="CV174" t="s">
        <v>1857</v>
      </c>
      <c r="CW174" t="s">
        <v>1858</v>
      </c>
      <c r="CX174" t="s">
        <v>1857</v>
      </c>
      <c r="CY174" t="s">
        <v>1858</v>
      </c>
      <c r="CZ174" t="s">
        <v>217</v>
      </c>
      <c r="DB174" t="s">
        <v>2055</v>
      </c>
      <c r="DD174" t="s">
        <v>2056</v>
      </c>
      <c r="DF174" t="s">
        <v>220</v>
      </c>
      <c r="DG174">
        <v>424004</v>
      </c>
      <c r="DL174">
        <v>0</v>
      </c>
      <c r="DN174">
        <v>0</v>
      </c>
      <c r="DP174" t="s">
        <v>2057</v>
      </c>
      <c r="DQ174">
        <v>4271231</v>
      </c>
      <c r="DR174" t="s">
        <v>223</v>
      </c>
      <c r="DS174">
        <v>10254.200000000001</v>
      </c>
      <c r="DT174" s="1">
        <v>45465</v>
      </c>
      <c r="DU174" t="s">
        <v>2058</v>
      </c>
      <c r="DV174">
        <v>0</v>
      </c>
      <c r="DW174">
        <v>1.5</v>
      </c>
      <c r="DX174">
        <v>9375</v>
      </c>
      <c r="DY174">
        <v>1687.5</v>
      </c>
      <c r="DZ174">
        <v>11062.5</v>
      </c>
      <c r="EC174">
        <v>0</v>
      </c>
      <c r="EQ174" t="s">
        <v>2059</v>
      </c>
      <c r="ER174" s="1">
        <v>45457</v>
      </c>
      <c r="ES174">
        <v>3000</v>
      </c>
      <c r="ET174">
        <v>479175.86</v>
      </c>
      <c r="EU174">
        <v>5426.4</v>
      </c>
      <c r="EV174">
        <v>252442</v>
      </c>
      <c r="EW174" t="s">
        <v>2060</v>
      </c>
      <c r="EX174">
        <v>0</v>
      </c>
      <c r="EY174" t="s">
        <v>226</v>
      </c>
      <c r="EZ174" t="s">
        <v>226</v>
      </c>
      <c r="FA174" t="s">
        <v>226</v>
      </c>
      <c r="FB174" t="s">
        <v>202</v>
      </c>
      <c r="FC174" t="s">
        <v>202</v>
      </c>
      <c r="FD174" t="s">
        <v>202</v>
      </c>
      <c r="FE174" t="s">
        <v>202</v>
      </c>
      <c r="FF174" t="s">
        <v>202</v>
      </c>
      <c r="FG174" t="s">
        <v>202</v>
      </c>
      <c r="FH174" t="s">
        <v>202</v>
      </c>
      <c r="FI174" t="s">
        <v>202</v>
      </c>
      <c r="FJ174" t="s">
        <v>202</v>
      </c>
      <c r="FK174" t="s">
        <v>202</v>
      </c>
      <c r="FL174" t="s">
        <v>202</v>
      </c>
      <c r="FM174" t="s">
        <v>202</v>
      </c>
      <c r="FN174" t="s">
        <v>202</v>
      </c>
      <c r="FO174">
        <v>0</v>
      </c>
      <c r="FP174">
        <v>0</v>
      </c>
      <c r="FQ174">
        <v>0</v>
      </c>
      <c r="FR174">
        <v>4800</v>
      </c>
      <c r="FS174">
        <v>0</v>
      </c>
      <c r="FT174">
        <v>0</v>
      </c>
      <c r="FW174">
        <v>0</v>
      </c>
      <c r="FX174">
        <v>0</v>
      </c>
      <c r="FY174">
        <v>0</v>
      </c>
      <c r="GA174">
        <v>275</v>
      </c>
    </row>
    <row r="175" spans="1:183" x14ac:dyDescent="0.3">
      <c r="A175">
        <v>11244</v>
      </c>
      <c r="B175">
        <v>229</v>
      </c>
      <c r="C175" t="s">
        <v>1997</v>
      </c>
      <c r="D175" t="s">
        <v>1997</v>
      </c>
      <c r="E175" t="s">
        <v>2061</v>
      </c>
      <c r="F175">
        <v>2457134709</v>
      </c>
      <c r="G175">
        <v>2457134709</v>
      </c>
      <c r="H175" t="s">
        <v>2062</v>
      </c>
      <c r="I175" t="s">
        <v>198</v>
      </c>
      <c r="J175" t="s">
        <v>199</v>
      </c>
      <c r="L175" t="s">
        <v>393</v>
      </c>
      <c r="O175">
        <v>9595910420</v>
      </c>
      <c r="P175" t="s">
        <v>2063</v>
      </c>
      <c r="Q175" s="1">
        <v>45462</v>
      </c>
      <c r="R175" s="1">
        <v>45462</v>
      </c>
      <c r="S175" s="1">
        <v>45469</v>
      </c>
      <c r="U175" t="s">
        <v>2063</v>
      </c>
      <c r="W175" t="s">
        <v>202</v>
      </c>
      <c r="AB175">
        <v>100438</v>
      </c>
      <c r="AD175" t="s">
        <v>230</v>
      </c>
      <c r="AE175">
        <v>4813</v>
      </c>
      <c r="AF175" t="s">
        <v>796</v>
      </c>
      <c r="AG175" t="s">
        <v>232</v>
      </c>
      <c r="AH175" t="s">
        <v>250</v>
      </c>
      <c r="AI175">
        <v>502901</v>
      </c>
      <c r="AJ175">
        <v>648742</v>
      </c>
      <c r="AK175">
        <v>29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12730</v>
      </c>
      <c r="AW175">
        <v>0</v>
      </c>
      <c r="AX175">
        <v>0</v>
      </c>
      <c r="AY175">
        <v>12730</v>
      </c>
      <c r="AZ175">
        <v>636012</v>
      </c>
      <c r="BA175">
        <v>35000</v>
      </c>
      <c r="BB175">
        <v>0</v>
      </c>
      <c r="BC175">
        <v>0</v>
      </c>
      <c r="BD175">
        <v>59570</v>
      </c>
      <c r="BE175" t="s">
        <v>234</v>
      </c>
      <c r="BF175">
        <v>11033.6</v>
      </c>
      <c r="BG175">
        <v>0</v>
      </c>
      <c r="BH175" t="s">
        <v>209</v>
      </c>
      <c r="BI175">
        <v>27524</v>
      </c>
      <c r="BJ175">
        <v>885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770024.6</v>
      </c>
      <c r="BY175">
        <v>0</v>
      </c>
      <c r="BZ175">
        <v>21000</v>
      </c>
      <c r="CA175">
        <v>0</v>
      </c>
      <c r="CB175">
        <v>349023.6</v>
      </c>
      <c r="CC175">
        <v>99000</v>
      </c>
      <c r="CD175">
        <v>0</v>
      </c>
      <c r="CE175">
        <v>370023.6</v>
      </c>
      <c r="CF175">
        <v>0</v>
      </c>
      <c r="CG175">
        <v>0</v>
      </c>
      <c r="CH175">
        <v>400000</v>
      </c>
      <c r="CJ175" t="s">
        <v>522</v>
      </c>
      <c r="CL175" t="s">
        <v>211</v>
      </c>
      <c r="CM175">
        <v>0</v>
      </c>
      <c r="CN175">
        <v>0</v>
      </c>
      <c r="CO175">
        <v>0</v>
      </c>
      <c r="CP175">
        <v>0</v>
      </c>
      <c r="CU175">
        <v>1</v>
      </c>
      <c r="CV175" t="s">
        <v>1857</v>
      </c>
      <c r="CW175" t="s">
        <v>1858</v>
      </c>
      <c r="CX175" t="s">
        <v>1857</v>
      </c>
      <c r="CY175" t="s">
        <v>1858</v>
      </c>
      <c r="CZ175" t="s">
        <v>217</v>
      </c>
      <c r="DB175" t="s">
        <v>2064</v>
      </c>
      <c r="DD175" t="s">
        <v>2065</v>
      </c>
      <c r="DF175" t="s">
        <v>220</v>
      </c>
      <c r="DG175">
        <v>451551</v>
      </c>
      <c r="DL175">
        <v>0</v>
      </c>
      <c r="DN175">
        <v>0</v>
      </c>
      <c r="DP175" t="s">
        <v>2066</v>
      </c>
      <c r="DQ175">
        <v>1000447</v>
      </c>
      <c r="DR175" t="s">
        <v>223</v>
      </c>
      <c r="DS175">
        <v>11033</v>
      </c>
      <c r="DT175" s="1">
        <v>45470</v>
      </c>
      <c r="DU175" t="s">
        <v>2067</v>
      </c>
      <c r="DV175">
        <v>0</v>
      </c>
      <c r="DW175">
        <v>1</v>
      </c>
      <c r="DX175">
        <v>4000</v>
      </c>
      <c r="DY175">
        <v>720</v>
      </c>
      <c r="DZ175">
        <v>4720</v>
      </c>
      <c r="EC175">
        <v>0</v>
      </c>
      <c r="EQ175" t="s">
        <v>2068</v>
      </c>
      <c r="ER175" s="1">
        <v>45421</v>
      </c>
      <c r="ES175">
        <v>6000</v>
      </c>
      <c r="ET175">
        <v>483126</v>
      </c>
      <c r="EU175">
        <v>0</v>
      </c>
      <c r="EV175">
        <v>250548</v>
      </c>
      <c r="EW175" t="s">
        <v>2069</v>
      </c>
      <c r="EX175">
        <v>0</v>
      </c>
      <c r="EY175" t="s">
        <v>226</v>
      </c>
      <c r="EZ175" t="s">
        <v>226</v>
      </c>
      <c r="FA175" t="s">
        <v>226</v>
      </c>
      <c r="FB175" t="s">
        <v>202</v>
      </c>
      <c r="FC175" t="s">
        <v>202</v>
      </c>
      <c r="FD175" t="s">
        <v>202</v>
      </c>
      <c r="FE175" t="s">
        <v>202</v>
      </c>
      <c r="FF175" t="s">
        <v>202</v>
      </c>
      <c r="FG175" t="s">
        <v>202</v>
      </c>
      <c r="FH175" t="s">
        <v>202</v>
      </c>
      <c r="FI175" t="s">
        <v>202</v>
      </c>
      <c r="FJ175" t="s">
        <v>202</v>
      </c>
      <c r="FK175" t="s">
        <v>202</v>
      </c>
      <c r="FL175" t="s">
        <v>202</v>
      </c>
      <c r="FM175" t="s">
        <v>202</v>
      </c>
      <c r="FN175" t="s">
        <v>202</v>
      </c>
      <c r="FO175">
        <v>34999</v>
      </c>
      <c r="FP175">
        <v>1</v>
      </c>
      <c r="FQ175">
        <v>15.85</v>
      </c>
      <c r="FR175">
        <v>4813</v>
      </c>
      <c r="FS175">
        <v>0</v>
      </c>
      <c r="FT175">
        <v>0</v>
      </c>
      <c r="FW175">
        <v>0</v>
      </c>
      <c r="FX175">
        <v>0</v>
      </c>
      <c r="FY175">
        <v>0</v>
      </c>
      <c r="GA175">
        <v>-886</v>
      </c>
    </row>
    <row r="176" spans="1:183" x14ac:dyDescent="0.3">
      <c r="A176">
        <v>11270</v>
      </c>
      <c r="B176">
        <v>230</v>
      </c>
      <c r="C176" t="s">
        <v>1997</v>
      </c>
      <c r="D176" t="s">
        <v>1997</v>
      </c>
      <c r="E176" t="s">
        <v>2070</v>
      </c>
      <c r="F176">
        <v>2457163209</v>
      </c>
      <c r="G176">
        <v>2457163209</v>
      </c>
      <c r="H176" t="s">
        <v>2071</v>
      </c>
      <c r="I176" t="s">
        <v>198</v>
      </c>
      <c r="J176" t="s">
        <v>488</v>
      </c>
      <c r="L176" t="s">
        <v>2052</v>
      </c>
      <c r="O176">
        <v>8530377353</v>
      </c>
      <c r="P176" t="s">
        <v>2072</v>
      </c>
      <c r="Q176" s="1">
        <v>45467</v>
      </c>
      <c r="R176" s="1">
        <v>45467</v>
      </c>
      <c r="S176" s="1">
        <v>45470</v>
      </c>
      <c r="U176" t="s">
        <v>2072</v>
      </c>
      <c r="W176" t="s">
        <v>202</v>
      </c>
      <c r="AB176">
        <v>824401</v>
      </c>
      <c r="AD176" t="s">
        <v>287</v>
      </c>
      <c r="AE176">
        <v>4738</v>
      </c>
      <c r="AF176" t="s">
        <v>288</v>
      </c>
      <c r="AG176" t="s">
        <v>206</v>
      </c>
      <c r="AH176" t="s">
        <v>250</v>
      </c>
      <c r="AI176">
        <v>743448.26896599995</v>
      </c>
      <c r="AJ176">
        <v>1077999</v>
      </c>
      <c r="AK176">
        <v>45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1077999</v>
      </c>
      <c r="BA176">
        <v>6040</v>
      </c>
      <c r="BB176">
        <v>0</v>
      </c>
      <c r="BC176">
        <v>0</v>
      </c>
      <c r="BD176">
        <v>5000</v>
      </c>
      <c r="BE176" t="s">
        <v>208</v>
      </c>
      <c r="BF176">
        <v>0</v>
      </c>
      <c r="BG176">
        <v>0</v>
      </c>
      <c r="BH176" t="s">
        <v>209</v>
      </c>
      <c r="BI176">
        <v>34002</v>
      </c>
      <c r="BJ176">
        <v>885</v>
      </c>
      <c r="BK176">
        <v>0</v>
      </c>
      <c r="BL176">
        <v>0</v>
      </c>
      <c r="BM176">
        <v>0</v>
      </c>
      <c r="BN176">
        <v>10789</v>
      </c>
      <c r="BO176">
        <v>0</v>
      </c>
      <c r="BP176">
        <v>0</v>
      </c>
      <c r="BQ176">
        <v>0</v>
      </c>
      <c r="BR176">
        <v>0</v>
      </c>
      <c r="BS176">
        <v>500</v>
      </c>
      <c r="BT176">
        <v>0</v>
      </c>
      <c r="BU176">
        <v>0</v>
      </c>
      <c r="BV176">
        <v>0</v>
      </c>
      <c r="BW176">
        <v>0</v>
      </c>
      <c r="BX176">
        <v>1135215</v>
      </c>
      <c r="BY176">
        <v>0</v>
      </c>
      <c r="BZ176">
        <v>114214</v>
      </c>
      <c r="CA176">
        <v>0</v>
      </c>
      <c r="CB176">
        <v>21000</v>
      </c>
      <c r="CC176">
        <v>0</v>
      </c>
      <c r="CD176">
        <v>0</v>
      </c>
      <c r="CE176">
        <v>135214</v>
      </c>
      <c r="CF176">
        <v>0</v>
      </c>
      <c r="CG176">
        <v>0</v>
      </c>
      <c r="CH176">
        <v>1000000</v>
      </c>
      <c r="CJ176" t="s">
        <v>522</v>
      </c>
      <c r="CL176" t="s">
        <v>211</v>
      </c>
      <c r="CM176">
        <v>0</v>
      </c>
      <c r="CN176">
        <v>0</v>
      </c>
      <c r="CO176">
        <v>0</v>
      </c>
      <c r="CP176">
        <v>0</v>
      </c>
      <c r="CU176">
        <v>1</v>
      </c>
      <c r="CV176" t="s">
        <v>1749</v>
      </c>
      <c r="CW176" t="s">
        <v>1750</v>
      </c>
      <c r="CX176" t="s">
        <v>1749</v>
      </c>
      <c r="CY176" t="s">
        <v>1750</v>
      </c>
      <c r="CZ176" t="s">
        <v>217</v>
      </c>
      <c r="DB176" t="s">
        <v>2073</v>
      </c>
      <c r="DD176" t="s">
        <v>2074</v>
      </c>
      <c r="DF176" t="s">
        <v>220</v>
      </c>
      <c r="DG176">
        <v>424004</v>
      </c>
      <c r="DL176">
        <v>0</v>
      </c>
      <c r="DN176">
        <v>0</v>
      </c>
      <c r="DP176" t="s">
        <v>2075</v>
      </c>
      <c r="DQ176">
        <v>9540508</v>
      </c>
      <c r="DR176" t="s">
        <v>223</v>
      </c>
      <c r="DS176">
        <v>0</v>
      </c>
      <c r="DV176">
        <v>0</v>
      </c>
      <c r="DW176">
        <v>1</v>
      </c>
      <c r="DX176">
        <v>10000</v>
      </c>
      <c r="DY176">
        <v>1800</v>
      </c>
      <c r="DZ176">
        <v>11800</v>
      </c>
      <c r="EC176">
        <v>0</v>
      </c>
      <c r="EQ176" t="s">
        <v>2076</v>
      </c>
      <c r="ER176" s="1">
        <v>45463</v>
      </c>
      <c r="ES176">
        <v>8500</v>
      </c>
      <c r="ET176">
        <v>697073.03</v>
      </c>
      <c r="EU176">
        <v>0</v>
      </c>
      <c r="EV176">
        <v>250612</v>
      </c>
      <c r="EW176" t="s">
        <v>2077</v>
      </c>
      <c r="EX176">
        <v>0</v>
      </c>
      <c r="EY176" t="s">
        <v>226</v>
      </c>
      <c r="EZ176" t="s">
        <v>202</v>
      </c>
      <c r="FA176" t="s">
        <v>226</v>
      </c>
      <c r="FB176" t="s">
        <v>226</v>
      </c>
      <c r="FC176" t="s">
        <v>202</v>
      </c>
      <c r="FD176" t="s">
        <v>202</v>
      </c>
      <c r="FE176" t="s">
        <v>202</v>
      </c>
      <c r="FF176" t="s">
        <v>202</v>
      </c>
      <c r="FG176" t="s">
        <v>202</v>
      </c>
      <c r="FH176" t="s">
        <v>202</v>
      </c>
      <c r="FI176" t="s">
        <v>202</v>
      </c>
      <c r="FJ176" t="s">
        <v>202</v>
      </c>
      <c r="FK176" t="s">
        <v>202</v>
      </c>
      <c r="FL176" t="s">
        <v>202</v>
      </c>
      <c r="FM176" t="s">
        <v>202</v>
      </c>
      <c r="FN176" t="s">
        <v>202</v>
      </c>
      <c r="FO176">
        <v>0</v>
      </c>
      <c r="FP176">
        <v>6040</v>
      </c>
      <c r="FQ176">
        <v>0</v>
      </c>
      <c r="FR176">
        <v>4738</v>
      </c>
      <c r="FS176">
        <v>0</v>
      </c>
      <c r="FT176">
        <v>0</v>
      </c>
      <c r="FW176">
        <v>0</v>
      </c>
      <c r="FX176">
        <v>0</v>
      </c>
      <c r="FY176">
        <v>0</v>
      </c>
      <c r="GA176">
        <v>-6925</v>
      </c>
    </row>
    <row r="177" spans="1:183" x14ac:dyDescent="0.3">
      <c r="A177">
        <v>11060</v>
      </c>
      <c r="B177">
        <v>231</v>
      </c>
      <c r="C177" t="s">
        <v>2078</v>
      </c>
      <c r="D177" t="s">
        <v>2078</v>
      </c>
      <c r="E177" t="s">
        <v>2079</v>
      </c>
      <c r="F177">
        <v>2457001170</v>
      </c>
      <c r="G177">
        <v>2457001170</v>
      </c>
      <c r="H177" t="s">
        <v>2080</v>
      </c>
      <c r="I177" t="s">
        <v>198</v>
      </c>
      <c r="J177" t="s">
        <v>199</v>
      </c>
      <c r="L177" t="s">
        <v>393</v>
      </c>
      <c r="O177">
        <v>9755930682</v>
      </c>
      <c r="P177" t="s">
        <v>2081</v>
      </c>
      <c r="Q177" s="1">
        <v>45443</v>
      </c>
      <c r="R177" s="1">
        <v>45443</v>
      </c>
      <c r="S177" s="1">
        <v>45446</v>
      </c>
      <c r="U177" t="s">
        <v>2081</v>
      </c>
      <c r="W177" t="s">
        <v>202</v>
      </c>
      <c r="AB177" t="s">
        <v>2082</v>
      </c>
      <c r="AD177" t="s">
        <v>310</v>
      </c>
      <c r="AE177">
        <v>4763</v>
      </c>
      <c r="AF177" t="s">
        <v>355</v>
      </c>
      <c r="AG177" t="s">
        <v>232</v>
      </c>
      <c r="AH177" t="s">
        <v>466</v>
      </c>
      <c r="AI177">
        <v>434883.62790700002</v>
      </c>
      <c r="AJ177">
        <v>561000</v>
      </c>
      <c r="AK177">
        <v>29</v>
      </c>
      <c r="AL177">
        <v>10000</v>
      </c>
      <c r="AM177">
        <v>0</v>
      </c>
      <c r="AN177">
        <v>0</v>
      </c>
      <c r="AO177">
        <v>0</v>
      </c>
      <c r="AP177">
        <v>10000</v>
      </c>
      <c r="AQ177">
        <v>15000</v>
      </c>
      <c r="AR177">
        <v>0</v>
      </c>
      <c r="AS177">
        <v>0</v>
      </c>
      <c r="AT177">
        <v>0</v>
      </c>
      <c r="AU177">
        <v>0</v>
      </c>
      <c r="AV177">
        <v>5000</v>
      </c>
      <c r="AW177">
        <v>0</v>
      </c>
      <c r="AX177">
        <v>0</v>
      </c>
      <c r="AY177">
        <v>40000</v>
      </c>
      <c r="AZ177">
        <v>521000</v>
      </c>
      <c r="BA177">
        <v>0</v>
      </c>
      <c r="BB177">
        <v>0</v>
      </c>
      <c r="BC177">
        <v>0</v>
      </c>
      <c r="BD177">
        <v>53351</v>
      </c>
      <c r="BE177" t="s">
        <v>208</v>
      </c>
      <c r="BF177">
        <v>0</v>
      </c>
      <c r="BG177">
        <v>0</v>
      </c>
      <c r="BH177" t="s">
        <v>209</v>
      </c>
      <c r="BI177">
        <v>25000</v>
      </c>
      <c r="BJ177">
        <v>885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600236</v>
      </c>
      <c r="BY177">
        <v>0</v>
      </c>
      <c r="BZ177">
        <v>55939</v>
      </c>
      <c r="CA177">
        <v>0</v>
      </c>
      <c r="CB177">
        <v>0</v>
      </c>
      <c r="CC177">
        <v>0</v>
      </c>
      <c r="CD177">
        <v>0</v>
      </c>
      <c r="CE177">
        <v>55939</v>
      </c>
      <c r="CF177">
        <v>0</v>
      </c>
      <c r="CG177">
        <v>0</v>
      </c>
      <c r="CH177">
        <v>562000</v>
      </c>
      <c r="CJ177" t="s">
        <v>210</v>
      </c>
      <c r="CL177" t="s">
        <v>211</v>
      </c>
      <c r="CM177">
        <v>165000</v>
      </c>
      <c r="CN177">
        <v>181000</v>
      </c>
      <c r="CO177">
        <v>0</v>
      </c>
      <c r="CP177">
        <v>-16000</v>
      </c>
      <c r="CQ177" t="s">
        <v>2083</v>
      </c>
      <c r="CT177" t="s">
        <v>1878</v>
      </c>
      <c r="CU177">
        <v>-1703</v>
      </c>
      <c r="CV177" t="s">
        <v>2084</v>
      </c>
      <c r="CW177" t="s">
        <v>2085</v>
      </c>
      <c r="CX177" t="s">
        <v>1881</v>
      </c>
      <c r="CY177" t="s">
        <v>1882</v>
      </c>
      <c r="CZ177" t="s">
        <v>217</v>
      </c>
      <c r="DB177" t="s">
        <v>2086</v>
      </c>
      <c r="DD177" t="s">
        <v>2087</v>
      </c>
      <c r="DF177" t="s">
        <v>220</v>
      </c>
      <c r="DG177">
        <v>451551</v>
      </c>
      <c r="DL177">
        <v>0</v>
      </c>
      <c r="DN177">
        <v>0</v>
      </c>
      <c r="DP177" t="s">
        <v>2088</v>
      </c>
      <c r="DQ177">
        <v>4245871</v>
      </c>
      <c r="DR177" t="s">
        <v>223</v>
      </c>
      <c r="DS177">
        <v>0</v>
      </c>
      <c r="DV177">
        <v>0</v>
      </c>
      <c r="EQ177" t="s">
        <v>2089</v>
      </c>
      <c r="ER177" s="1">
        <v>45407</v>
      </c>
      <c r="ES177">
        <v>3000</v>
      </c>
      <c r="ET177">
        <v>404981.86</v>
      </c>
      <c r="EU177">
        <v>5426.4</v>
      </c>
      <c r="EV177">
        <v>249601</v>
      </c>
      <c r="EW177" t="s">
        <v>2090</v>
      </c>
      <c r="EX177">
        <v>0</v>
      </c>
      <c r="EY177" t="s">
        <v>226</v>
      </c>
      <c r="EZ177" t="s">
        <v>202</v>
      </c>
      <c r="FA177" t="s">
        <v>226</v>
      </c>
      <c r="FB177" t="s">
        <v>202</v>
      </c>
      <c r="FC177" t="s">
        <v>202</v>
      </c>
      <c r="FD177" t="s">
        <v>202</v>
      </c>
      <c r="FE177" t="s">
        <v>202</v>
      </c>
      <c r="FF177" t="s">
        <v>202</v>
      </c>
      <c r="FG177" t="s">
        <v>202</v>
      </c>
      <c r="FH177" t="s">
        <v>202</v>
      </c>
      <c r="FI177" t="s">
        <v>202</v>
      </c>
      <c r="FJ177" t="s">
        <v>202</v>
      </c>
      <c r="FK177" t="s">
        <v>202</v>
      </c>
      <c r="FL177" t="s">
        <v>202</v>
      </c>
      <c r="FM177" t="s">
        <v>202</v>
      </c>
      <c r="FN177" t="s">
        <v>202</v>
      </c>
      <c r="FO177">
        <v>1703</v>
      </c>
      <c r="FP177">
        <v>-1703</v>
      </c>
      <c r="FQ177">
        <v>6.29</v>
      </c>
      <c r="FR177">
        <v>4763</v>
      </c>
      <c r="FS177">
        <v>0</v>
      </c>
      <c r="FT177">
        <v>0</v>
      </c>
      <c r="FW177">
        <v>0</v>
      </c>
      <c r="FX177">
        <v>0</v>
      </c>
      <c r="FY177">
        <v>0</v>
      </c>
      <c r="GA177">
        <v>-885</v>
      </c>
    </row>
    <row r="178" spans="1:183" x14ac:dyDescent="0.3">
      <c r="A178">
        <v>11061</v>
      </c>
      <c r="B178">
        <v>232</v>
      </c>
      <c r="C178" t="s">
        <v>2078</v>
      </c>
      <c r="D178" t="s">
        <v>2078</v>
      </c>
      <c r="E178" t="s">
        <v>2091</v>
      </c>
      <c r="F178">
        <v>2457088582</v>
      </c>
      <c r="G178">
        <v>2457088582</v>
      </c>
      <c r="H178" t="s">
        <v>2092</v>
      </c>
      <c r="I178" t="s">
        <v>198</v>
      </c>
      <c r="J178" t="s">
        <v>199</v>
      </c>
      <c r="L178" t="s">
        <v>393</v>
      </c>
      <c r="O178">
        <v>7869006888</v>
      </c>
      <c r="P178" t="s">
        <v>2093</v>
      </c>
      <c r="Q178" s="1">
        <v>45446</v>
      </c>
      <c r="R178" s="1">
        <v>45446</v>
      </c>
      <c r="S178" s="1">
        <v>45446</v>
      </c>
      <c r="U178" t="s">
        <v>2093</v>
      </c>
      <c r="W178" t="s">
        <v>202</v>
      </c>
      <c r="AB178" t="s">
        <v>2094</v>
      </c>
      <c r="AD178" t="s">
        <v>310</v>
      </c>
      <c r="AE178">
        <v>4765</v>
      </c>
      <c r="AF178" t="s">
        <v>367</v>
      </c>
      <c r="AG178" t="s">
        <v>232</v>
      </c>
      <c r="AH178" t="s">
        <v>207</v>
      </c>
      <c r="AI178">
        <v>440309.992248</v>
      </c>
      <c r="AJ178">
        <v>568000</v>
      </c>
      <c r="AK178">
        <v>29</v>
      </c>
      <c r="AL178">
        <v>10000</v>
      </c>
      <c r="AM178">
        <v>0</v>
      </c>
      <c r="AN178">
        <v>0</v>
      </c>
      <c r="AO178">
        <v>0</v>
      </c>
      <c r="AP178">
        <v>0</v>
      </c>
      <c r="AQ178">
        <v>15000</v>
      </c>
      <c r="AR178">
        <v>0</v>
      </c>
      <c r="AS178">
        <v>0</v>
      </c>
      <c r="AT178">
        <v>0</v>
      </c>
      <c r="AU178">
        <v>0</v>
      </c>
      <c r="AV178">
        <v>9926</v>
      </c>
      <c r="AW178">
        <v>0</v>
      </c>
      <c r="AX178">
        <v>0</v>
      </c>
      <c r="AY178">
        <v>34926</v>
      </c>
      <c r="AZ178">
        <v>533074</v>
      </c>
      <c r="BA178">
        <v>3280</v>
      </c>
      <c r="BB178">
        <v>0</v>
      </c>
      <c r="BC178">
        <v>0</v>
      </c>
      <c r="BD178">
        <v>53911</v>
      </c>
      <c r="BE178" t="s">
        <v>234</v>
      </c>
      <c r="BF178">
        <v>8850</v>
      </c>
      <c r="BG178">
        <v>0</v>
      </c>
      <c r="BH178" t="s">
        <v>209</v>
      </c>
      <c r="BI178">
        <v>25000</v>
      </c>
      <c r="BJ178">
        <v>885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625000</v>
      </c>
      <c r="BY178">
        <v>0</v>
      </c>
      <c r="BZ178">
        <v>0</v>
      </c>
      <c r="CA178">
        <v>0</v>
      </c>
      <c r="CB178">
        <v>630000</v>
      </c>
      <c r="CC178">
        <v>0</v>
      </c>
      <c r="CD178">
        <v>0</v>
      </c>
      <c r="CE178">
        <v>630000</v>
      </c>
      <c r="CF178">
        <v>0</v>
      </c>
      <c r="CG178">
        <v>0</v>
      </c>
      <c r="CH178">
        <v>630000</v>
      </c>
      <c r="CJ178" t="s">
        <v>235</v>
      </c>
      <c r="CL178" t="s">
        <v>236</v>
      </c>
      <c r="CM178">
        <v>0</v>
      </c>
      <c r="CN178">
        <v>0</v>
      </c>
      <c r="CO178">
        <v>0</v>
      </c>
      <c r="CP178">
        <v>0</v>
      </c>
      <c r="CU178">
        <v>-635000</v>
      </c>
      <c r="CV178" t="s">
        <v>1881</v>
      </c>
      <c r="CW178" t="s">
        <v>1882</v>
      </c>
      <c r="CX178" t="s">
        <v>1881</v>
      </c>
      <c r="CY178" t="s">
        <v>1882</v>
      </c>
      <c r="CZ178" t="s">
        <v>217</v>
      </c>
      <c r="DB178" t="s">
        <v>2095</v>
      </c>
      <c r="DD178" t="s">
        <v>2096</v>
      </c>
      <c r="DF178" t="s">
        <v>220</v>
      </c>
      <c r="DG178">
        <v>451551</v>
      </c>
      <c r="DL178">
        <v>0</v>
      </c>
      <c r="DN178">
        <v>0</v>
      </c>
      <c r="DP178" t="s">
        <v>2097</v>
      </c>
      <c r="DQ178">
        <v>4260320</v>
      </c>
      <c r="DR178" t="s">
        <v>223</v>
      </c>
      <c r="DS178">
        <v>8850</v>
      </c>
      <c r="DT178" s="1">
        <v>45446</v>
      </c>
      <c r="DU178" t="s">
        <v>2098</v>
      </c>
      <c r="DV178">
        <v>0</v>
      </c>
      <c r="DW178">
        <v>0.97</v>
      </c>
      <c r="DX178">
        <v>6111</v>
      </c>
      <c r="DY178">
        <v>1099.98</v>
      </c>
      <c r="DZ178">
        <v>7210.98</v>
      </c>
      <c r="EC178">
        <v>0</v>
      </c>
      <c r="EQ178" t="s">
        <v>2099</v>
      </c>
      <c r="ER178" s="1">
        <v>45433</v>
      </c>
      <c r="ES178">
        <v>3000</v>
      </c>
      <c r="ET178">
        <v>410408.86</v>
      </c>
      <c r="EU178">
        <v>5426.4</v>
      </c>
      <c r="EV178">
        <v>250020</v>
      </c>
      <c r="EW178" t="s">
        <v>2100</v>
      </c>
      <c r="EX178">
        <v>0</v>
      </c>
      <c r="EY178" t="s">
        <v>226</v>
      </c>
      <c r="EZ178" t="s">
        <v>226</v>
      </c>
      <c r="FA178" t="s">
        <v>226</v>
      </c>
      <c r="FB178" t="s">
        <v>202</v>
      </c>
      <c r="FC178" t="s">
        <v>202</v>
      </c>
      <c r="FD178" t="s">
        <v>202</v>
      </c>
      <c r="FE178" t="s">
        <v>202</v>
      </c>
      <c r="FF178" t="s">
        <v>202</v>
      </c>
      <c r="FG178" t="s">
        <v>202</v>
      </c>
      <c r="FH178" t="s">
        <v>202</v>
      </c>
      <c r="FI178" t="s">
        <v>202</v>
      </c>
      <c r="FJ178" t="s">
        <v>202</v>
      </c>
      <c r="FK178" t="s">
        <v>202</v>
      </c>
      <c r="FL178" t="s">
        <v>202</v>
      </c>
      <c r="FM178" t="s">
        <v>202</v>
      </c>
      <c r="FN178" t="s">
        <v>202</v>
      </c>
      <c r="FO178">
        <v>0</v>
      </c>
      <c r="FP178">
        <v>3280</v>
      </c>
      <c r="FQ178">
        <v>0</v>
      </c>
      <c r="FR178">
        <v>4765</v>
      </c>
      <c r="FS178">
        <v>0</v>
      </c>
      <c r="FT178">
        <v>0</v>
      </c>
      <c r="FW178">
        <v>0</v>
      </c>
      <c r="FX178">
        <v>0</v>
      </c>
      <c r="FY178">
        <v>0</v>
      </c>
      <c r="GA178">
        <v>-4165</v>
      </c>
    </row>
    <row r="179" spans="1:183" x14ac:dyDescent="0.3">
      <c r="A179">
        <v>11112</v>
      </c>
      <c r="B179">
        <v>233</v>
      </c>
      <c r="C179" t="s">
        <v>2078</v>
      </c>
      <c r="D179" t="s">
        <v>2078</v>
      </c>
      <c r="E179" t="s">
        <v>2101</v>
      </c>
      <c r="F179">
        <v>2457140749</v>
      </c>
      <c r="G179">
        <v>2457140749</v>
      </c>
      <c r="H179" t="s">
        <v>2102</v>
      </c>
      <c r="I179" t="s">
        <v>198</v>
      </c>
      <c r="J179" t="s">
        <v>199</v>
      </c>
      <c r="L179" t="s">
        <v>393</v>
      </c>
      <c r="O179">
        <v>8790708455</v>
      </c>
      <c r="P179" t="s">
        <v>2103</v>
      </c>
      <c r="Q179" s="1">
        <v>45453</v>
      </c>
      <c r="R179" s="1">
        <v>45453</v>
      </c>
      <c r="S179" s="1">
        <v>45452</v>
      </c>
      <c r="U179" t="s">
        <v>2103</v>
      </c>
      <c r="W179" t="s">
        <v>202</v>
      </c>
      <c r="AB179" t="s">
        <v>2104</v>
      </c>
      <c r="AD179" t="s">
        <v>310</v>
      </c>
      <c r="AE179">
        <v>4763</v>
      </c>
      <c r="AF179" t="s">
        <v>355</v>
      </c>
      <c r="AG179" t="s">
        <v>232</v>
      </c>
      <c r="AH179" t="s">
        <v>356</v>
      </c>
      <c r="AI179">
        <v>434883.62790700002</v>
      </c>
      <c r="AJ179">
        <v>561000</v>
      </c>
      <c r="AK179">
        <v>29</v>
      </c>
      <c r="AL179">
        <v>10000</v>
      </c>
      <c r="AM179">
        <v>0</v>
      </c>
      <c r="AN179">
        <v>0</v>
      </c>
      <c r="AO179">
        <v>3100</v>
      </c>
      <c r="AP179">
        <v>0</v>
      </c>
      <c r="AQ179">
        <v>15000</v>
      </c>
      <c r="AR179">
        <v>0</v>
      </c>
      <c r="AS179">
        <v>0</v>
      </c>
      <c r="AT179">
        <v>0</v>
      </c>
      <c r="AU179">
        <v>0</v>
      </c>
      <c r="AV179">
        <v>12000</v>
      </c>
      <c r="AW179">
        <v>0</v>
      </c>
      <c r="AX179">
        <v>0</v>
      </c>
      <c r="AY179">
        <v>40100</v>
      </c>
      <c r="AZ179">
        <v>520900</v>
      </c>
      <c r="BA179">
        <v>24500</v>
      </c>
      <c r="BB179">
        <v>0</v>
      </c>
      <c r="BC179">
        <v>0</v>
      </c>
      <c r="BD179">
        <v>53351</v>
      </c>
      <c r="BE179" t="s">
        <v>208</v>
      </c>
      <c r="BF179">
        <v>0</v>
      </c>
      <c r="BG179">
        <v>0</v>
      </c>
      <c r="BH179" t="s">
        <v>209</v>
      </c>
      <c r="BI179">
        <v>25000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623751</v>
      </c>
      <c r="BY179">
        <v>0</v>
      </c>
      <c r="BZ179">
        <v>38151</v>
      </c>
      <c r="CA179">
        <v>0</v>
      </c>
      <c r="CB179">
        <v>0</v>
      </c>
      <c r="CC179">
        <v>0</v>
      </c>
      <c r="CD179">
        <v>0</v>
      </c>
      <c r="CE179">
        <v>38151</v>
      </c>
      <c r="CF179">
        <v>0</v>
      </c>
      <c r="CG179">
        <v>0</v>
      </c>
      <c r="CH179">
        <v>550600</v>
      </c>
      <c r="CJ179" t="s">
        <v>210</v>
      </c>
      <c r="CL179" t="s">
        <v>211</v>
      </c>
      <c r="CM179">
        <v>0</v>
      </c>
      <c r="CN179">
        <v>0</v>
      </c>
      <c r="CO179">
        <v>0</v>
      </c>
      <c r="CP179">
        <v>0</v>
      </c>
      <c r="CU179">
        <v>35000</v>
      </c>
      <c r="CV179" t="s">
        <v>1879</v>
      </c>
      <c r="CW179" t="s">
        <v>1880</v>
      </c>
      <c r="CX179" t="s">
        <v>1881</v>
      </c>
      <c r="CY179" t="s">
        <v>1882</v>
      </c>
      <c r="CZ179" t="s">
        <v>217</v>
      </c>
      <c r="DB179" t="s">
        <v>2105</v>
      </c>
      <c r="DD179" t="s">
        <v>2106</v>
      </c>
      <c r="DF179" t="s">
        <v>220</v>
      </c>
      <c r="DG179">
        <v>451551</v>
      </c>
      <c r="DL179">
        <v>0</v>
      </c>
      <c r="DN179">
        <v>0</v>
      </c>
      <c r="DP179" t="s">
        <v>2107</v>
      </c>
      <c r="DQ179">
        <v>4249446</v>
      </c>
      <c r="DR179" t="s">
        <v>223</v>
      </c>
      <c r="DS179">
        <v>0</v>
      </c>
      <c r="DV179">
        <v>0</v>
      </c>
      <c r="DW179">
        <v>1.5</v>
      </c>
      <c r="DX179">
        <v>8259</v>
      </c>
      <c r="DY179">
        <v>1486.62</v>
      </c>
      <c r="DZ179">
        <v>9745.6200000000008</v>
      </c>
      <c r="EC179">
        <v>0</v>
      </c>
      <c r="EQ179" t="s">
        <v>2108</v>
      </c>
      <c r="ER179" s="1">
        <v>45411</v>
      </c>
      <c r="ES179">
        <v>3000</v>
      </c>
      <c r="ET179">
        <v>404981.86</v>
      </c>
      <c r="EU179">
        <v>5426.4</v>
      </c>
      <c r="EV179">
        <v>250360</v>
      </c>
      <c r="EW179" t="s">
        <v>2109</v>
      </c>
      <c r="EX179">
        <v>0</v>
      </c>
      <c r="EY179" t="s">
        <v>226</v>
      </c>
      <c r="EZ179" t="s">
        <v>202</v>
      </c>
      <c r="FA179" t="s">
        <v>226</v>
      </c>
      <c r="FB179" t="s">
        <v>202</v>
      </c>
      <c r="FC179" t="s">
        <v>202</v>
      </c>
      <c r="FD179" t="s">
        <v>202</v>
      </c>
      <c r="FE179" t="s">
        <v>202</v>
      </c>
      <c r="FF179" t="s">
        <v>202</v>
      </c>
      <c r="FG179" t="s">
        <v>202</v>
      </c>
      <c r="FH179" t="s">
        <v>202</v>
      </c>
      <c r="FI179" t="s">
        <v>202</v>
      </c>
      <c r="FJ179" t="s">
        <v>202</v>
      </c>
      <c r="FK179" t="s">
        <v>202</v>
      </c>
      <c r="FL179" t="s">
        <v>202</v>
      </c>
      <c r="FM179" t="s">
        <v>202</v>
      </c>
      <c r="FN179" t="s">
        <v>202</v>
      </c>
      <c r="FO179">
        <v>24001</v>
      </c>
      <c r="FP179">
        <v>499</v>
      </c>
      <c r="FQ179">
        <v>0</v>
      </c>
      <c r="FR179">
        <v>4763</v>
      </c>
      <c r="FS179">
        <v>0</v>
      </c>
      <c r="FT179">
        <v>0</v>
      </c>
      <c r="FW179">
        <v>0</v>
      </c>
      <c r="FX179">
        <v>0</v>
      </c>
      <c r="FY179">
        <v>0</v>
      </c>
      <c r="GA179">
        <v>34460</v>
      </c>
    </row>
    <row r="180" spans="1:183" x14ac:dyDescent="0.3">
      <c r="A180">
        <v>11120</v>
      </c>
      <c r="B180">
        <v>234</v>
      </c>
      <c r="C180" t="s">
        <v>2078</v>
      </c>
      <c r="D180" t="s">
        <v>2078</v>
      </c>
      <c r="E180" t="s">
        <v>2110</v>
      </c>
      <c r="F180">
        <v>2457122166</v>
      </c>
      <c r="G180">
        <v>2457122166</v>
      </c>
      <c r="H180" t="s">
        <v>2111</v>
      </c>
      <c r="I180" t="s">
        <v>198</v>
      </c>
      <c r="J180" t="s">
        <v>199</v>
      </c>
      <c r="L180" t="s">
        <v>393</v>
      </c>
      <c r="O180">
        <v>8770313387</v>
      </c>
      <c r="P180" t="s">
        <v>2112</v>
      </c>
      <c r="Q180" s="1">
        <v>45455</v>
      </c>
      <c r="R180" s="1">
        <v>45455</v>
      </c>
      <c r="S180" s="1">
        <v>45454</v>
      </c>
      <c r="U180" t="s">
        <v>2112</v>
      </c>
      <c r="W180" t="s">
        <v>202</v>
      </c>
      <c r="AB180" t="s">
        <v>2113</v>
      </c>
      <c r="AD180" t="s">
        <v>204</v>
      </c>
      <c r="AE180">
        <v>4687</v>
      </c>
      <c r="AF180" t="s">
        <v>263</v>
      </c>
      <c r="AG180" t="s">
        <v>232</v>
      </c>
      <c r="AH180" t="s">
        <v>207</v>
      </c>
      <c r="AI180">
        <v>464728.68217099999</v>
      </c>
      <c r="AJ180">
        <v>599500</v>
      </c>
      <c r="AK180">
        <v>29</v>
      </c>
      <c r="AL180">
        <v>10000</v>
      </c>
      <c r="AM180">
        <v>0</v>
      </c>
      <c r="AN180">
        <v>0</v>
      </c>
      <c r="AO180">
        <v>2100</v>
      </c>
      <c r="AP180">
        <v>0</v>
      </c>
      <c r="AQ180">
        <v>25000</v>
      </c>
      <c r="AR180">
        <v>0</v>
      </c>
      <c r="AS180">
        <v>0</v>
      </c>
      <c r="AT180">
        <v>0</v>
      </c>
      <c r="AU180">
        <v>0</v>
      </c>
      <c r="AV180">
        <v>24901</v>
      </c>
      <c r="AW180">
        <v>0</v>
      </c>
      <c r="AX180">
        <v>0</v>
      </c>
      <c r="AY180">
        <v>62001</v>
      </c>
      <c r="AZ180">
        <v>537499</v>
      </c>
      <c r="BA180">
        <v>32970</v>
      </c>
      <c r="BB180">
        <v>0</v>
      </c>
      <c r="BC180">
        <v>0</v>
      </c>
      <c r="BD180">
        <v>56531</v>
      </c>
      <c r="BE180" t="s">
        <v>208</v>
      </c>
      <c r="BF180">
        <v>0</v>
      </c>
      <c r="BG180">
        <v>0</v>
      </c>
      <c r="BH180" t="s">
        <v>209</v>
      </c>
      <c r="BI180">
        <v>18003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645003</v>
      </c>
      <c r="BY180">
        <v>0</v>
      </c>
      <c r="BZ180">
        <v>5000</v>
      </c>
      <c r="CA180">
        <v>0</v>
      </c>
      <c r="CB180">
        <v>640000</v>
      </c>
      <c r="CC180">
        <v>0</v>
      </c>
      <c r="CD180">
        <v>0</v>
      </c>
      <c r="CE180">
        <v>645000</v>
      </c>
      <c r="CF180">
        <v>0</v>
      </c>
      <c r="CG180">
        <v>0</v>
      </c>
      <c r="CH180">
        <v>300000</v>
      </c>
      <c r="CJ180" t="s">
        <v>406</v>
      </c>
      <c r="CL180" t="s">
        <v>236</v>
      </c>
      <c r="CM180">
        <v>0</v>
      </c>
      <c r="CN180">
        <v>0</v>
      </c>
      <c r="CO180">
        <v>0</v>
      </c>
      <c r="CP180">
        <v>0</v>
      </c>
      <c r="CU180">
        <v>-299997</v>
      </c>
      <c r="CV180">
        <v>1741</v>
      </c>
      <c r="CW180" t="s">
        <v>2114</v>
      </c>
      <c r="CX180" t="s">
        <v>1881</v>
      </c>
      <c r="CY180" t="s">
        <v>1882</v>
      </c>
      <c r="CZ180" t="s">
        <v>217</v>
      </c>
      <c r="DB180" t="s">
        <v>2115</v>
      </c>
      <c r="DD180" t="s">
        <v>2116</v>
      </c>
      <c r="DF180" t="s">
        <v>220</v>
      </c>
      <c r="DG180">
        <v>451551</v>
      </c>
      <c r="DL180">
        <v>0</v>
      </c>
      <c r="DN180">
        <v>0</v>
      </c>
      <c r="DP180" t="s">
        <v>2117</v>
      </c>
      <c r="DQ180" t="s">
        <v>2118</v>
      </c>
      <c r="DR180" t="s">
        <v>223</v>
      </c>
      <c r="DS180">
        <v>0</v>
      </c>
      <c r="DV180">
        <v>0</v>
      </c>
      <c r="DW180">
        <v>1.27</v>
      </c>
      <c r="DX180">
        <v>3810</v>
      </c>
      <c r="DY180">
        <v>685.8</v>
      </c>
      <c r="DZ180">
        <v>4495.8</v>
      </c>
      <c r="EC180">
        <v>0</v>
      </c>
      <c r="EQ180" t="s">
        <v>2119</v>
      </c>
      <c r="ER180" s="1">
        <v>45449</v>
      </c>
      <c r="ES180">
        <v>4000</v>
      </c>
      <c r="ET180">
        <v>429977.29</v>
      </c>
      <c r="EU180">
        <v>5426.4</v>
      </c>
      <c r="EV180">
        <v>250317</v>
      </c>
      <c r="EW180" t="s">
        <v>2120</v>
      </c>
      <c r="EX180">
        <v>0</v>
      </c>
      <c r="EY180" t="s">
        <v>226</v>
      </c>
      <c r="EZ180" t="s">
        <v>202</v>
      </c>
      <c r="FA180" t="s">
        <v>226</v>
      </c>
      <c r="FB180" t="s">
        <v>202</v>
      </c>
      <c r="FC180" t="s">
        <v>202</v>
      </c>
      <c r="FD180" t="s">
        <v>202</v>
      </c>
      <c r="FE180" t="s">
        <v>202</v>
      </c>
      <c r="FF180" t="s">
        <v>202</v>
      </c>
      <c r="FG180" t="s">
        <v>202</v>
      </c>
      <c r="FH180" t="s">
        <v>202</v>
      </c>
      <c r="FI180" t="s">
        <v>202</v>
      </c>
      <c r="FJ180" t="s">
        <v>202</v>
      </c>
      <c r="FK180" t="s">
        <v>202</v>
      </c>
      <c r="FL180" t="s">
        <v>202</v>
      </c>
      <c r="FM180" t="s">
        <v>202</v>
      </c>
      <c r="FN180" t="s">
        <v>202</v>
      </c>
      <c r="FO180">
        <v>32967</v>
      </c>
      <c r="FP180">
        <v>3</v>
      </c>
      <c r="FQ180">
        <v>1835.42</v>
      </c>
      <c r="FR180">
        <v>4687</v>
      </c>
      <c r="FS180">
        <v>0</v>
      </c>
      <c r="FT180">
        <v>0</v>
      </c>
      <c r="FW180">
        <v>0</v>
      </c>
      <c r="FX180">
        <v>0</v>
      </c>
      <c r="FY180">
        <v>0</v>
      </c>
      <c r="GA180">
        <v>0</v>
      </c>
    </row>
    <row r="181" spans="1:183" x14ac:dyDescent="0.3">
      <c r="A181">
        <v>11157</v>
      </c>
      <c r="B181">
        <v>235</v>
      </c>
      <c r="C181" t="s">
        <v>2078</v>
      </c>
      <c r="D181" t="s">
        <v>2078</v>
      </c>
      <c r="E181" t="s">
        <v>2121</v>
      </c>
      <c r="F181">
        <v>2456435657</v>
      </c>
      <c r="G181">
        <v>2456435657</v>
      </c>
      <c r="H181" t="s">
        <v>2122</v>
      </c>
      <c r="I181" t="s">
        <v>198</v>
      </c>
      <c r="J181" t="s">
        <v>199</v>
      </c>
      <c r="L181" t="s">
        <v>260</v>
      </c>
      <c r="O181">
        <v>9669415181</v>
      </c>
      <c r="P181" t="s">
        <v>2123</v>
      </c>
      <c r="Q181" s="1">
        <v>45460</v>
      </c>
      <c r="R181" s="1">
        <v>45460</v>
      </c>
      <c r="S181" s="1">
        <v>45459</v>
      </c>
      <c r="U181" t="s">
        <v>2123</v>
      </c>
      <c r="W181" t="s">
        <v>202</v>
      </c>
      <c r="AB181">
        <v>806330</v>
      </c>
      <c r="AD181" t="s">
        <v>287</v>
      </c>
      <c r="AE181">
        <v>4725</v>
      </c>
      <c r="AF181" t="s">
        <v>405</v>
      </c>
      <c r="AG181" t="s">
        <v>232</v>
      </c>
      <c r="AH181" t="s">
        <v>250</v>
      </c>
      <c r="AI181">
        <v>677931.02069000003</v>
      </c>
      <c r="AJ181">
        <v>983000</v>
      </c>
      <c r="AK181">
        <v>45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5000</v>
      </c>
      <c r="AW181">
        <v>0</v>
      </c>
      <c r="AX181">
        <v>0</v>
      </c>
      <c r="AY181">
        <v>5000</v>
      </c>
      <c r="AZ181">
        <v>978000</v>
      </c>
      <c r="BA181">
        <v>37000</v>
      </c>
      <c r="BB181">
        <v>0</v>
      </c>
      <c r="BC181">
        <v>0</v>
      </c>
      <c r="BD181">
        <v>86811</v>
      </c>
      <c r="BE181" t="s">
        <v>208</v>
      </c>
      <c r="BF181">
        <v>0</v>
      </c>
      <c r="BG181">
        <v>0</v>
      </c>
      <c r="BH181" t="s">
        <v>209</v>
      </c>
      <c r="BI181">
        <v>35000</v>
      </c>
      <c r="BJ181">
        <v>885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1137696</v>
      </c>
      <c r="BY181">
        <v>0</v>
      </c>
      <c r="BZ181">
        <v>73696</v>
      </c>
      <c r="CA181">
        <v>0</v>
      </c>
      <c r="CB181">
        <v>0</v>
      </c>
      <c r="CC181">
        <v>0</v>
      </c>
      <c r="CD181">
        <v>0</v>
      </c>
      <c r="CE181">
        <v>73696</v>
      </c>
      <c r="CF181">
        <v>0</v>
      </c>
      <c r="CG181">
        <v>0</v>
      </c>
      <c r="CH181">
        <v>772000</v>
      </c>
      <c r="CJ181" t="s">
        <v>210</v>
      </c>
      <c r="CL181" t="s">
        <v>211</v>
      </c>
      <c r="CM181">
        <v>300000</v>
      </c>
      <c r="CN181">
        <v>88000</v>
      </c>
      <c r="CO181">
        <v>0</v>
      </c>
      <c r="CP181">
        <v>212000</v>
      </c>
      <c r="CQ181" t="s">
        <v>2124</v>
      </c>
      <c r="CT181" t="s">
        <v>1878</v>
      </c>
      <c r="CU181">
        <v>80000</v>
      </c>
      <c r="CV181" t="s">
        <v>1879</v>
      </c>
      <c r="CW181" t="s">
        <v>1880</v>
      </c>
      <c r="CX181" t="s">
        <v>1881</v>
      </c>
      <c r="CY181" t="s">
        <v>1882</v>
      </c>
      <c r="CZ181" t="s">
        <v>217</v>
      </c>
      <c r="DB181" t="s">
        <v>2125</v>
      </c>
      <c r="DD181" t="s">
        <v>2126</v>
      </c>
      <c r="DF181" t="s">
        <v>220</v>
      </c>
      <c r="DG181">
        <v>451660</v>
      </c>
      <c r="DL181">
        <v>0</v>
      </c>
      <c r="DN181">
        <v>0</v>
      </c>
      <c r="DP181" t="s">
        <v>2127</v>
      </c>
      <c r="DQ181">
        <v>9515515</v>
      </c>
      <c r="DR181" t="s">
        <v>223</v>
      </c>
      <c r="DS181">
        <v>0</v>
      </c>
      <c r="DV181">
        <v>0</v>
      </c>
      <c r="DW181">
        <v>1.5</v>
      </c>
      <c r="DX181">
        <v>11580</v>
      </c>
      <c r="DY181">
        <v>2084.4</v>
      </c>
      <c r="DZ181">
        <v>13664.4</v>
      </c>
      <c r="EC181">
        <v>0</v>
      </c>
      <c r="EQ181" t="s">
        <v>2128</v>
      </c>
      <c r="ER181" s="1">
        <v>45432</v>
      </c>
      <c r="ES181">
        <v>8500</v>
      </c>
      <c r="ET181">
        <v>632556.03</v>
      </c>
      <c r="EU181">
        <v>0</v>
      </c>
      <c r="EV181">
        <v>242172</v>
      </c>
      <c r="EW181" t="s">
        <v>2129</v>
      </c>
      <c r="EX181">
        <v>0</v>
      </c>
      <c r="EY181" t="s">
        <v>226</v>
      </c>
      <c r="EZ181" t="s">
        <v>202</v>
      </c>
      <c r="FA181" t="s">
        <v>226</v>
      </c>
      <c r="FB181" t="s">
        <v>202</v>
      </c>
      <c r="FC181" t="s">
        <v>202</v>
      </c>
      <c r="FD181" t="s">
        <v>202</v>
      </c>
      <c r="FE181" t="s">
        <v>202</v>
      </c>
      <c r="FF181" t="s">
        <v>202</v>
      </c>
      <c r="FG181" t="s">
        <v>202</v>
      </c>
      <c r="FH181" t="s">
        <v>202</v>
      </c>
      <c r="FI181" t="s">
        <v>202</v>
      </c>
      <c r="FJ181" t="s">
        <v>202</v>
      </c>
      <c r="FK181" t="s">
        <v>202</v>
      </c>
      <c r="FL181" t="s">
        <v>202</v>
      </c>
      <c r="FM181" t="s">
        <v>202</v>
      </c>
      <c r="FN181" t="s">
        <v>202</v>
      </c>
      <c r="FO181">
        <v>36998</v>
      </c>
      <c r="FP181">
        <v>2</v>
      </c>
      <c r="FQ181">
        <v>0</v>
      </c>
      <c r="FR181">
        <v>4725</v>
      </c>
      <c r="FS181">
        <v>0</v>
      </c>
      <c r="FT181">
        <v>0</v>
      </c>
      <c r="FW181">
        <v>0</v>
      </c>
      <c r="FX181">
        <v>0</v>
      </c>
      <c r="FY181">
        <v>0</v>
      </c>
      <c r="GA181">
        <v>79112</v>
      </c>
    </row>
    <row r="182" spans="1:183" x14ac:dyDescent="0.3">
      <c r="A182">
        <v>11215</v>
      </c>
      <c r="B182">
        <v>236</v>
      </c>
      <c r="C182" t="s">
        <v>2078</v>
      </c>
      <c r="D182" t="s">
        <v>2078</v>
      </c>
      <c r="E182" t="s">
        <v>2130</v>
      </c>
      <c r="F182">
        <v>2457320266</v>
      </c>
      <c r="G182">
        <v>2457320266</v>
      </c>
      <c r="H182" t="s">
        <v>2131</v>
      </c>
      <c r="I182" t="s">
        <v>198</v>
      </c>
      <c r="J182" t="s">
        <v>199</v>
      </c>
      <c r="L182" t="s">
        <v>393</v>
      </c>
      <c r="O182">
        <v>7879619479</v>
      </c>
      <c r="P182" t="s">
        <v>2132</v>
      </c>
      <c r="Q182" s="1">
        <v>45464</v>
      </c>
      <c r="R182" s="1">
        <v>45464</v>
      </c>
      <c r="S182" s="1">
        <v>45464</v>
      </c>
      <c r="U182" t="s">
        <v>2132</v>
      </c>
      <c r="W182" t="s">
        <v>202</v>
      </c>
      <c r="AB182" t="s">
        <v>2133</v>
      </c>
      <c r="AD182" t="s">
        <v>204</v>
      </c>
      <c r="AE182">
        <v>4687</v>
      </c>
      <c r="AF182" t="s">
        <v>263</v>
      </c>
      <c r="AG182" t="s">
        <v>232</v>
      </c>
      <c r="AH182" t="s">
        <v>207</v>
      </c>
      <c r="AI182">
        <v>464728.68217099999</v>
      </c>
      <c r="AJ182">
        <v>599500</v>
      </c>
      <c r="AK182">
        <v>29</v>
      </c>
      <c r="AL182">
        <v>10000</v>
      </c>
      <c r="AM182">
        <v>0</v>
      </c>
      <c r="AN182">
        <v>0</v>
      </c>
      <c r="AO182">
        <v>3100</v>
      </c>
      <c r="AP182">
        <v>0</v>
      </c>
      <c r="AQ182">
        <v>25000</v>
      </c>
      <c r="AR182">
        <v>0</v>
      </c>
      <c r="AS182">
        <v>0</v>
      </c>
      <c r="AT182">
        <v>0</v>
      </c>
      <c r="AU182">
        <v>0</v>
      </c>
      <c r="AV182">
        <v>25500</v>
      </c>
      <c r="AW182">
        <v>0</v>
      </c>
      <c r="AX182">
        <v>0</v>
      </c>
      <c r="AY182">
        <v>63600</v>
      </c>
      <c r="AZ182">
        <v>535900</v>
      </c>
      <c r="BA182">
        <v>30000</v>
      </c>
      <c r="BB182">
        <v>0</v>
      </c>
      <c r="BC182">
        <v>0</v>
      </c>
      <c r="BD182">
        <v>56531</v>
      </c>
      <c r="BE182" t="s">
        <v>208</v>
      </c>
      <c r="BF182">
        <v>0</v>
      </c>
      <c r="BG182">
        <v>0</v>
      </c>
      <c r="BH182" t="s">
        <v>209</v>
      </c>
      <c r="BI182">
        <v>19000</v>
      </c>
      <c r="BJ182">
        <v>885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642316</v>
      </c>
      <c r="BY182">
        <v>0</v>
      </c>
      <c r="BZ182">
        <v>117023</v>
      </c>
      <c r="CA182">
        <v>0</v>
      </c>
      <c r="CB182">
        <v>2000</v>
      </c>
      <c r="CC182">
        <v>2000</v>
      </c>
      <c r="CD182">
        <v>0</v>
      </c>
      <c r="CE182">
        <v>119023</v>
      </c>
      <c r="CF182">
        <v>0</v>
      </c>
      <c r="CG182">
        <v>0</v>
      </c>
      <c r="CH182">
        <v>523293</v>
      </c>
      <c r="CJ182" t="s">
        <v>299</v>
      </c>
      <c r="CL182" t="s">
        <v>211</v>
      </c>
      <c r="CM182">
        <v>0</v>
      </c>
      <c r="CN182">
        <v>0</v>
      </c>
      <c r="CO182">
        <v>0</v>
      </c>
      <c r="CP182">
        <v>0</v>
      </c>
      <c r="CU182">
        <v>0</v>
      </c>
      <c r="CV182" t="s">
        <v>1879</v>
      </c>
      <c r="CW182" t="s">
        <v>1880</v>
      </c>
      <c r="CX182" t="s">
        <v>1881</v>
      </c>
      <c r="CY182" t="s">
        <v>1882</v>
      </c>
      <c r="CZ182" t="s">
        <v>217</v>
      </c>
      <c r="DB182" t="s">
        <v>2134</v>
      </c>
      <c r="DD182" t="s">
        <v>2135</v>
      </c>
      <c r="DF182" t="s">
        <v>220</v>
      </c>
      <c r="DG182">
        <v>451551</v>
      </c>
      <c r="DL182">
        <v>0</v>
      </c>
      <c r="DN182">
        <v>0</v>
      </c>
      <c r="DP182" t="s">
        <v>2136</v>
      </c>
      <c r="DQ182" t="s">
        <v>2137</v>
      </c>
      <c r="DR182" t="s">
        <v>223</v>
      </c>
      <c r="DS182">
        <v>0</v>
      </c>
      <c r="DV182">
        <v>0</v>
      </c>
      <c r="DW182">
        <v>1.5</v>
      </c>
      <c r="DX182">
        <v>7849.4</v>
      </c>
      <c r="DY182">
        <v>1412.89</v>
      </c>
      <c r="DZ182">
        <v>9262.2900000000009</v>
      </c>
      <c r="EC182">
        <v>0</v>
      </c>
      <c r="EQ182" t="s">
        <v>2138</v>
      </c>
      <c r="ER182" s="1">
        <v>45397</v>
      </c>
      <c r="ES182">
        <v>4000</v>
      </c>
      <c r="ET182">
        <v>429977.29</v>
      </c>
      <c r="EU182">
        <v>0</v>
      </c>
      <c r="EV182">
        <v>252254</v>
      </c>
      <c r="EW182" t="s">
        <v>2139</v>
      </c>
      <c r="EX182">
        <v>0</v>
      </c>
      <c r="EY182" t="s">
        <v>226</v>
      </c>
      <c r="EZ182" t="s">
        <v>202</v>
      </c>
      <c r="FA182" t="s">
        <v>226</v>
      </c>
      <c r="FB182" t="s">
        <v>202</v>
      </c>
      <c r="FC182" t="s">
        <v>202</v>
      </c>
      <c r="FD182" t="s">
        <v>202</v>
      </c>
      <c r="FE182" t="s">
        <v>202</v>
      </c>
      <c r="FF182" t="s">
        <v>202</v>
      </c>
      <c r="FG182" t="s">
        <v>202</v>
      </c>
      <c r="FH182" t="s">
        <v>202</v>
      </c>
      <c r="FI182" t="s">
        <v>202</v>
      </c>
      <c r="FJ182" t="s">
        <v>202</v>
      </c>
      <c r="FK182" t="s">
        <v>202</v>
      </c>
      <c r="FL182" t="s">
        <v>202</v>
      </c>
      <c r="FM182" t="s">
        <v>202</v>
      </c>
      <c r="FN182" t="s">
        <v>202</v>
      </c>
      <c r="FO182">
        <v>29990</v>
      </c>
      <c r="FP182">
        <v>10</v>
      </c>
      <c r="FQ182">
        <v>0</v>
      </c>
      <c r="FR182">
        <v>4687</v>
      </c>
      <c r="FS182">
        <v>0</v>
      </c>
      <c r="FT182">
        <v>0</v>
      </c>
      <c r="FW182">
        <v>0</v>
      </c>
      <c r="FX182">
        <v>0</v>
      </c>
      <c r="FY182">
        <v>0</v>
      </c>
      <c r="GA182">
        <v>-885</v>
      </c>
    </row>
    <row r="183" spans="1:183" x14ac:dyDescent="0.3">
      <c r="A183">
        <v>11219</v>
      </c>
      <c r="B183">
        <v>237</v>
      </c>
      <c r="C183" t="s">
        <v>2078</v>
      </c>
      <c r="D183" t="s">
        <v>2078</v>
      </c>
      <c r="E183" t="s">
        <v>2140</v>
      </c>
      <c r="F183">
        <v>2457277706</v>
      </c>
      <c r="G183">
        <v>2457277706</v>
      </c>
      <c r="H183" t="s">
        <v>2141</v>
      </c>
      <c r="I183" t="s">
        <v>198</v>
      </c>
      <c r="J183" t="s">
        <v>199</v>
      </c>
      <c r="L183" t="s">
        <v>377</v>
      </c>
      <c r="O183">
        <v>8269643266</v>
      </c>
      <c r="P183" t="s">
        <v>2142</v>
      </c>
      <c r="Q183" s="1">
        <v>45467</v>
      </c>
      <c r="R183" s="1">
        <v>45467</v>
      </c>
      <c r="S183" s="1">
        <v>45466</v>
      </c>
      <c r="U183" t="s">
        <v>2142</v>
      </c>
      <c r="W183" t="s">
        <v>202</v>
      </c>
      <c r="AB183">
        <v>801932</v>
      </c>
      <c r="AD183" t="s">
        <v>287</v>
      </c>
      <c r="AE183">
        <v>4751</v>
      </c>
      <c r="AF183" t="s">
        <v>1648</v>
      </c>
      <c r="AG183" t="s">
        <v>206</v>
      </c>
      <c r="AH183" t="s">
        <v>1040</v>
      </c>
      <c r="AI183">
        <v>819310.33103400003</v>
      </c>
      <c r="AJ183">
        <v>1188000</v>
      </c>
      <c r="AK183">
        <v>45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1890</v>
      </c>
      <c r="AW183">
        <v>0</v>
      </c>
      <c r="AX183">
        <v>0</v>
      </c>
      <c r="AY183">
        <v>1890</v>
      </c>
      <c r="AZ183">
        <v>1186110</v>
      </c>
      <c r="BA183">
        <v>44990</v>
      </c>
      <c r="BB183">
        <v>0</v>
      </c>
      <c r="BC183">
        <v>0</v>
      </c>
      <c r="BD183">
        <v>126988</v>
      </c>
      <c r="BE183" t="s">
        <v>234</v>
      </c>
      <c r="BF183">
        <v>20190</v>
      </c>
      <c r="BG183">
        <v>0</v>
      </c>
      <c r="BH183" t="s">
        <v>209</v>
      </c>
      <c r="BI183">
        <v>36000</v>
      </c>
      <c r="BJ183">
        <v>0</v>
      </c>
      <c r="BK183">
        <v>0</v>
      </c>
      <c r="BL183">
        <v>0</v>
      </c>
      <c r="BM183">
        <v>0</v>
      </c>
      <c r="BN183">
        <v>11812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1426090</v>
      </c>
      <c r="BY183">
        <v>0</v>
      </c>
      <c r="BZ183">
        <v>57100</v>
      </c>
      <c r="CA183">
        <v>0</v>
      </c>
      <c r="CB183">
        <v>1353211</v>
      </c>
      <c r="CC183">
        <v>0</v>
      </c>
      <c r="CD183">
        <v>0</v>
      </c>
      <c r="CE183">
        <v>1410311</v>
      </c>
      <c r="CF183">
        <v>0</v>
      </c>
      <c r="CG183">
        <v>0</v>
      </c>
      <c r="CH183">
        <v>0</v>
      </c>
      <c r="CJ183" t="s">
        <v>2143</v>
      </c>
      <c r="CL183" t="s">
        <v>236</v>
      </c>
      <c r="CM183">
        <v>0</v>
      </c>
      <c r="CN183">
        <v>0</v>
      </c>
      <c r="CO183">
        <v>0</v>
      </c>
      <c r="CP183">
        <v>0</v>
      </c>
      <c r="CU183">
        <v>15779</v>
      </c>
      <c r="CV183" t="s">
        <v>1879</v>
      </c>
      <c r="CW183" t="s">
        <v>1880</v>
      </c>
      <c r="CX183" t="s">
        <v>1881</v>
      </c>
      <c r="CY183" t="s">
        <v>1882</v>
      </c>
      <c r="CZ183" t="s">
        <v>217</v>
      </c>
      <c r="DB183" t="s">
        <v>2144</v>
      </c>
      <c r="DD183" t="s">
        <v>2145</v>
      </c>
      <c r="DF183" t="s">
        <v>220</v>
      </c>
      <c r="DG183">
        <v>454001</v>
      </c>
      <c r="DL183">
        <v>0</v>
      </c>
      <c r="DN183">
        <v>0</v>
      </c>
      <c r="DP183" t="s">
        <v>2146</v>
      </c>
      <c r="DQ183">
        <v>9509321</v>
      </c>
      <c r="DR183" t="s">
        <v>223</v>
      </c>
      <c r="DS183">
        <v>20189.8</v>
      </c>
      <c r="DT183" s="1">
        <v>45467</v>
      </c>
      <c r="DU183" t="s">
        <v>2147</v>
      </c>
      <c r="DV183">
        <v>0</v>
      </c>
      <c r="EQ183" t="s">
        <v>2148</v>
      </c>
      <c r="ER183" s="1">
        <v>45423</v>
      </c>
      <c r="ES183">
        <v>8500</v>
      </c>
      <c r="ET183">
        <v>771935.03</v>
      </c>
      <c r="EU183">
        <v>0</v>
      </c>
      <c r="EV183">
        <v>251837</v>
      </c>
      <c r="EW183" t="s">
        <v>2149</v>
      </c>
      <c r="EX183">
        <v>0</v>
      </c>
      <c r="EY183" t="s">
        <v>226</v>
      </c>
      <c r="EZ183" t="s">
        <v>226</v>
      </c>
      <c r="FA183" t="s">
        <v>226</v>
      </c>
      <c r="FB183" t="s">
        <v>202</v>
      </c>
      <c r="FC183" t="s">
        <v>202</v>
      </c>
      <c r="FD183" t="s">
        <v>202</v>
      </c>
      <c r="FE183" t="s">
        <v>202</v>
      </c>
      <c r="FF183" t="s">
        <v>202</v>
      </c>
      <c r="FG183" t="s">
        <v>202</v>
      </c>
      <c r="FH183" t="s">
        <v>202</v>
      </c>
      <c r="FI183" t="s">
        <v>202</v>
      </c>
      <c r="FJ183" t="s">
        <v>202</v>
      </c>
      <c r="FK183" t="s">
        <v>202</v>
      </c>
      <c r="FL183" t="s">
        <v>202</v>
      </c>
      <c r="FM183" t="s">
        <v>202</v>
      </c>
      <c r="FN183" t="s">
        <v>202</v>
      </c>
      <c r="FO183">
        <v>44953</v>
      </c>
      <c r="FP183">
        <v>37</v>
      </c>
      <c r="FQ183">
        <v>0</v>
      </c>
      <c r="FR183">
        <v>4751</v>
      </c>
      <c r="FS183">
        <v>0</v>
      </c>
      <c r="FT183">
        <v>0</v>
      </c>
      <c r="FW183">
        <v>0</v>
      </c>
      <c r="FX183">
        <v>0</v>
      </c>
      <c r="FY183">
        <v>0</v>
      </c>
      <c r="GA183">
        <v>15741</v>
      </c>
    </row>
    <row r="184" spans="1:183" x14ac:dyDescent="0.3">
      <c r="A184">
        <v>11287</v>
      </c>
      <c r="B184">
        <v>238</v>
      </c>
      <c r="C184" t="s">
        <v>2078</v>
      </c>
      <c r="D184" t="s">
        <v>2078</v>
      </c>
      <c r="E184" t="s">
        <v>2150</v>
      </c>
      <c r="F184">
        <v>2456704931</v>
      </c>
      <c r="G184">
        <v>2456704931</v>
      </c>
      <c r="H184" t="s">
        <v>2151</v>
      </c>
      <c r="I184" t="s">
        <v>198</v>
      </c>
      <c r="J184" t="s">
        <v>199</v>
      </c>
      <c r="L184" t="s">
        <v>393</v>
      </c>
      <c r="O184">
        <v>7898141366</v>
      </c>
      <c r="P184" t="s">
        <v>2152</v>
      </c>
      <c r="Q184" s="1">
        <v>45470</v>
      </c>
      <c r="R184" s="1">
        <v>45470</v>
      </c>
      <c r="S184" s="1">
        <v>45472</v>
      </c>
      <c r="U184" t="s">
        <v>2152</v>
      </c>
      <c r="W184" t="s">
        <v>202</v>
      </c>
      <c r="AB184" t="s">
        <v>2153</v>
      </c>
      <c r="AD184" t="s">
        <v>310</v>
      </c>
      <c r="AE184">
        <v>4763</v>
      </c>
      <c r="AF184" t="s">
        <v>355</v>
      </c>
      <c r="AG184" t="s">
        <v>232</v>
      </c>
      <c r="AH184" t="s">
        <v>207</v>
      </c>
      <c r="AI184">
        <v>434883.62790700002</v>
      </c>
      <c r="AJ184">
        <v>561000</v>
      </c>
      <c r="AK184">
        <v>29</v>
      </c>
      <c r="AL184">
        <v>10000</v>
      </c>
      <c r="AM184">
        <v>0</v>
      </c>
      <c r="AN184">
        <v>0</v>
      </c>
      <c r="AO184">
        <v>3100</v>
      </c>
      <c r="AP184">
        <v>0</v>
      </c>
      <c r="AQ184">
        <v>15000</v>
      </c>
      <c r="AR184">
        <v>0</v>
      </c>
      <c r="AS184">
        <v>0</v>
      </c>
      <c r="AT184">
        <v>0</v>
      </c>
      <c r="AU184">
        <v>0</v>
      </c>
      <c r="AV184">
        <v>18000</v>
      </c>
      <c r="AW184">
        <v>0</v>
      </c>
      <c r="AX184">
        <v>0</v>
      </c>
      <c r="AY184">
        <v>46100</v>
      </c>
      <c r="AZ184">
        <v>514900</v>
      </c>
      <c r="BA184">
        <v>0</v>
      </c>
      <c r="BB184">
        <v>0</v>
      </c>
      <c r="BC184">
        <v>0</v>
      </c>
      <c r="BD184">
        <v>53351</v>
      </c>
      <c r="BE184" t="s">
        <v>208</v>
      </c>
      <c r="BF184">
        <v>0</v>
      </c>
      <c r="BG184">
        <v>0</v>
      </c>
      <c r="BH184" t="s">
        <v>209</v>
      </c>
      <c r="BI184">
        <v>25000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593251</v>
      </c>
      <c r="BY184">
        <v>0</v>
      </c>
      <c r="BZ184">
        <v>70000</v>
      </c>
      <c r="CA184">
        <v>0</v>
      </c>
      <c r="CB184">
        <v>523251</v>
      </c>
      <c r="CC184">
        <v>0</v>
      </c>
      <c r="CD184">
        <v>0</v>
      </c>
      <c r="CE184">
        <v>593251</v>
      </c>
      <c r="CF184">
        <v>0</v>
      </c>
      <c r="CG184">
        <v>0</v>
      </c>
      <c r="CH184">
        <v>0</v>
      </c>
      <c r="CJ184" t="s">
        <v>2154</v>
      </c>
      <c r="CL184" t="s">
        <v>236</v>
      </c>
      <c r="CM184">
        <v>0</v>
      </c>
      <c r="CN184">
        <v>0</v>
      </c>
      <c r="CO184">
        <v>0</v>
      </c>
      <c r="CP184">
        <v>0</v>
      </c>
      <c r="CU184">
        <v>0</v>
      </c>
      <c r="CV184" t="s">
        <v>2155</v>
      </c>
      <c r="CW184" t="s">
        <v>2156</v>
      </c>
      <c r="CX184" t="s">
        <v>1881</v>
      </c>
      <c r="CY184" t="s">
        <v>1882</v>
      </c>
      <c r="CZ184" t="s">
        <v>217</v>
      </c>
      <c r="DB184" t="s">
        <v>2157</v>
      </c>
      <c r="DD184" t="s">
        <v>2158</v>
      </c>
      <c r="DF184" t="s">
        <v>220</v>
      </c>
      <c r="DG184">
        <v>451551</v>
      </c>
      <c r="DL184">
        <v>0</v>
      </c>
      <c r="DN184">
        <v>0</v>
      </c>
      <c r="DP184" t="s">
        <v>2159</v>
      </c>
      <c r="DQ184">
        <v>4268782</v>
      </c>
      <c r="DR184" t="s">
        <v>223</v>
      </c>
      <c r="DS184">
        <v>0</v>
      </c>
      <c r="DV184">
        <v>0</v>
      </c>
      <c r="EQ184" t="s">
        <v>2160</v>
      </c>
      <c r="ER184" s="1">
        <v>45458</v>
      </c>
      <c r="ES184">
        <v>3000</v>
      </c>
      <c r="ET184">
        <v>404981.86</v>
      </c>
      <c r="EU184">
        <v>5426.4</v>
      </c>
      <c r="EV184">
        <v>253887</v>
      </c>
      <c r="EW184" t="s">
        <v>2161</v>
      </c>
      <c r="EX184">
        <v>0</v>
      </c>
      <c r="EY184" t="s">
        <v>226</v>
      </c>
      <c r="EZ184" t="s">
        <v>202</v>
      </c>
      <c r="FA184" t="s">
        <v>226</v>
      </c>
      <c r="FB184" t="s">
        <v>202</v>
      </c>
      <c r="FC184" t="s">
        <v>202</v>
      </c>
      <c r="FD184" t="s">
        <v>202</v>
      </c>
      <c r="FE184" t="s">
        <v>202</v>
      </c>
      <c r="FF184" t="s">
        <v>202</v>
      </c>
      <c r="FG184" t="s">
        <v>202</v>
      </c>
      <c r="FH184" t="s">
        <v>202</v>
      </c>
      <c r="FI184" t="s">
        <v>202</v>
      </c>
      <c r="FJ184" t="s">
        <v>202</v>
      </c>
      <c r="FK184" t="s">
        <v>202</v>
      </c>
      <c r="FL184" t="s">
        <v>202</v>
      </c>
      <c r="FM184" t="s">
        <v>202</v>
      </c>
      <c r="FN184" t="s">
        <v>202</v>
      </c>
      <c r="FO184">
        <v>0</v>
      </c>
      <c r="FP184">
        <v>0</v>
      </c>
      <c r="FQ184">
        <v>0</v>
      </c>
      <c r="FR184">
        <v>4763</v>
      </c>
      <c r="FS184">
        <v>0</v>
      </c>
      <c r="FT184">
        <v>0</v>
      </c>
      <c r="FW184">
        <v>0</v>
      </c>
      <c r="FX184">
        <v>0</v>
      </c>
      <c r="FY184">
        <v>0</v>
      </c>
      <c r="GA184">
        <v>0</v>
      </c>
    </row>
    <row r="185" spans="1:183" x14ac:dyDescent="0.3">
      <c r="A185">
        <v>11291</v>
      </c>
      <c r="B185">
        <v>239</v>
      </c>
      <c r="C185" t="s">
        <v>2078</v>
      </c>
      <c r="D185" t="s">
        <v>2078</v>
      </c>
      <c r="E185" t="s">
        <v>2162</v>
      </c>
      <c r="F185">
        <v>2457500007</v>
      </c>
      <c r="G185">
        <v>2457500007</v>
      </c>
      <c r="H185" t="s">
        <v>2163</v>
      </c>
      <c r="I185" t="s">
        <v>198</v>
      </c>
      <c r="J185" t="s">
        <v>199</v>
      </c>
      <c r="L185" t="s">
        <v>393</v>
      </c>
      <c r="O185">
        <v>9575011650</v>
      </c>
      <c r="P185" t="s">
        <v>2164</v>
      </c>
      <c r="Q185" s="1">
        <v>45473</v>
      </c>
      <c r="R185" s="1">
        <v>45473</v>
      </c>
      <c r="S185" s="1">
        <v>45472</v>
      </c>
      <c r="U185" t="s">
        <v>2164</v>
      </c>
      <c r="W185" t="s">
        <v>202</v>
      </c>
      <c r="AB185" t="s">
        <v>2165</v>
      </c>
      <c r="AD185" t="s">
        <v>310</v>
      </c>
      <c r="AE185">
        <v>4763</v>
      </c>
      <c r="AF185" t="s">
        <v>355</v>
      </c>
      <c r="AG185" t="s">
        <v>232</v>
      </c>
      <c r="AH185" t="s">
        <v>207</v>
      </c>
      <c r="AI185">
        <v>434883.62790700002</v>
      </c>
      <c r="AJ185">
        <v>561000</v>
      </c>
      <c r="AK185">
        <v>29</v>
      </c>
      <c r="AL185">
        <v>10000</v>
      </c>
      <c r="AM185">
        <v>0</v>
      </c>
      <c r="AN185">
        <v>0</v>
      </c>
      <c r="AO185">
        <v>3100</v>
      </c>
      <c r="AP185">
        <v>0</v>
      </c>
      <c r="AQ185">
        <v>15000</v>
      </c>
      <c r="AR185">
        <v>0</v>
      </c>
      <c r="AS185">
        <v>0</v>
      </c>
      <c r="AT185">
        <v>0</v>
      </c>
      <c r="AU185">
        <v>0</v>
      </c>
      <c r="AV185">
        <v>16450</v>
      </c>
      <c r="AW185">
        <v>0</v>
      </c>
      <c r="AX185">
        <v>0</v>
      </c>
      <c r="AY185">
        <v>44550</v>
      </c>
      <c r="AZ185">
        <v>516450</v>
      </c>
      <c r="BA185">
        <v>24000</v>
      </c>
      <c r="BB185">
        <v>0</v>
      </c>
      <c r="BC185">
        <v>0</v>
      </c>
      <c r="BD185">
        <v>53351</v>
      </c>
      <c r="BE185" t="s">
        <v>208</v>
      </c>
      <c r="BF185">
        <v>0</v>
      </c>
      <c r="BG185">
        <v>0</v>
      </c>
      <c r="BH185" t="s">
        <v>209</v>
      </c>
      <c r="BI185">
        <v>25000</v>
      </c>
      <c r="BJ185">
        <v>885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619686</v>
      </c>
      <c r="BY185">
        <v>0</v>
      </c>
      <c r="BZ185">
        <v>0</v>
      </c>
      <c r="CA185">
        <v>0</v>
      </c>
      <c r="CB185">
        <v>619686</v>
      </c>
      <c r="CC185">
        <v>0</v>
      </c>
      <c r="CD185">
        <v>0</v>
      </c>
      <c r="CE185">
        <v>619686</v>
      </c>
      <c r="CF185">
        <v>0</v>
      </c>
      <c r="CG185">
        <v>0</v>
      </c>
      <c r="CH185">
        <v>626484</v>
      </c>
      <c r="CJ185" t="s">
        <v>235</v>
      </c>
      <c r="CL185" t="s">
        <v>236</v>
      </c>
      <c r="CM185">
        <v>0</v>
      </c>
      <c r="CN185">
        <v>0</v>
      </c>
      <c r="CO185">
        <v>0</v>
      </c>
      <c r="CP185">
        <v>0</v>
      </c>
      <c r="CU185">
        <v>-626484</v>
      </c>
      <c r="CV185" t="s">
        <v>2084</v>
      </c>
      <c r="CW185" t="s">
        <v>2085</v>
      </c>
      <c r="CX185" t="s">
        <v>1881</v>
      </c>
      <c r="CY185" t="s">
        <v>1882</v>
      </c>
      <c r="CZ185" t="s">
        <v>217</v>
      </c>
      <c r="DB185" t="s">
        <v>2166</v>
      </c>
      <c r="DD185" t="s">
        <v>2167</v>
      </c>
      <c r="DF185" t="s">
        <v>220</v>
      </c>
      <c r="DG185">
        <v>451551</v>
      </c>
      <c r="DL185">
        <v>0</v>
      </c>
      <c r="DN185">
        <v>0</v>
      </c>
      <c r="DP185" t="s">
        <v>2168</v>
      </c>
      <c r="DQ185">
        <v>4268496</v>
      </c>
      <c r="DR185" t="s">
        <v>223</v>
      </c>
      <c r="DS185">
        <v>0</v>
      </c>
      <c r="DV185">
        <v>0</v>
      </c>
      <c r="DW185">
        <v>0.97</v>
      </c>
      <c r="DX185">
        <v>6076.89</v>
      </c>
      <c r="DY185">
        <v>1093.8399999999999</v>
      </c>
      <c r="DZ185">
        <v>7170.73</v>
      </c>
      <c r="EC185">
        <v>0</v>
      </c>
      <c r="EQ185" t="s">
        <v>2169</v>
      </c>
      <c r="ER185" s="1">
        <v>45458</v>
      </c>
      <c r="ES185">
        <v>3000</v>
      </c>
      <c r="ET185">
        <v>404981.86</v>
      </c>
      <c r="EU185">
        <v>5426.4</v>
      </c>
      <c r="EV185">
        <v>254628</v>
      </c>
      <c r="EW185" t="s">
        <v>2170</v>
      </c>
      <c r="EX185">
        <v>0</v>
      </c>
      <c r="EY185" t="s">
        <v>226</v>
      </c>
      <c r="EZ185" t="s">
        <v>202</v>
      </c>
      <c r="FA185" t="s">
        <v>226</v>
      </c>
      <c r="FB185" t="s">
        <v>202</v>
      </c>
      <c r="FC185" t="s">
        <v>202</v>
      </c>
      <c r="FD185" t="s">
        <v>202</v>
      </c>
      <c r="FE185" t="s">
        <v>202</v>
      </c>
      <c r="FF185" t="s">
        <v>202</v>
      </c>
      <c r="FG185" t="s">
        <v>202</v>
      </c>
      <c r="FH185" t="s">
        <v>202</v>
      </c>
      <c r="FI185" t="s">
        <v>202</v>
      </c>
      <c r="FJ185" t="s">
        <v>202</v>
      </c>
      <c r="FK185" t="s">
        <v>202</v>
      </c>
      <c r="FL185" t="s">
        <v>202</v>
      </c>
      <c r="FM185" t="s">
        <v>202</v>
      </c>
      <c r="FN185" t="s">
        <v>202</v>
      </c>
      <c r="FO185">
        <v>16762</v>
      </c>
      <c r="FP185">
        <v>7238</v>
      </c>
      <c r="FQ185">
        <v>0</v>
      </c>
      <c r="FR185">
        <v>4763</v>
      </c>
      <c r="FS185">
        <v>0</v>
      </c>
      <c r="FT185">
        <v>0</v>
      </c>
      <c r="FW185">
        <v>0</v>
      </c>
      <c r="FX185">
        <v>0</v>
      </c>
      <c r="FY185">
        <v>0</v>
      </c>
      <c r="GA185">
        <v>-8123</v>
      </c>
    </row>
    <row r="186" spans="1:183" x14ac:dyDescent="0.3">
      <c r="A186">
        <v>11295</v>
      </c>
      <c r="B186">
        <v>240</v>
      </c>
      <c r="C186" t="s">
        <v>2078</v>
      </c>
      <c r="D186" t="s">
        <v>2078</v>
      </c>
      <c r="E186" t="s">
        <v>2171</v>
      </c>
      <c r="F186">
        <v>2457260618</v>
      </c>
      <c r="G186">
        <v>2457260618</v>
      </c>
      <c r="H186" t="s">
        <v>2172</v>
      </c>
      <c r="I186" t="s">
        <v>198</v>
      </c>
      <c r="J186" t="s">
        <v>199</v>
      </c>
      <c r="L186" t="s">
        <v>377</v>
      </c>
      <c r="O186">
        <v>9669800387</v>
      </c>
      <c r="P186" t="s">
        <v>2173</v>
      </c>
      <c r="Q186" s="1">
        <v>45473</v>
      </c>
      <c r="R186" s="1">
        <v>45473</v>
      </c>
      <c r="S186" s="1">
        <v>45473</v>
      </c>
      <c r="U186" t="s">
        <v>2173</v>
      </c>
      <c r="W186" t="s">
        <v>202</v>
      </c>
      <c r="AB186" t="s">
        <v>2174</v>
      </c>
      <c r="AD186" t="s">
        <v>310</v>
      </c>
      <c r="AE186">
        <v>4763</v>
      </c>
      <c r="AF186" t="s">
        <v>355</v>
      </c>
      <c r="AG186" t="s">
        <v>232</v>
      </c>
      <c r="AH186" t="s">
        <v>466</v>
      </c>
      <c r="AI186">
        <v>434883.62790700002</v>
      </c>
      <c r="AJ186">
        <v>561000</v>
      </c>
      <c r="AK186">
        <v>29</v>
      </c>
      <c r="AL186">
        <v>10000</v>
      </c>
      <c r="AM186">
        <v>0</v>
      </c>
      <c r="AN186">
        <v>0</v>
      </c>
      <c r="AO186">
        <v>2100</v>
      </c>
      <c r="AP186">
        <v>0</v>
      </c>
      <c r="AQ186">
        <v>15000</v>
      </c>
      <c r="AR186">
        <v>0</v>
      </c>
      <c r="AS186">
        <v>0</v>
      </c>
      <c r="AT186">
        <v>0</v>
      </c>
      <c r="AU186">
        <v>0</v>
      </c>
      <c r="AV186">
        <v>17000</v>
      </c>
      <c r="AW186">
        <v>0</v>
      </c>
      <c r="AX186">
        <v>0</v>
      </c>
      <c r="AY186">
        <v>44100</v>
      </c>
      <c r="AZ186">
        <v>516900</v>
      </c>
      <c r="BA186">
        <v>26500</v>
      </c>
      <c r="BB186">
        <v>0</v>
      </c>
      <c r="BC186">
        <v>0</v>
      </c>
      <c r="BD186">
        <v>53351</v>
      </c>
      <c r="BE186" t="s">
        <v>208</v>
      </c>
      <c r="BF186">
        <v>0</v>
      </c>
      <c r="BG186">
        <v>0</v>
      </c>
      <c r="BH186" t="s">
        <v>209</v>
      </c>
      <c r="BI186">
        <v>25000</v>
      </c>
      <c r="BJ186">
        <v>885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622636</v>
      </c>
      <c r="BY186">
        <v>0</v>
      </c>
      <c r="BZ186">
        <v>5000</v>
      </c>
      <c r="CA186">
        <v>0</v>
      </c>
      <c r="CB186">
        <v>600000</v>
      </c>
      <c r="CC186">
        <v>0</v>
      </c>
      <c r="CD186">
        <v>0</v>
      </c>
      <c r="CE186">
        <v>605000</v>
      </c>
      <c r="CF186">
        <v>0</v>
      </c>
      <c r="CG186">
        <v>0</v>
      </c>
      <c r="CH186">
        <v>600000</v>
      </c>
      <c r="CJ186" t="s">
        <v>235</v>
      </c>
      <c r="CL186" t="s">
        <v>236</v>
      </c>
      <c r="CM186">
        <v>0</v>
      </c>
      <c r="CN186">
        <v>0</v>
      </c>
      <c r="CO186">
        <v>0</v>
      </c>
      <c r="CP186">
        <v>0</v>
      </c>
      <c r="CU186">
        <v>-582364</v>
      </c>
      <c r="CV186" t="s">
        <v>2084</v>
      </c>
      <c r="CW186" t="s">
        <v>2085</v>
      </c>
      <c r="CX186" t="s">
        <v>1881</v>
      </c>
      <c r="CY186" t="s">
        <v>1882</v>
      </c>
      <c r="CZ186" t="s">
        <v>217</v>
      </c>
      <c r="DB186" t="s">
        <v>2175</v>
      </c>
      <c r="DD186" t="s">
        <v>2176</v>
      </c>
      <c r="DF186" t="s">
        <v>220</v>
      </c>
      <c r="DG186">
        <v>454001</v>
      </c>
      <c r="DL186">
        <v>0</v>
      </c>
      <c r="DN186">
        <v>0</v>
      </c>
      <c r="DP186" t="s">
        <v>2177</v>
      </c>
      <c r="DQ186">
        <v>4271229</v>
      </c>
      <c r="DR186" t="s">
        <v>223</v>
      </c>
      <c r="DS186">
        <v>0</v>
      </c>
      <c r="DV186">
        <v>0</v>
      </c>
      <c r="DW186">
        <v>0.97</v>
      </c>
      <c r="DX186">
        <v>5820</v>
      </c>
      <c r="DY186">
        <v>1047.5999999999999</v>
      </c>
      <c r="DZ186">
        <v>6867.6</v>
      </c>
      <c r="EC186">
        <v>0</v>
      </c>
      <c r="EQ186" t="s">
        <v>2178</v>
      </c>
      <c r="ER186" s="1">
        <v>45463</v>
      </c>
      <c r="ES186">
        <v>3000</v>
      </c>
      <c r="ET186">
        <v>404981.86</v>
      </c>
      <c r="EU186">
        <v>5426.4</v>
      </c>
      <c r="EV186">
        <v>251814</v>
      </c>
      <c r="EW186" t="s">
        <v>2179</v>
      </c>
      <c r="EX186">
        <v>0</v>
      </c>
      <c r="EY186" t="s">
        <v>226</v>
      </c>
      <c r="EZ186" t="s">
        <v>202</v>
      </c>
      <c r="FA186" t="s">
        <v>226</v>
      </c>
      <c r="FB186" t="s">
        <v>202</v>
      </c>
      <c r="FC186" t="s">
        <v>202</v>
      </c>
      <c r="FD186" t="s">
        <v>202</v>
      </c>
      <c r="FE186" t="s">
        <v>202</v>
      </c>
      <c r="FF186" t="s">
        <v>202</v>
      </c>
      <c r="FG186" t="s">
        <v>202</v>
      </c>
      <c r="FH186" t="s">
        <v>202</v>
      </c>
      <c r="FI186" t="s">
        <v>202</v>
      </c>
      <c r="FJ186" t="s">
        <v>202</v>
      </c>
      <c r="FK186" t="s">
        <v>202</v>
      </c>
      <c r="FL186" t="s">
        <v>202</v>
      </c>
      <c r="FM186" t="s">
        <v>202</v>
      </c>
      <c r="FN186" t="s">
        <v>202</v>
      </c>
      <c r="FO186">
        <v>18581</v>
      </c>
      <c r="FP186">
        <v>7919</v>
      </c>
      <c r="FQ186">
        <v>0</v>
      </c>
      <c r="FR186">
        <v>4763</v>
      </c>
      <c r="FS186">
        <v>0</v>
      </c>
      <c r="FT186">
        <v>0</v>
      </c>
      <c r="FW186">
        <v>0</v>
      </c>
      <c r="FX186">
        <v>0</v>
      </c>
      <c r="FY186">
        <v>0</v>
      </c>
      <c r="GA186">
        <v>8832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I24" sqref="I24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67"/>
  <sheetViews>
    <sheetView topLeftCell="A4" workbookViewId="0">
      <selection activeCell="I25" sqref="I25"/>
    </sheetView>
  </sheetViews>
  <sheetFormatPr defaultRowHeight="14.4" x14ac:dyDescent="0.3"/>
  <cols>
    <col min="1" max="1" width="22.6640625" customWidth="1"/>
    <col min="2" max="2" width="20.88671875" bestFit="1" customWidth="1"/>
  </cols>
  <sheetData>
    <row r="3" spans="1:4" x14ac:dyDescent="0.3">
      <c r="A3" s="93" t="s">
        <v>2994</v>
      </c>
      <c r="B3" t="s">
        <v>2998</v>
      </c>
    </row>
    <row r="4" spans="1:4" x14ac:dyDescent="0.3">
      <c r="A4" s="94" t="s">
        <v>2831</v>
      </c>
      <c r="B4">
        <v>1</v>
      </c>
      <c r="D4">
        <f>+VLOOKUP(A4,Sheet8!$A$4:$B$76,2,0)</f>
        <v>1</v>
      </c>
    </row>
    <row r="5" spans="1:4" x14ac:dyDescent="0.3">
      <c r="A5" s="94" t="s">
        <v>2463</v>
      </c>
      <c r="B5">
        <v>2</v>
      </c>
      <c r="D5">
        <f>+VLOOKUP(A5,Sheet8!$A$4:$B$76,2,0)</f>
        <v>2</v>
      </c>
    </row>
    <row r="6" spans="1:4" x14ac:dyDescent="0.3">
      <c r="A6" s="94" t="s">
        <v>2711</v>
      </c>
      <c r="B6">
        <v>1</v>
      </c>
      <c r="D6">
        <f>+VLOOKUP(A6,Sheet8!$A$4:$B$76,2,0)</f>
        <v>1</v>
      </c>
    </row>
    <row r="7" spans="1:4" x14ac:dyDescent="0.3">
      <c r="A7" s="94" t="s">
        <v>2323</v>
      </c>
      <c r="B7">
        <v>2</v>
      </c>
      <c r="D7">
        <f>+VLOOKUP(A7,Sheet8!$A$4:$B$76,2,0)</f>
        <v>2</v>
      </c>
    </row>
    <row r="8" spans="1:4" x14ac:dyDescent="0.3">
      <c r="A8" s="94" t="s">
        <v>2475</v>
      </c>
      <c r="B8">
        <v>1</v>
      </c>
      <c r="D8">
        <f>+VLOOKUP(A8,Sheet8!$A$4:$B$76,2,0)</f>
        <v>1</v>
      </c>
    </row>
    <row r="9" spans="1:4" x14ac:dyDescent="0.3">
      <c r="A9" s="94" t="s">
        <v>2369</v>
      </c>
      <c r="B9">
        <v>6</v>
      </c>
      <c r="D9">
        <f>+VLOOKUP(A9,Sheet8!$A$4:$B$76,2,0)</f>
        <v>6</v>
      </c>
    </row>
    <row r="10" spans="1:4" x14ac:dyDescent="0.3">
      <c r="A10" s="94" t="s">
        <v>2582</v>
      </c>
      <c r="B10">
        <v>1</v>
      </c>
      <c r="D10">
        <f>+VLOOKUP(A10,Sheet8!$A$4:$B$76,2,0)</f>
        <v>1</v>
      </c>
    </row>
    <row r="11" spans="1:4" x14ac:dyDescent="0.3">
      <c r="A11" s="94" t="s">
        <v>2619</v>
      </c>
      <c r="B11">
        <v>1</v>
      </c>
      <c r="D11">
        <f>+VLOOKUP(A11,Sheet8!$A$4:$B$76,2,0)</f>
        <v>1</v>
      </c>
    </row>
    <row r="12" spans="1:4" x14ac:dyDescent="0.3">
      <c r="A12" s="94" t="s">
        <v>1503</v>
      </c>
      <c r="B12">
        <v>2</v>
      </c>
      <c r="D12">
        <f>+VLOOKUP(A12,Sheet8!$A$4:$B$76,2,0)</f>
        <v>2</v>
      </c>
    </row>
    <row r="13" spans="1:4" x14ac:dyDescent="0.3">
      <c r="A13" s="94" t="s">
        <v>2577</v>
      </c>
      <c r="B13">
        <v>3</v>
      </c>
      <c r="D13">
        <f>+VLOOKUP(A13,Sheet8!$A$4:$B$76,2,0)</f>
        <v>3</v>
      </c>
    </row>
    <row r="14" spans="1:4" x14ac:dyDescent="0.3">
      <c r="A14" s="94" t="s">
        <v>2563</v>
      </c>
      <c r="B14">
        <v>1</v>
      </c>
      <c r="D14">
        <f>+VLOOKUP(A14,Sheet8!$A$4:$B$76,2,0)</f>
        <v>1</v>
      </c>
    </row>
    <row r="15" spans="1:4" x14ac:dyDescent="0.3">
      <c r="A15" s="94" t="s">
        <v>2408</v>
      </c>
      <c r="B15">
        <v>2</v>
      </c>
      <c r="D15">
        <f>+VLOOKUP(A15,Sheet8!$A$4:$B$76,2,0)</f>
        <v>2</v>
      </c>
    </row>
    <row r="16" spans="1:4" x14ac:dyDescent="0.3">
      <c r="A16" s="94" t="s">
        <v>2820</v>
      </c>
      <c r="B16">
        <v>1</v>
      </c>
      <c r="D16">
        <f>+VLOOKUP(A16,Sheet8!$A$4:$B$76,2,0)</f>
        <v>1</v>
      </c>
    </row>
    <row r="17" spans="1:4" x14ac:dyDescent="0.3">
      <c r="A17" s="94" t="s">
        <v>2623</v>
      </c>
      <c r="B17">
        <v>3</v>
      </c>
      <c r="D17">
        <f>+VLOOKUP(A17,Sheet8!$A$4:$B$76,2,0)</f>
        <v>3</v>
      </c>
    </row>
    <row r="18" spans="1:4" x14ac:dyDescent="0.3">
      <c r="A18" s="94" t="s">
        <v>2810</v>
      </c>
      <c r="B18">
        <v>1</v>
      </c>
      <c r="D18" t="s">
        <v>3000</v>
      </c>
    </row>
    <row r="19" spans="1:4" x14ac:dyDescent="0.3">
      <c r="A19" s="94" t="s">
        <v>2781</v>
      </c>
      <c r="B19">
        <v>2</v>
      </c>
      <c r="D19">
        <f>+VLOOKUP(A19,Sheet8!$A$4:$B$76,2,0)</f>
        <v>2</v>
      </c>
    </row>
    <row r="20" spans="1:4" x14ac:dyDescent="0.3">
      <c r="A20" s="94" t="s">
        <v>2412</v>
      </c>
      <c r="B20">
        <v>2</v>
      </c>
      <c r="D20">
        <f>+VLOOKUP(A20,Sheet8!$A$4:$B$76,2,0)</f>
        <v>2</v>
      </c>
    </row>
    <row r="21" spans="1:4" x14ac:dyDescent="0.3">
      <c r="A21" s="94" t="s">
        <v>2470</v>
      </c>
      <c r="B21">
        <v>5</v>
      </c>
      <c r="D21">
        <f>+VLOOKUP(A21,Sheet8!$A$4:$B$76,2,0)</f>
        <v>5</v>
      </c>
    </row>
    <row r="22" spans="1:4" x14ac:dyDescent="0.3">
      <c r="A22" s="94" t="s">
        <v>967</v>
      </c>
      <c r="B22">
        <v>6</v>
      </c>
      <c r="D22">
        <f>+VLOOKUP(A22,Sheet8!$A$4:$B$76,2,0)</f>
        <v>6</v>
      </c>
    </row>
    <row r="23" spans="1:4" x14ac:dyDescent="0.3">
      <c r="A23" s="94" t="s">
        <v>2553</v>
      </c>
      <c r="B23">
        <v>1</v>
      </c>
      <c r="D23">
        <f>+VLOOKUP(A23,Sheet8!$A$4:$B$76,2,0)</f>
        <v>1</v>
      </c>
    </row>
    <row r="24" spans="1:4" x14ac:dyDescent="0.3">
      <c r="A24" s="94" t="s">
        <v>2446</v>
      </c>
      <c r="B24">
        <v>5</v>
      </c>
      <c r="D24">
        <f>+VLOOKUP(A24,Sheet8!$A$4:$B$76,2,0)</f>
        <v>5</v>
      </c>
    </row>
    <row r="25" spans="1:4" x14ac:dyDescent="0.3">
      <c r="A25" s="94" t="s">
        <v>2252</v>
      </c>
      <c r="B25">
        <v>2</v>
      </c>
      <c r="D25">
        <f>+VLOOKUP(A25,Sheet8!$A$4:$B$76,2,0)</f>
        <v>2</v>
      </c>
    </row>
    <row r="26" spans="1:4" x14ac:dyDescent="0.3">
      <c r="A26" s="94" t="s">
        <v>2586</v>
      </c>
      <c r="B26">
        <v>3</v>
      </c>
      <c r="D26">
        <f>+VLOOKUP(A26,Sheet8!$A$4:$B$76,2,0)</f>
        <v>3</v>
      </c>
    </row>
    <row r="27" spans="1:4" x14ac:dyDescent="0.3">
      <c r="A27" s="94" t="s">
        <v>2279</v>
      </c>
      <c r="B27">
        <v>2</v>
      </c>
      <c r="D27">
        <f>+VLOOKUP(A27,Sheet8!$A$4:$B$76,2,0)</f>
        <v>2</v>
      </c>
    </row>
    <row r="28" spans="1:4" x14ac:dyDescent="0.3">
      <c r="A28" s="94" t="s">
        <v>2815</v>
      </c>
      <c r="B28">
        <v>1</v>
      </c>
      <c r="D28">
        <f>+VLOOKUP(A28,Sheet8!$A$4:$B$76,2,0)</f>
        <v>1</v>
      </c>
    </row>
    <row r="29" spans="1:4" x14ac:dyDescent="0.3">
      <c r="A29" s="94" t="s">
        <v>2570</v>
      </c>
      <c r="B29">
        <v>2</v>
      </c>
      <c r="D29">
        <f>+VLOOKUP(A29,Sheet8!$A$4:$B$76,2,0)</f>
        <v>2</v>
      </c>
    </row>
    <row r="30" spans="1:4" x14ac:dyDescent="0.3">
      <c r="A30" s="94" t="s">
        <v>2416</v>
      </c>
      <c r="B30">
        <v>3</v>
      </c>
      <c r="D30">
        <f>+VLOOKUP(A30,Sheet8!$A$4:$B$76,2,0)</f>
        <v>3</v>
      </c>
    </row>
    <row r="31" spans="1:4" x14ac:dyDescent="0.3">
      <c r="A31" s="94" t="s">
        <v>2792</v>
      </c>
      <c r="B31">
        <v>1</v>
      </c>
      <c r="D31">
        <f>+VLOOKUP(A31,Sheet8!$A$4:$B$76,2,0)</f>
        <v>1</v>
      </c>
    </row>
    <row r="32" spans="1:4" x14ac:dyDescent="0.3">
      <c r="A32" s="94" t="s">
        <v>2672</v>
      </c>
      <c r="B32">
        <v>2</v>
      </c>
      <c r="D32">
        <f>+VLOOKUP(A32,Sheet8!$A$4:$B$76,2,0)</f>
        <v>2</v>
      </c>
    </row>
    <row r="33" spans="1:4" x14ac:dyDescent="0.3">
      <c r="A33" s="94" t="s">
        <v>2393</v>
      </c>
      <c r="B33">
        <v>2</v>
      </c>
      <c r="D33">
        <f>+VLOOKUP(A33,Sheet8!$A$4:$B$76,2,0)</f>
        <v>2</v>
      </c>
    </row>
    <row r="34" spans="1:4" x14ac:dyDescent="0.3">
      <c r="A34" s="94" t="s">
        <v>2566</v>
      </c>
      <c r="B34">
        <v>1</v>
      </c>
      <c r="D34">
        <f>+VLOOKUP(A34,Sheet8!$A$4:$B$76,2,0)</f>
        <v>1</v>
      </c>
    </row>
    <row r="35" spans="1:4" x14ac:dyDescent="0.3">
      <c r="A35" s="94" t="s">
        <v>2286</v>
      </c>
      <c r="B35">
        <v>2</v>
      </c>
      <c r="D35">
        <f>+VLOOKUP(A35,Sheet8!$A$4:$B$76,2,0)</f>
        <v>2</v>
      </c>
    </row>
    <row r="36" spans="1:4" x14ac:dyDescent="0.3">
      <c r="A36" s="94" t="s">
        <v>2322</v>
      </c>
      <c r="B36">
        <v>7</v>
      </c>
      <c r="D36">
        <f>+VLOOKUP(A36,Sheet8!$A$4:$B$76,2,0)</f>
        <v>7</v>
      </c>
    </row>
    <row r="37" spans="1:4" x14ac:dyDescent="0.3">
      <c r="A37" s="94" t="s">
        <v>2258</v>
      </c>
      <c r="B37">
        <v>3</v>
      </c>
      <c r="D37">
        <f>+VLOOKUP(A37,Sheet8!$A$4:$B$76,2,0)</f>
        <v>3</v>
      </c>
    </row>
    <row r="38" spans="1:4" x14ac:dyDescent="0.3">
      <c r="A38" s="94" t="s">
        <v>2431</v>
      </c>
      <c r="B38">
        <v>4</v>
      </c>
      <c r="D38">
        <f>+VLOOKUP(A38,Sheet8!$A$4:$B$76,2,0)</f>
        <v>4</v>
      </c>
    </row>
    <row r="39" spans="1:4" x14ac:dyDescent="0.3">
      <c r="A39" s="94" t="s">
        <v>2648</v>
      </c>
      <c r="B39">
        <v>1</v>
      </c>
      <c r="D39">
        <f>+VLOOKUP(A39,Sheet8!$A$4:$B$76,2,0)</f>
        <v>1</v>
      </c>
    </row>
    <row r="40" spans="1:4" x14ac:dyDescent="0.3">
      <c r="A40" s="94" t="s">
        <v>2280</v>
      </c>
      <c r="B40">
        <v>5</v>
      </c>
      <c r="D40">
        <f>+VLOOKUP(A40,Sheet8!$A$4:$B$76,2,0)</f>
        <v>5</v>
      </c>
    </row>
    <row r="41" spans="1:4" x14ac:dyDescent="0.3">
      <c r="A41" s="94" t="s">
        <v>2407</v>
      </c>
      <c r="B41">
        <v>2</v>
      </c>
      <c r="D41">
        <f>+VLOOKUP(A41,Sheet8!$A$4:$B$76,2,0)</f>
        <v>2</v>
      </c>
    </row>
    <row r="42" spans="1:4" x14ac:dyDescent="0.3">
      <c r="A42" s="94" t="s">
        <v>2539</v>
      </c>
      <c r="B42">
        <v>2</v>
      </c>
      <c r="D42">
        <f>+VLOOKUP(A42,Sheet8!$A$4:$B$76,2,0)</f>
        <v>2</v>
      </c>
    </row>
    <row r="43" spans="1:4" x14ac:dyDescent="0.3">
      <c r="A43" s="94" t="s">
        <v>2522</v>
      </c>
      <c r="B43">
        <v>1</v>
      </c>
      <c r="D43">
        <f>+VLOOKUP(A43,Sheet8!$A$4:$B$76,2,0)</f>
        <v>1</v>
      </c>
    </row>
    <row r="44" spans="1:4" x14ac:dyDescent="0.3">
      <c r="A44" s="94" t="s">
        <v>2669</v>
      </c>
      <c r="B44">
        <v>2</v>
      </c>
      <c r="D44">
        <f>+VLOOKUP(A44,Sheet8!$A$4:$B$76,2,0)</f>
        <v>2</v>
      </c>
    </row>
    <row r="45" spans="1:4" x14ac:dyDescent="0.3">
      <c r="A45" s="94" t="s">
        <v>2767</v>
      </c>
      <c r="B45">
        <v>1</v>
      </c>
      <c r="D45">
        <f>+VLOOKUP(A45,Sheet8!$A$4:$B$76,2,0)</f>
        <v>1</v>
      </c>
    </row>
    <row r="46" spans="1:4" x14ac:dyDescent="0.3">
      <c r="A46" s="94" t="s">
        <v>2359</v>
      </c>
      <c r="B46">
        <v>1</v>
      </c>
      <c r="D46">
        <f>+VLOOKUP(A46,Sheet8!$A$4:$B$76,2,0)</f>
        <v>1</v>
      </c>
    </row>
    <row r="47" spans="1:4" x14ac:dyDescent="0.3">
      <c r="A47" s="94" t="s">
        <v>2343</v>
      </c>
      <c r="B47">
        <v>5</v>
      </c>
      <c r="D47">
        <f>+VLOOKUP(A47,Sheet8!$A$4:$B$76,2,0)</f>
        <v>5</v>
      </c>
    </row>
    <row r="48" spans="1:4" x14ac:dyDescent="0.3">
      <c r="A48" s="94" t="s">
        <v>1391</v>
      </c>
      <c r="B48">
        <v>4</v>
      </c>
      <c r="D48">
        <f>+VLOOKUP(A48,Sheet8!$A$4:$B$76,2,0)</f>
        <v>4</v>
      </c>
    </row>
    <row r="49" spans="1:4" x14ac:dyDescent="0.3">
      <c r="A49" s="94" t="s">
        <v>2307</v>
      </c>
      <c r="B49">
        <v>2</v>
      </c>
      <c r="D49">
        <f>+VLOOKUP(A49,Sheet8!$A$4:$B$76,2,0)</f>
        <v>2</v>
      </c>
    </row>
    <row r="50" spans="1:4" x14ac:dyDescent="0.3">
      <c r="A50" s="94" t="s">
        <v>2507</v>
      </c>
      <c r="B50">
        <v>7</v>
      </c>
      <c r="D50">
        <f>+VLOOKUP(A50,Sheet8!$A$4:$B$76,2,0)</f>
        <v>7</v>
      </c>
    </row>
    <row r="51" spans="1:4" x14ac:dyDescent="0.3">
      <c r="A51" s="94" t="s">
        <v>2315</v>
      </c>
      <c r="B51">
        <v>2</v>
      </c>
      <c r="D51">
        <f>+VLOOKUP(A51,Sheet8!$A$4:$B$76,2,0)</f>
        <v>2</v>
      </c>
    </row>
    <row r="52" spans="1:4" x14ac:dyDescent="0.3">
      <c r="A52" s="94" t="s">
        <v>2436</v>
      </c>
      <c r="B52">
        <v>2</v>
      </c>
      <c r="D52">
        <f>+VLOOKUP(A52,Sheet8!$A$4:$B$76,2,0)</f>
        <v>2</v>
      </c>
    </row>
    <row r="53" spans="1:4" x14ac:dyDescent="0.3">
      <c r="A53" s="94" t="s">
        <v>2603</v>
      </c>
      <c r="B53">
        <v>1</v>
      </c>
      <c r="D53">
        <f>+VLOOKUP(A53,Sheet8!$A$4:$B$76,2,0)</f>
        <v>1</v>
      </c>
    </row>
    <row r="54" spans="1:4" x14ac:dyDescent="0.3">
      <c r="A54" s="94" t="s">
        <v>2354</v>
      </c>
      <c r="B54">
        <v>2</v>
      </c>
      <c r="D54">
        <f>+VLOOKUP(A54,Sheet8!$A$4:$B$76,2,0)</f>
        <v>2</v>
      </c>
    </row>
    <row r="55" spans="1:4" x14ac:dyDescent="0.3">
      <c r="A55" s="94" t="s">
        <v>2378</v>
      </c>
      <c r="B55">
        <v>4</v>
      </c>
      <c r="D55">
        <f>+VLOOKUP(A55,Sheet8!$A$4:$B$76,2,0)</f>
        <v>4</v>
      </c>
    </row>
    <row r="56" spans="1:4" x14ac:dyDescent="0.3">
      <c r="A56" s="94" t="s">
        <v>2311</v>
      </c>
      <c r="B56">
        <v>4</v>
      </c>
      <c r="D56">
        <f>+VLOOKUP(A56,Sheet8!$A$4:$B$76,2,0)</f>
        <v>4</v>
      </c>
    </row>
    <row r="57" spans="1:4" x14ac:dyDescent="0.3">
      <c r="A57" s="94" t="s">
        <v>2420</v>
      </c>
      <c r="B57">
        <v>3</v>
      </c>
      <c r="D57">
        <f>+VLOOKUP(A57,Sheet8!$A$4:$B$76,2,0)</f>
        <v>3</v>
      </c>
    </row>
    <row r="58" spans="1:4" x14ac:dyDescent="0.3">
      <c r="A58" s="94" t="s">
        <v>2299</v>
      </c>
      <c r="B58">
        <v>8</v>
      </c>
      <c r="D58">
        <f>+VLOOKUP(A58,Sheet8!$A$4:$B$76,2,0)</f>
        <v>8</v>
      </c>
    </row>
    <row r="59" spans="1:4" x14ac:dyDescent="0.3">
      <c r="A59" s="94" t="s">
        <v>2724</v>
      </c>
      <c r="B59">
        <v>3</v>
      </c>
      <c r="D59">
        <f>+VLOOKUP(A59,Sheet8!$A$4:$B$76,2,0)</f>
        <v>3</v>
      </c>
    </row>
    <row r="60" spans="1:4" x14ac:dyDescent="0.3">
      <c r="A60" s="94" t="s">
        <v>1309</v>
      </c>
      <c r="B60">
        <v>4</v>
      </c>
      <c r="D60">
        <f>+VLOOKUP(A60,Sheet8!$A$4:$B$76,2,0)</f>
        <v>4</v>
      </c>
    </row>
    <row r="61" spans="1:4" x14ac:dyDescent="0.3">
      <c r="A61" s="94" t="s">
        <v>2594</v>
      </c>
      <c r="B61">
        <v>1</v>
      </c>
      <c r="D61">
        <f>+VLOOKUP(A61,Sheet8!$A$4:$B$76,2,0)</f>
        <v>1</v>
      </c>
    </row>
    <row r="62" spans="1:4" x14ac:dyDescent="0.3">
      <c r="A62" s="94" t="s">
        <v>2351</v>
      </c>
      <c r="B62">
        <v>6</v>
      </c>
      <c r="D62">
        <f>+VLOOKUP(A62,Sheet8!$A$4:$B$76,2,0)</f>
        <v>6</v>
      </c>
    </row>
    <row r="63" spans="1:4" x14ac:dyDescent="0.3">
      <c r="A63" s="94" t="s">
        <v>2259</v>
      </c>
      <c r="B63">
        <v>8</v>
      </c>
      <c r="D63">
        <f>+VLOOKUP(A63,Sheet8!$A$4:$B$76,2,0)</f>
        <v>8</v>
      </c>
    </row>
    <row r="64" spans="1:4" x14ac:dyDescent="0.3">
      <c r="A64" s="94" t="s">
        <v>2272</v>
      </c>
      <c r="B64">
        <v>1</v>
      </c>
      <c r="D64">
        <f>+VLOOKUP(A64,Sheet8!$A$4:$B$76,2,0)</f>
        <v>1</v>
      </c>
    </row>
    <row r="65" spans="1:4" x14ac:dyDescent="0.3">
      <c r="A65" s="94" t="s">
        <v>2292</v>
      </c>
      <c r="B65">
        <v>3</v>
      </c>
      <c r="D65">
        <f>+VLOOKUP(A65,Sheet8!$A$4:$B$76,2,0)</f>
        <v>3</v>
      </c>
    </row>
    <row r="66" spans="1:4" x14ac:dyDescent="0.3">
      <c r="A66" s="94" t="s">
        <v>2778</v>
      </c>
      <c r="B66">
        <v>1</v>
      </c>
      <c r="D66">
        <f>+VLOOKUP(A66,Sheet8!$A$4:$B$76,2,0)</f>
        <v>1</v>
      </c>
    </row>
    <row r="67" spans="1:4" x14ac:dyDescent="0.3">
      <c r="A67" s="94" t="s">
        <v>2914</v>
      </c>
      <c r="B67">
        <v>170</v>
      </c>
      <c r="D67">
        <f>+SUM(D4:D66)</f>
        <v>169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77"/>
  <sheetViews>
    <sheetView topLeftCell="A44" workbookViewId="0">
      <selection activeCell="A3" sqref="A3"/>
    </sheetView>
  </sheetViews>
  <sheetFormatPr defaultRowHeight="14.4" x14ac:dyDescent="0.3"/>
  <cols>
    <col min="1" max="1" width="22.6640625" bestFit="1" customWidth="1"/>
    <col min="2" max="2" width="18.109375" bestFit="1" customWidth="1"/>
  </cols>
  <sheetData>
    <row r="3" spans="1:2" x14ac:dyDescent="0.3">
      <c r="A3" s="93" t="s">
        <v>2994</v>
      </c>
      <c r="B3" t="s">
        <v>2999</v>
      </c>
    </row>
    <row r="4" spans="1:2" x14ac:dyDescent="0.3">
      <c r="A4" s="94" t="s">
        <v>2831</v>
      </c>
      <c r="B4">
        <v>1</v>
      </c>
    </row>
    <row r="5" spans="1:2" x14ac:dyDescent="0.3">
      <c r="A5" s="94" t="s">
        <v>2463</v>
      </c>
      <c r="B5">
        <v>2</v>
      </c>
    </row>
    <row r="6" spans="1:2" x14ac:dyDescent="0.3">
      <c r="A6" s="94" t="s">
        <v>2711</v>
      </c>
      <c r="B6">
        <v>1</v>
      </c>
    </row>
    <row r="7" spans="1:2" x14ac:dyDescent="0.3">
      <c r="A7" s="94" t="s">
        <v>2323</v>
      </c>
      <c r="B7">
        <v>2</v>
      </c>
    </row>
    <row r="8" spans="1:2" x14ac:dyDescent="0.3">
      <c r="A8" s="94" t="s">
        <v>2475</v>
      </c>
      <c r="B8">
        <v>1</v>
      </c>
    </row>
    <row r="9" spans="1:2" x14ac:dyDescent="0.3">
      <c r="A9" s="94" t="s">
        <v>2369</v>
      </c>
      <c r="B9">
        <v>6</v>
      </c>
    </row>
    <row r="10" spans="1:2" x14ac:dyDescent="0.3">
      <c r="A10" s="94" t="s">
        <v>2582</v>
      </c>
      <c r="B10">
        <v>1</v>
      </c>
    </row>
    <row r="11" spans="1:2" x14ac:dyDescent="0.3">
      <c r="A11" s="94" t="s">
        <v>2619</v>
      </c>
      <c r="B11">
        <v>1</v>
      </c>
    </row>
    <row r="12" spans="1:2" x14ac:dyDescent="0.3">
      <c r="A12" s="94" t="s">
        <v>1503</v>
      </c>
      <c r="B12">
        <v>2</v>
      </c>
    </row>
    <row r="13" spans="1:2" x14ac:dyDescent="0.3">
      <c r="A13" s="94" t="s">
        <v>2577</v>
      </c>
      <c r="B13">
        <v>3</v>
      </c>
    </row>
    <row r="14" spans="1:2" x14ac:dyDescent="0.3">
      <c r="A14" s="94" t="s">
        <v>2563</v>
      </c>
      <c r="B14">
        <v>1</v>
      </c>
    </row>
    <row r="15" spans="1:2" x14ac:dyDescent="0.3">
      <c r="A15" s="94" t="s">
        <v>2432</v>
      </c>
      <c r="B15">
        <v>0</v>
      </c>
    </row>
    <row r="16" spans="1:2" x14ac:dyDescent="0.3">
      <c r="A16" s="94" t="s">
        <v>2408</v>
      </c>
      <c r="B16">
        <v>2</v>
      </c>
    </row>
    <row r="17" spans="1:2" x14ac:dyDescent="0.3">
      <c r="A17" s="94" t="s">
        <v>2820</v>
      </c>
      <c r="B17">
        <v>1</v>
      </c>
    </row>
    <row r="18" spans="1:2" x14ac:dyDescent="0.3">
      <c r="A18" s="94" t="s">
        <v>2623</v>
      </c>
      <c r="B18">
        <v>3</v>
      </c>
    </row>
    <row r="19" spans="1:2" x14ac:dyDescent="0.3">
      <c r="A19" s="94" t="s">
        <v>2855</v>
      </c>
      <c r="B19">
        <v>0</v>
      </c>
    </row>
    <row r="20" spans="1:2" x14ac:dyDescent="0.3">
      <c r="A20" s="94" t="s">
        <v>2860</v>
      </c>
      <c r="B20">
        <v>0</v>
      </c>
    </row>
    <row r="21" spans="1:2" x14ac:dyDescent="0.3">
      <c r="A21" s="94" t="s">
        <v>2858</v>
      </c>
      <c r="B21">
        <v>0</v>
      </c>
    </row>
    <row r="22" spans="1:2" x14ac:dyDescent="0.3">
      <c r="A22" s="94" t="s">
        <v>2781</v>
      </c>
      <c r="B22">
        <v>2</v>
      </c>
    </row>
    <row r="23" spans="1:2" x14ac:dyDescent="0.3">
      <c r="A23" s="94" t="s">
        <v>2412</v>
      </c>
      <c r="B23">
        <v>2</v>
      </c>
    </row>
    <row r="24" spans="1:2" x14ac:dyDescent="0.3">
      <c r="A24" s="94" t="s">
        <v>2470</v>
      </c>
      <c r="B24">
        <v>5</v>
      </c>
    </row>
    <row r="25" spans="1:2" x14ac:dyDescent="0.3">
      <c r="A25" s="94" t="s">
        <v>967</v>
      </c>
      <c r="B25">
        <v>6</v>
      </c>
    </row>
    <row r="26" spans="1:2" x14ac:dyDescent="0.3">
      <c r="A26" s="94" t="s">
        <v>2553</v>
      </c>
      <c r="B26">
        <v>1</v>
      </c>
    </row>
    <row r="27" spans="1:2" x14ac:dyDescent="0.3">
      <c r="A27" s="94" t="s">
        <v>2446</v>
      </c>
      <c r="B27">
        <v>5</v>
      </c>
    </row>
    <row r="28" spans="1:2" x14ac:dyDescent="0.3">
      <c r="A28" s="94" t="s">
        <v>2252</v>
      </c>
      <c r="B28">
        <v>2</v>
      </c>
    </row>
    <row r="29" spans="1:2" x14ac:dyDescent="0.3">
      <c r="A29" s="94" t="s">
        <v>2586</v>
      </c>
      <c r="B29">
        <v>3</v>
      </c>
    </row>
    <row r="30" spans="1:2" x14ac:dyDescent="0.3">
      <c r="A30" s="94" t="s">
        <v>2279</v>
      </c>
      <c r="B30">
        <v>2</v>
      </c>
    </row>
    <row r="31" spans="1:2" x14ac:dyDescent="0.3">
      <c r="A31" s="94" t="s">
        <v>2815</v>
      </c>
      <c r="B31">
        <v>1</v>
      </c>
    </row>
    <row r="32" spans="1:2" x14ac:dyDescent="0.3">
      <c r="A32" s="94" t="s">
        <v>2873</v>
      </c>
      <c r="B32">
        <v>0</v>
      </c>
    </row>
    <row r="33" spans="1:2" x14ac:dyDescent="0.3">
      <c r="A33" s="94" t="s">
        <v>2570</v>
      </c>
      <c r="B33">
        <v>2</v>
      </c>
    </row>
    <row r="34" spans="1:2" x14ac:dyDescent="0.3">
      <c r="A34" s="94" t="s">
        <v>2857</v>
      </c>
      <c r="B34">
        <v>0</v>
      </c>
    </row>
    <row r="35" spans="1:2" x14ac:dyDescent="0.3">
      <c r="A35" s="94" t="s">
        <v>2416</v>
      </c>
      <c r="B35">
        <v>3</v>
      </c>
    </row>
    <row r="36" spans="1:2" x14ac:dyDescent="0.3">
      <c r="A36" s="94" t="s">
        <v>2792</v>
      </c>
      <c r="B36">
        <v>1</v>
      </c>
    </row>
    <row r="37" spans="1:2" x14ac:dyDescent="0.3">
      <c r="A37" s="94" t="s">
        <v>2672</v>
      </c>
      <c r="B37">
        <v>2</v>
      </c>
    </row>
    <row r="38" spans="1:2" x14ac:dyDescent="0.3">
      <c r="A38" s="94" t="s">
        <v>2393</v>
      </c>
      <c r="B38">
        <v>2</v>
      </c>
    </row>
    <row r="39" spans="1:2" x14ac:dyDescent="0.3">
      <c r="A39" s="94" t="s">
        <v>2566</v>
      </c>
      <c r="B39">
        <v>1</v>
      </c>
    </row>
    <row r="40" spans="1:2" x14ac:dyDescent="0.3">
      <c r="A40" s="94" t="s">
        <v>2286</v>
      </c>
      <c r="B40">
        <v>2</v>
      </c>
    </row>
    <row r="41" spans="1:2" x14ac:dyDescent="0.3">
      <c r="A41" s="94" t="s">
        <v>2322</v>
      </c>
      <c r="B41">
        <v>7</v>
      </c>
    </row>
    <row r="42" spans="1:2" x14ac:dyDescent="0.3">
      <c r="A42" s="94" t="s">
        <v>2258</v>
      </c>
      <c r="B42">
        <v>3</v>
      </c>
    </row>
    <row r="43" spans="1:2" x14ac:dyDescent="0.3">
      <c r="A43" s="94" t="s">
        <v>2995</v>
      </c>
      <c r="B43">
        <v>0</v>
      </c>
    </row>
    <row r="44" spans="1:2" x14ac:dyDescent="0.3">
      <c r="A44" s="94" t="s">
        <v>2312</v>
      </c>
      <c r="B44">
        <v>0</v>
      </c>
    </row>
    <row r="45" spans="1:2" x14ac:dyDescent="0.3">
      <c r="A45" s="94" t="s">
        <v>2431</v>
      </c>
      <c r="B45">
        <v>4</v>
      </c>
    </row>
    <row r="46" spans="1:2" x14ac:dyDescent="0.3">
      <c r="A46" s="94" t="s">
        <v>2997</v>
      </c>
      <c r="B46">
        <v>0</v>
      </c>
    </row>
    <row r="47" spans="1:2" x14ac:dyDescent="0.3">
      <c r="A47" s="94" t="s">
        <v>2648</v>
      </c>
      <c r="B47">
        <v>1</v>
      </c>
    </row>
    <row r="48" spans="1:2" x14ac:dyDescent="0.3">
      <c r="A48" s="94" t="s">
        <v>2280</v>
      </c>
      <c r="B48">
        <v>5</v>
      </c>
    </row>
    <row r="49" spans="1:2" x14ac:dyDescent="0.3">
      <c r="A49" s="94" t="s">
        <v>2407</v>
      </c>
      <c r="B49">
        <v>2</v>
      </c>
    </row>
    <row r="50" spans="1:2" x14ac:dyDescent="0.3">
      <c r="A50" s="94" t="s">
        <v>2539</v>
      </c>
      <c r="B50">
        <v>2</v>
      </c>
    </row>
    <row r="51" spans="1:2" x14ac:dyDescent="0.3">
      <c r="A51" s="94" t="s">
        <v>2522</v>
      </c>
      <c r="B51">
        <v>1</v>
      </c>
    </row>
    <row r="52" spans="1:2" x14ac:dyDescent="0.3">
      <c r="A52" s="94" t="s">
        <v>2669</v>
      </c>
      <c r="B52">
        <v>2</v>
      </c>
    </row>
    <row r="53" spans="1:2" x14ac:dyDescent="0.3">
      <c r="A53" s="94" t="s">
        <v>2767</v>
      </c>
      <c r="B53">
        <v>1</v>
      </c>
    </row>
    <row r="54" spans="1:2" x14ac:dyDescent="0.3">
      <c r="A54" s="94" t="s">
        <v>2359</v>
      </c>
      <c r="B54">
        <v>1</v>
      </c>
    </row>
    <row r="55" spans="1:2" x14ac:dyDescent="0.3">
      <c r="A55" s="94" t="s">
        <v>2343</v>
      </c>
      <c r="B55">
        <v>5</v>
      </c>
    </row>
    <row r="56" spans="1:2" x14ac:dyDescent="0.3">
      <c r="A56" s="94" t="s">
        <v>1391</v>
      </c>
      <c r="B56">
        <v>4</v>
      </c>
    </row>
    <row r="57" spans="1:2" x14ac:dyDescent="0.3">
      <c r="A57" s="94" t="s">
        <v>2307</v>
      </c>
      <c r="B57">
        <v>2</v>
      </c>
    </row>
    <row r="58" spans="1:2" x14ac:dyDescent="0.3">
      <c r="A58" s="94" t="s">
        <v>2507</v>
      </c>
      <c r="B58">
        <v>7</v>
      </c>
    </row>
    <row r="59" spans="1:2" x14ac:dyDescent="0.3">
      <c r="A59" s="94" t="s">
        <v>2315</v>
      </c>
      <c r="B59">
        <v>2</v>
      </c>
    </row>
    <row r="60" spans="1:2" x14ac:dyDescent="0.3">
      <c r="A60" s="94" t="s">
        <v>2436</v>
      </c>
      <c r="B60">
        <v>2</v>
      </c>
    </row>
    <row r="61" spans="1:2" x14ac:dyDescent="0.3">
      <c r="A61" s="94" t="s">
        <v>2603</v>
      </c>
      <c r="B61">
        <v>1</v>
      </c>
    </row>
    <row r="62" spans="1:2" x14ac:dyDescent="0.3">
      <c r="A62" s="94" t="s">
        <v>2354</v>
      </c>
      <c r="B62">
        <v>2</v>
      </c>
    </row>
    <row r="63" spans="1:2" x14ac:dyDescent="0.3">
      <c r="A63" s="94" t="s">
        <v>2378</v>
      </c>
      <c r="B63">
        <v>4</v>
      </c>
    </row>
    <row r="64" spans="1:2" x14ac:dyDescent="0.3">
      <c r="A64" s="94" t="s">
        <v>2311</v>
      </c>
      <c r="B64">
        <v>4</v>
      </c>
    </row>
    <row r="65" spans="1:2" x14ac:dyDescent="0.3">
      <c r="A65" s="94" t="s">
        <v>2420</v>
      </c>
      <c r="B65">
        <v>3</v>
      </c>
    </row>
    <row r="66" spans="1:2" x14ac:dyDescent="0.3">
      <c r="A66" s="94" t="s">
        <v>2854</v>
      </c>
      <c r="B66">
        <v>0</v>
      </c>
    </row>
    <row r="67" spans="1:2" x14ac:dyDescent="0.3">
      <c r="A67" s="94" t="s">
        <v>2299</v>
      </c>
      <c r="B67">
        <v>8</v>
      </c>
    </row>
    <row r="68" spans="1:2" x14ac:dyDescent="0.3">
      <c r="A68" s="94" t="s">
        <v>2724</v>
      </c>
      <c r="B68">
        <v>3</v>
      </c>
    </row>
    <row r="69" spans="1:2" x14ac:dyDescent="0.3">
      <c r="A69" s="94" t="s">
        <v>1309</v>
      </c>
      <c r="B69">
        <v>4</v>
      </c>
    </row>
    <row r="70" spans="1:2" x14ac:dyDescent="0.3">
      <c r="A70" s="94" t="s">
        <v>2996</v>
      </c>
      <c r="B70">
        <v>0</v>
      </c>
    </row>
    <row r="71" spans="1:2" x14ac:dyDescent="0.3">
      <c r="A71" s="94" t="s">
        <v>2594</v>
      </c>
      <c r="B71">
        <v>1</v>
      </c>
    </row>
    <row r="72" spans="1:2" x14ac:dyDescent="0.3">
      <c r="A72" s="94" t="s">
        <v>2351</v>
      </c>
      <c r="B72">
        <v>6</v>
      </c>
    </row>
    <row r="73" spans="1:2" x14ac:dyDescent="0.3">
      <c r="A73" s="94" t="s">
        <v>2259</v>
      </c>
      <c r="B73">
        <v>8</v>
      </c>
    </row>
    <row r="74" spans="1:2" x14ac:dyDescent="0.3">
      <c r="A74" s="94" t="s">
        <v>2272</v>
      </c>
      <c r="B74">
        <v>1</v>
      </c>
    </row>
    <row r="75" spans="1:2" x14ac:dyDescent="0.3">
      <c r="A75" s="94" t="s">
        <v>2292</v>
      </c>
      <c r="B75">
        <v>3</v>
      </c>
    </row>
    <row r="76" spans="1:2" x14ac:dyDescent="0.3">
      <c r="A76" s="94" t="s">
        <v>2778</v>
      </c>
      <c r="B76">
        <v>1</v>
      </c>
    </row>
    <row r="77" spans="1:2" x14ac:dyDescent="0.3">
      <c r="A77" s="94" t="s">
        <v>2914</v>
      </c>
      <c r="B77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</vt:lpstr>
      <vt:lpstr>CALCULATION DSE</vt:lpstr>
      <vt:lpstr>DSE WISE MGA SALE </vt:lpstr>
      <vt:lpstr>EMP STATUS</vt:lpstr>
      <vt:lpstr>ICM REPORT</vt:lpstr>
      <vt:lpstr>FSDG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2024-07-22T13:04:32Z</dcterms:modified>
</cp:coreProperties>
</file>