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EXA9\Downloads\"/>
    </mc:Choice>
  </mc:AlternateContent>
  <bookViews>
    <workbookView xWindow="0" yWindow="0" windowWidth="28800" windowHeight="12210"/>
  </bookViews>
  <sheets>
    <sheet name="DC - 2025 (2)" sheetId="1" r:id="rId1"/>
  </sheets>
  <externalReferences>
    <externalReference r:id="rId2"/>
    <externalReference r:id="rId3"/>
  </externalReferences>
  <definedNames>
    <definedName name="_xlnm._FilterDatabase" localSheetId="0" hidden="1">'DC - 2025 (2)'!$A$1:$BK$1</definedName>
    <definedName name="lokesh" localSheetId="0">#REF!</definedName>
    <definedName name="lokesh">#REF!</definedName>
    <definedName name="States">'[2]Master Codes'!$H$3:$H$40</definedName>
    <definedName name="Units">'[2]Master Codes'!$E$3:$E$47</definedName>
    <definedName name="vishal">#REF!</definedName>
    <definedName name="vishall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C197" i="1" l="1"/>
  <c r="AY197" i="1"/>
  <c r="AW197" i="1"/>
  <c r="AR197" i="1"/>
  <c r="AN197" i="1"/>
  <c r="AU197" i="1" s="1"/>
  <c r="AE197" i="1"/>
  <c r="AY196" i="1"/>
  <c r="AW196" i="1"/>
  <c r="AR196" i="1"/>
  <c r="AN196" i="1"/>
  <c r="AE196" i="1"/>
  <c r="BC195" i="1"/>
  <c r="BB195" i="1"/>
  <c r="AY195" i="1"/>
  <c r="AW195" i="1"/>
  <c r="AU195" i="1"/>
  <c r="AR195" i="1"/>
  <c r="AN195" i="1"/>
  <c r="AE195" i="1"/>
  <c r="AO195" i="1" s="1"/>
  <c r="BC194" i="1"/>
  <c r="BB194" i="1"/>
  <c r="AY194" i="1"/>
  <c r="AW194" i="1"/>
  <c r="AR194" i="1"/>
  <c r="AN194" i="1"/>
  <c r="AU194" i="1" s="1"/>
  <c r="AE194" i="1"/>
  <c r="AO194" i="1" s="1"/>
  <c r="AV194" i="1" s="1"/>
  <c r="BH194" i="1" s="1"/>
  <c r="AY193" i="1"/>
  <c r="AW193" i="1"/>
  <c r="AR193" i="1"/>
  <c r="AN193" i="1"/>
  <c r="AU193" i="1" s="1"/>
  <c r="AE193" i="1"/>
  <c r="AO193" i="1" s="1"/>
  <c r="AY192" i="1"/>
  <c r="AW192" i="1"/>
  <c r="AR192" i="1"/>
  <c r="AN192" i="1"/>
  <c r="AU192" i="1" s="1"/>
  <c r="AE192" i="1"/>
  <c r="BC191" i="1"/>
  <c r="AZ191" i="1"/>
  <c r="AY191" i="1"/>
  <c r="AX191" i="1"/>
  <c r="AW191" i="1" s="1"/>
  <c r="AR191" i="1"/>
  <c r="AN191" i="1"/>
  <c r="AU191" i="1" s="1"/>
  <c r="AE191" i="1"/>
  <c r="G191" i="1"/>
  <c r="AY190" i="1"/>
  <c r="AW190" i="1"/>
  <c r="AR190" i="1"/>
  <c r="AN190" i="1"/>
  <c r="AU190" i="1" s="1"/>
  <c r="AE190" i="1"/>
  <c r="AO190" i="1" s="1"/>
  <c r="AV190" i="1" s="1"/>
  <c r="BH190" i="1" s="1"/>
  <c r="BB189" i="1"/>
  <c r="AZ189" i="1"/>
  <c r="AY189" i="1"/>
  <c r="AW189" i="1"/>
  <c r="AR189" i="1"/>
  <c r="AN189" i="1"/>
  <c r="AU189" i="1" s="1"/>
  <c r="AE189" i="1"/>
  <c r="AO189" i="1" s="1"/>
  <c r="BC188" i="1"/>
  <c r="AY188" i="1"/>
  <c r="AW188" i="1"/>
  <c r="AU188" i="1"/>
  <c r="AR188" i="1"/>
  <c r="AN188" i="1"/>
  <c r="AE188" i="1"/>
  <c r="AO188" i="1" s="1"/>
  <c r="AV188" i="1" s="1"/>
  <c r="BH188" i="1" s="1"/>
  <c r="BC187" i="1"/>
  <c r="BB187" i="1"/>
  <c r="AZ187" i="1"/>
  <c r="AY187" i="1"/>
  <c r="AW187" i="1"/>
  <c r="AR187" i="1"/>
  <c r="AN187" i="1"/>
  <c r="AU187" i="1" s="1"/>
  <c r="AE187" i="1"/>
  <c r="G187" i="1"/>
  <c r="AZ186" i="1"/>
  <c r="AY186" i="1"/>
  <c r="AW186" i="1"/>
  <c r="AR186" i="1"/>
  <c r="AN186" i="1"/>
  <c r="AE186" i="1"/>
  <c r="BC185" i="1"/>
  <c r="BB185" i="1"/>
  <c r="AZ185" i="1"/>
  <c r="AY185" i="1"/>
  <c r="AW185" i="1"/>
  <c r="AR185" i="1"/>
  <c r="AN185" i="1"/>
  <c r="AE185" i="1"/>
  <c r="BC184" i="1"/>
  <c r="AZ184" i="1"/>
  <c r="AY184" i="1"/>
  <c r="AW184" i="1"/>
  <c r="AR184" i="1"/>
  <c r="AN184" i="1"/>
  <c r="AU184" i="1" s="1"/>
  <c r="AE184" i="1"/>
  <c r="BB183" i="1"/>
  <c r="AZ183" i="1"/>
  <c r="AY183" i="1"/>
  <c r="AW183" i="1"/>
  <c r="AR183" i="1"/>
  <c r="AN183" i="1"/>
  <c r="AU183" i="1" s="1"/>
  <c r="AE183" i="1"/>
  <c r="G183" i="1"/>
  <c r="BC182" i="1"/>
  <c r="AZ182" i="1"/>
  <c r="AY182" i="1"/>
  <c r="AW182" i="1"/>
  <c r="AR182" i="1"/>
  <c r="AG182" i="1"/>
  <c r="AN182" i="1" s="1"/>
  <c r="AU182" i="1" s="1"/>
  <c r="AE182" i="1"/>
  <c r="BC181" i="1"/>
  <c r="AZ181" i="1"/>
  <c r="AY181" i="1"/>
  <c r="AW181" i="1"/>
  <c r="AR181" i="1"/>
  <c r="AN181" i="1"/>
  <c r="AU181" i="1" s="1"/>
  <c r="AE181" i="1"/>
  <c r="G181" i="1"/>
  <c r="BC180" i="1"/>
  <c r="AZ180" i="1"/>
  <c r="AY180" i="1"/>
  <c r="AW180" i="1"/>
  <c r="AR180" i="1"/>
  <c r="AN180" i="1"/>
  <c r="AU180" i="1" s="1"/>
  <c r="AE180" i="1"/>
  <c r="G180" i="1"/>
  <c r="BC179" i="1"/>
  <c r="AZ179" i="1"/>
  <c r="AY179" i="1"/>
  <c r="AW179" i="1"/>
  <c r="AR179" i="1"/>
  <c r="AN179" i="1"/>
  <c r="AU179" i="1" s="1"/>
  <c r="AE179" i="1"/>
  <c r="G179" i="1"/>
  <c r="BC178" i="1"/>
  <c r="BB178" i="1"/>
  <c r="AZ178" i="1"/>
  <c r="AY178" i="1"/>
  <c r="AW178" i="1"/>
  <c r="AR178" i="1"/>
  <c r="AN178" i="1"/>
  <c r="AU178" i="1" s="1"/>
  <c r="AE178" i="1"/>
  <c r="AO178" i="1" s="1"/>
  <c r="G178" i="1"/>
  <c r="BB177" i="1"/>
  <c r="AZ177" i="1"/>
  <c r="AY177" i="1"/>
  <c r="AW177" i="1"/>
  <c r="AU177" i="1"/>
  <c r="AR177" i="1"/>
  <c r="AN177" i="1"/>
  <c r="AE177" i="1"/>
  <c r="AO177" i="1" s="1"/>
  <c r="AZ176" i="1"/>
  <c r="AY176" i="1"/>
  <c r="AW176" i="1"/>
  <c r="AR176" i="1"/>
  <c r="AN176" i="1"/>
  <c r="AU176" i="1" s="1"/>
  <c r="AE176" i="1"/>
  <c r="BC175" i="1"/>
  <c r="AZ175" i="1"/>
  <c r="AY175" i="1"/>
  <c r="AW175" i="1"/>
  <c r="AR175" i="1"/>
  <c r="AN175" i="1"/>
  <c r="AU175" i="1" s="1"/>
  <c r="AE175" i="1"/>
  <c r="G175" i="1"/>
  <c r="BC174" i="1"/>
  <c r="BB174" i="1"/>
  <c r="AZ174" i="1"/>
  <c r="AY174" i="1"/>
  <c r="AW174" i="1"/>
  <c r="AR174" i="1"/>
  <c r="AN174" i="1"/>
  <c r="AU174" i="1" s="1"/>
  <c r="AE174" i="1"/>
  <c r="G174" i="1"/>
  <c r="AZ173" i="1"/>
  <c r="AY173" i="1"/>
  <c r="AW173" i="1"/>
  <c r="AR173" i="1"/>
  <c r="AN173" i="1"/>
  <c r="AU173" i="1" s="1"/>
  <c r="AE173" i="1"/>
  <c r="G173" i="1"/>
  <c r="BG172" i="1"/>
  <c r="BC172" i="1"/>
  <c r="BB172" i="1"/>
  <c r="AZ172" i="1"/>
  <c r="AY172" i="1"/>
  <c r="AW172" i="1"/>
  <c r="AR172" i="1"/>
  <c r="AN172" i="1"/>
  <c r="AU172" i="1" s="1"/>
  <c r="AE172" i="1"/>
  <c r="G172" i="1"/>
  <c r="BC171" i="1"/>
  <c r="AZ171" i="1"/>
  <c r="AY171" i="1"/>
  <c r="AW171" i="1"/>
  <c r="AR171" i="1"/>
  <c r="AN171" i="1"/>
  <c r="AU171" i="1" s="1"/>
  <c r="AE171" i="1"/>
  <c r="AZ170" i="1"/>
  <c r="AY170" i="1"/>
  <c r="AW170" i="1"/>
  <c r="AR170" i="1"/>
  <c r="AN170" i="1"/>
  <c r="AU170" i="1" s="1"/>
  <c r="AE170" i="1"/>
  <c r="G170" i="1"/>
  <c r="BC169" i="1"/>
  <c r="AZ169" i="1"/>
  <c r="AY169" i="1"/>
  <c r="AW169" i="1"/>
  <c r="AR169" i="1"/>
  <c r="AN169" i="1"/>
  <c r="AU169" i="1" s="1"/>
  <c r="AE169" i="1"/>
  <c r="AO169" i="1" s="1"/>
  <c r="G169" i="1"/>
  <c r="BC168" i="1"/>
  <c r="AZ168" i="1"/>
  <c r="AY168" i="1"/>
  <c r="AX168" i="1"/>
  <c r="AW168" i="1" s="1"/>
  <c r="AR168" i="1"/>
  <c r="AN168" i="1"/>
  <c r="AU168" i="1" s="1"/>
  <c r="AE168" i="1"/>
  <c r="G168" i="1"/>
  <c r="BC167" i="1"/>
  <c r="AZ167" i="1"/>
  <c r="AY167" i="1"/>
  <c r="AW167" i="1"/>
  <c r="AR167" i="1"/>
  <c r="AN167" i="1"/>
  <c r="AU167" i="1" s="1"/>
  <c r="AE167" i="1"/>
  <c r="G167" i="1"/>
  <c r="BC166" i="1"/>
  <c r="AZ166" i="1"/>
  <c r="AY166" i="1"/>
  <c r="AW166" i="1"/>
  <c r="AR166" i="1"/>
  <c r="AN166" i="1"/>
  <c r="AU166" i="1" s="1"/>
  <c r="AE166" i="1"/>
  <c r="G166" i="1"/>
  <c r="BC165" i="1"/>
  <c r="AZ165" i="1"/>
  <c r="AY165" i="1"/>
  <c r="AW165" i="1"/>
  <c r="AR165" i="1"/>
  <c r="AN165" i="1"/>
  <c r="AU165" i="1" s="1"/>
  <c r="AE165" i="1"/>
  <c r="G165" i="1"/>
  <c r="BC164" i="1"/>
  <c r="AZ164" i="1"/>
  <c r="AY164" i="1"/>
  <c r="AW164" i="1"/>
  <c r="AR164" i="1"/>
  <c r="AN164" i="1"/>
  <c r="AU164" i="1" s="1"/>
  <c r="AE164" i="1"/>
  <c r="AO164" i="1" s="1"/>
  <c r="G164" i="1"/>
  <c r="AZ163" i="1"/>
  <c r="AY163" i="1"/>
  <c r="AW163" i="1"/>
  <c r="AR163" i="1"/>
  <c r="AN163" i="1"/>
  <c r="AU163" i="1" s="1"/>
  <c r="AE163" i="1"/>
  <c r="G163" i="1"/>
  <c r="BC162" i="1"/>
  <c r="AZ162" i="1"/>
  <c r="AY162" i="1"/>
  <c r="AW162" i="1"/>
  <c r="AR162" i="1"/>
  <c r="AN162" i="1"/>
  <c r="AU162" i="1" s="1"/>
  <c r="AE162" i="1"/>
  <c r="AO162" i="1" s="1"/>
  <c r="G162" i="1"/>
  <c r="BB161" i="1"/>
  <c r="AZ161" i="1"/>
  <c r="AY161" i="1"/>
  <c r="AW161" i="1"/>
  <c r="AR161" i="1"/>
  <c r="AN161" i="1"/>
  <c r="AU161" i="1" s="1"/>
  <c r="AE161" i="1"/>
  <c r="G161" i="1"/>
  <c r="BC160" i="1"/>
  <c r="AZ160" i="1"/>
  <c r="AY160" i="1"/>
  <c r="AW160" i="1"/>
  <c r="AR160" i="1"/>
  <c r="AN160" i="1"/>
  <c r="AU160" i="1" s="1"/>
  <c r="AE160" i="1"/>
  <c r="G160" i="1"/>
  <c r="AZ159" i="1"/>
  <c r="AY159" i="1"/>
  <c r="AW159" i="1"/>
  <c r="AR159" i="1"/>
  <c r="AN159" i="1"/>
  <c r="AU159" i="1" s="1"/>
  <c r="AE159" i="1"/>
  <c r="AO159" i="1" s="1"/>
  <c r="G159" i="1"/>
  <c r="BC158" i="1"/>
  <c r="AY158" i="1"/>
  <c r="AW158" i="1"/>
  <c r="AR158" i="1"/>
  <c r="AN158" i="1"/>
  <c r="AE158" i="1"/>
  <c r="G158" i="1"/>
  <c r="AZ157" i="1"/>
  <c r="AY157" i="1"/>
  <c r="AW157" i="1"/>
  <c r="AU157" i="1"/>
  <c r="AR157" i="1"/>
  <c r="AN157" i="1"/>
  <c r="AE157" i="1"/>
  <c r="G157" i="1"/>
  <c r="BC156" i="1"/>
  <c r="BB156" i="1"/>
  <c r="AZ156" i="1"/>
  <c r="AY156" i="1"/>
  <c r="AW156" i="1"/>
  <c r="AR156" i="1"/>
  <c r="AN156" i="1"/>
  <c r="AE156" i="1"/>
  <c r="G156" i="1"/>
  <c r="BC155" i="1"/>
  <c r="BB155" i="1"/>
  <c r="AZ155" i="1"/>
  <c r="AY155" i="1"/>
  <c r="AW155" i="1"/>
  <c r="AR155" i="1"/>
  <c r="AN155" i="1"/>
  <c r="AU155" i="1" s="1"/>
  <c r="AE155" i="1"/>
  <c r="AO155" i="1" s="1"/>
  <c r="G155" i="1"/>
  <c r="BC154" i="1"/>
  <c r="AZ154" i="1"/>
  <c r="AY154" i="1"/>
  <c r="AW154" i="1"/>
  <c r="AU154" i="1"/>
  <c r="AR154" i="1"/>
  <c r="AN154" i="1"/>
  <c r="AE154" i="1"/>
  <c r="G154" i="1"/>
  <c r="BC153" i="1"/>
  <c r="BB153" i="1"/>
  <c r="AZ153" i="1"/>
  <c r="AY153" i="1"/>
  <c r="AW153" i="1"/>
  <c r="AR153" i="1"/>
  <c r="AN153" i="1"/>
  <c r="AU153" i="1" s="1"/>
  <c r="AE153" i="1"/>
  <c r="G153" i="1"/>
  <c r="BC152" i="1"/>
  <c r="BB152" i="1"/>
  <c r="AZ152" i="1"/>
  <c r="AY152" i="1"/>
  <c r="AW152" i="1"/>
  <c r="AR152" i="1"/>
  <c r="AN152" i="1"/>
  <c r="AU152" i="1" s="1"/>
  <c r="AE152" i="1"/>
  <c r="AO152" i="1" s="1"/>
  <c r="BC151" i="1"/>
  <c r="AZ151" i="1"/>
  <c r="AY151" i="1"/>
  <c r="AW151" i="1"/>
  <c r="AR151" i="1"/>
  <c r="AN151" i="1"/>
  <c r="AU151" i="1" s="1"/>
  <c r="AE151" i="1"/>
  <c r="AO151" i="1" s="1"/>
  <c r="BC150" i="1"/>
  <c r="AZ150" i="1"/>
  <c r="AY150" i="1"/>
  <c r="AW150" i="1"/>
  <c r="AR150" i="1"/>
  <c r="AN150" i="1"/>
  <c r="AO150" i="1" s="1"/>
  <c r="AV150" i="1" s="1"/>
  <c r="BH150" i="1" s="1"/>
  <c r="AE150" i="1"/>
  <c r="G150" i="1"/>
  <c r="BB149" i="1"/>
  <c r="AZ149" i="1"/>
  <c r="AY149" i="1"/>
  <c r="AW149" i="1"/>
  <c r="AR149" i="1"/>
  <c r="AN149" i="1"/>
  <c r="AU149" i="1" s="1"/>
  <c r="AE149" i="1"/>
  <c r="AO149" i="1" s="1"/>
  <c r="AV149" i="1" s="1"/>
  <c r="BH149" i="1" s="1"/>
  <c r="G149" i="1"/>
  <c r="BC148" i="1"/>
  <c r="BB148" i="1"/>
  <c r="AZ148" i="1"/>
  <c r="AY148" i="1"/>
  <c r="AW148" i="1"/>
  <c r="AR148" i="1"/>
  <c r="AN148" i="1"/>
  <c r="AU148" i="1" s="1"/>
  <c r="AE148" i="1"/>
  <c r="G148" i="1"/>
  <c r="BC147" i="1"/>
  <c r="BB147" i="1"/>
  <c r="AZ147" i="1"/>
  <c r="AY147" i="1"/>
  <c r="AW147" i="1"/>
  <c r="AR147" i="1"/>
  <c r="AN147" i="1"/>
  <c r="AU147" i="1" s="1"/>
  <c r="AE147" i="1"/>
  <c r="G147" i="1"/>
  <c r="BB146" i="1"/>
  <c r="AZ146" i="1"/>
  <c r="AY146" i="1"/>
  <c r="AW146" i="1"/>
  <c r="AR146" i="1"/>
  <c r="AN146" i="1"/>
  <c r="AU146" i="1" s="1"/>
  <c r="AE146" i="1"/>
  <c r="G146" i="1"/>
  <c r="BC145" i="1"/>
  <c r="AZ145" i="1"/>
  <c r="AY145" i="1"/>
  <c r="AW145" i="1"/>
  <c r="AR145" i="1"/>
  <c r="AN145" i="1"/>
  <c r="AU145" i="1" s="1"/>
  <c r="AE145" i="1"/>
  <c r="G145" i="1"/>
  <c r="AZ144" i="1"/>
  <c r="BA144" i="1" s="1"/>
  <c r="AY144" i="1"/>
  <c r="AR144" i="1"/>
  <c r="AN144" i="1"/>
  <c r="AU144" i="1" s="1"/>
  <c r="AE144" i="1"/>
  <c r="BC143" i="1"/>
  <c r="BB143" i="1"/>
  <c r="AZ143" i="1"/>
  <c r="AY143" i="1"/>
  <c r="AW143" i="1"/>
  <c r="AR143" i="1"/>
  <c r="AN143" i="1"/>
  <c r="AU143" i="1" s="1"/>
  <c r="AE143" i="1"/>
  <c r="AO143" i="1" s="1"/>
  <c r="AV143" i="1" s="1"/>
  <c r="BH143" i="1" s="1"/>
  <c r="G143" i="1"/>
  <c r="BC142" i="1"/>
  <c r="AZ142" i="1"/>
  <c r="AY142" i="1"/>
  <c r="AW142" i="1"/>
  <c r="AR142" i="1"/>
  <c r="AN142" i="1"/>
  <c r="AU142" i="1" s="1"/>
  <c r="AE142" i="1"/>
  <c r="G142" i="1"/>
  <c r="BC141" i="1"/>
  <c r="AZ141" i="1"/>
  <c r="AY141" i="1"/>
  <c r="AW141" i="1"/>
  <c r="AR141" i="1"/>
  <c r="AN141" i="1"/>
  <c r="AU141" i="1" s="1"/>
  <c r="AE141" i="1"/>
  <c r="G141" i="1"/>
  <c r="AZ140" i="1"/>
  <c r="AY140" i="1"/>
  <c r="AW140" i="1"/>
  <c r="AR140" i="1"/>
  <c r="AN140" i="1"/>
  <c r="AU140" i="1" s="1"/>
  <c r="AE140" i="1"/>
  <c r="G140" i="1"/>
  <c r="AZ139" i="1"/>
  <c r="AY139" i="1"/>
  <c r="AR139" i="1"/>
  <c r="AN139" i="1"/>
  <c r="AU139" i="1" s="1"/>
  <c r="AE139" i="1"/>
  <c r="G139" i="1"/>
  <c r="BC138" i="1"/>
  <c r="AZ138" i="1"/>
  <c r="AY138" i="1"/>
  <c r="AW138" i="1"/>
  <c r="AR138" i="1"/>
  <c r="AN138" i="1"/>
  <c r="AU138" i="1" s="1"/>
  <c r="AE138" i="1"/>
  <c r="G138" i="1"/>
  <c r="BC137" i="1"/>
  <c r="AZ137" i="1"/>
  <c r="AY137" i="1"/>
  <c r="AW137" i="1"/>
  <c r="AR137" i="1"/>
  <c r="AN137" i="1"/>
  <c r="AU137" i="1" s="1"/>
  <c r="AE137" i="1"/>
  <c r="AO137" i="1" s="1"/>
  <c r="AV137" i="1" s="1"/>
  <c r="BH137" i="1" s="1"/>
  <c r="G137" i="1"/>
  <c r="BC136" i="1"/>
  <c r="BB136" i="1"/>
  <c r="AZ136" i="1"/>
  <c r="AY136" i="1"/>
  <c r="AW136" i="1"/>
  <c r="AR136" i="1"/>
  <c r="AN136" i="1"/>
  <c r="AU136" i="1" s="1"/>
  <c r="AE136" i="1"/>
  <c r="G136" i="1"/>
  <c r="BC135" i="1"/>
  <c r="BB135" i="1"/>
  <c r="AY135" i="1"/>
  <c r="AW135" i="1"/>
  <c r="AR135" i="1"/>
  <c r="AN135" i="1"/>
  <c r="AU135" i="1" s="1"/>
  <c r="AE135" i="1"/>
  <c r="G135" i="1"/>
  <c r="BC134" i="1"/>
  <c r="AY134" i="1"/>
  <c r="AW134" i="1"/>
  <c r="AR134" i="1"/>
  <c r="AN134" i="1"/>
  <c r="AU134" i="1" s="1"/>
  <c r="AE134" i="1"/>
  <c r="G134" i="1"/>
  <c r="BC133" i="1"/>
  <c r="BB133" i="1"/>
  <c r="AY133" i="1"/>
  <c r="AW133" i="1"/>
  <c r="AR133" i="1"/>
  <c r="AN133" i="1"/>
  <c r="AU133" i="1" s="1"/>
  <c r="AE133" i="1"/>
  <c r="G133" i="1"/>
  <c r="BC132" i="1"/>
  <c r="BB132" i="1"/>
  <c r="AY132" i="1"/>
  <c r="AW132" i="1"/>
  <c r="AR132" i="1"/>
  <c r="AN132" i="1"/>
  <c r="AE132" i="1"/>
  <c r="G132" i="1"/>
  <c r="BC131" i="1"/>
  <c r="AZ131" i="1"/>
  <c r="AY131" i="1"/>
  <c r="AW131" i="1"/>
  <c r="AR131" i="1"/>
  <c r="AN131" i="1"/>
  <c r="AU131" i="1" s="1"/>
  <c r="AE131" i="1"/>
  <c r="G131" i="1"/>
  <c r="AY130" i="1"/>
  <c r="AW130" i="1"/>
  <c r="AR130" i="1"/>
  <c r="AN130" i="1"/>
  <c r="AU130" i="1" s="1"/>
  <c r="AE130" i="1"/>
  <c r="G130" i="1"/>
  <c r="BC129" i="1"/>
  <c r="BB129" i="1"/>
  <c r="AY129" i="1"/>
  <c r="AW129" i="1"/>
  <c r="AR129" i="1"/>
  <c r="AN129" i="1"/>
  <c r="AU129" i="1" s="1"/>
  <c r="AE129" i="1"/>
  <c r="G129" i="1"/>
  <c r="AZ128" i="1"/>
  <c r="AY128" i="1"/>
  <c r="AW128" i="1"/>
  <c r="AR128" i="1"/>
  <c r="AN128" i="1"/>
  <c r="AU128" i="1" s="1"/>
  <c r="AE128" i="1"/>
  <c r="G128" i="1"/>
  <c r="BB127" i="1"/>
  <c r="AZ127" i="1"/>
  <c r="AY127" i="1"/>
  <c r="AW127" i="1"/>
  <c r="AR127" i="1"/>
  <c r="AN127" i="1"/>
  <c r="AU127" i="1" s="1"/>
  <c r="AE127" i="1"/>
  <c r="AO127" i="1" s="1"/>
  <c r="AV127" i="1" s="1"/>
  <c r="BH127" i="1" s="1"/>
  <c r="G127" i="1"/>
  <c r="BC126" i="1"/>
  <c r="AZ126" i="1"/>
  <c r="AY126" i="1"/>
  <c r="AW126" i="1"/>
  <c r="AR126" i="1"/>
  <c r="AN126" i="1"/>
  <c r="AU126" i="1" s="1"/>
  <c r="AE126" i="1"/>
  <c r="G126" i="1"/>
  <c r="BA125" i="1"/>
  <c r="AW125" i="1"/>
  <c r="AR125" i="1"/>
  <c r="AN125" i="1"/>
  <c r="AU125" i="1" s="1"/>
  <c r="AE125" i="1"/>
  <c r="G125" i="1"/>
  <c r="AX124" i="1"/>
  <c r="AW124" i="1"/>
  <c r="AR124" i="1"/>
  <c r="AN124" i="1"/>
  <c r="AE124" i="1"/>
  <c r="AX123" i="1"/>
  <c r="AW123" i="1"/>
  <c r="AR123" i="1"/>
  <c r="AN123" i="1"/>
  <c r="AU123" i="1" s="1"/>
  <c r="AE123" i="1"/>
  <c r="G123" i="1"/>
  <c r="BA122" i="1"/>
  <c r="AW122" i="1"/>
  <c r="AR122" i="1"/>
  <c r="AN122" i="1"/>
  <c r="AU122" i="1" s="1"/>
  <c r="AE122" i="1"/>
  <c r="AO122" i="1" s="1"/>
  <c r="AV122" i="1" s="1"/>
  <c r="G122" i="1"/>
  <c r="BA121" i="1"/>
  <c r="AW121" i="1"/>
  <c r="AR121" i="1"/>
  <c r="AN121" i="1"/>
  <c r="AU121" i="1" s="1"/>
  <c r="AC121" i="1"/>
  <c r="AE121" i="1" s="1"/>
  <c r="G121" i="1"/>
  <c r="AZ120" i="1"/>
  <c r="AW120" i="1"/>
  <c r="AR120" i="1"/>
  <c r="AN120" i="1"/>
  <c r="AU120" i="1" s="1"/>
  <c r="AC120" i="1"/>
  <c r="AE120" i="1" s="1"/>
  <c r="AO120" i="1" s="1"/>
  <c r="G120" i="1"/>
  <c r="BA119" i="1"/>
  <c r="AW119" i="1"/>
  <c r="AR119" i="1"/>
  <c r="AN119" i="1"/>
  <c r="AC119" i="1"/>
  <c r="AE119" i="1" s="1"/>
  <c r="BA118" i="1"/>
  <c r="AZ118" i="1"/>
  <c r="AW118" i="1"/>
  <c r="AR118" i="1"/>
  <c r="AN118" i="1"/>
  <c r="AU118" i="1" s="1"/>
  <c r="AC118" i="1"/>
  <c r="AE118" i="1" s="1"/>
  <c r="G118" i="1"/>
  <c r="BA117" i="1"/>
  <c r="AZ117" i="1"/>
  <c r="AW117" i="1"/>
  <c r="AR117" i="1"/>
  <c r="AN117" i="1"/>
  <c r="AU117" i="1" s="1"/>
  <c r="AC117" i="1"/>
  <c r="AE117" i="1" s="1"/>
  <c r="BA116" i="1"/>
  <c r="AZ116" i="1"/>
  <c r="AW116" i="1"/>
  <c r="AR116" i="1"/>
  <c r="AN116" i="1"/>
  <c r="AU116" i="1" s="1"/>
  <c r="AE116" i="1"/>
  <c r="G116" i="1"/>
  <c r="BA115" i="1"/>
  <c r="AW115" i="1"/>
  <c r="AU115" i="1"/>
  <c r="AR115" i="1"/>
  <c r="AN115" i="1"/>
  <c r="AE115" i="1"/>
  <c r="G115" i="1"/>
  <c r="BA114" i="1"/>
  <c r="AW114" i="1"/>
  <c r="AR114" i="1"/>
  <c r="AN114" i="1"/>
  <c r="AU114" i="1" s="1"/>
  <c r="AC114" i="1"/>
  <c r="AE114" i="1" s="1"/>
  <c r="BA113" i="1"/>
  <c r="AZ113" i="1"/>
  <c r="AW113" i="1"/>
  <c r="AR113" i="1"/>
  <c r="AN113" i="1"/>
  <c r="AU113" i="1" s="1"/>
  <c r="AC113" i="1"/>
  <c r="AE113" i="1" s="1"/>
  <c r="G113" i="1"/>
  <c r="AW112" i="1"/>
  <c r="AR112" i="1"/>
  <c r="AN112" i="1"/>
  <c r="AU112" i="1" s="1"/>
  <c r="AE112" i="1"/>
  <c r="G112" i="1"/>
  <c r="BA111" i="1"/>
  <c r="AW111" i="1"/>
  <c r="AR111" i="1"/>
  <c r="AN111" i="1"/>
  <c r="AU111" i="1" s="1"/>
  <c r="AE111" i="1"/>
  <c r="G111" i="1"/>
  <c r="AW110" i="1"/>
  <c r="AR110" i="1"/>
  <c r="AN110" i="1"/>
  <c r="AU110" i="1" s="1"/>
  <c r="AC110" i="1"/>
  <c r="AE110" i="1" s="1"/>
  <c r="G110" i="1"/>
  <c r="BA109" i="1"/>
  <c r="AZ109" i="1"/>
  <c r="AW109" i="1"/>
  <c r="AR109" i="1"/>
  <c r="AN109" i="1"/>
  <c r="AU109" i="1" s="1"/>
  <c r="AC109" i="1"/>
  <c r="AE109" i="1" s="1"/>
  <c r="G109" i="1"/>
  <c r="BA108" i="1"/>
  <c r="AW108" i="1"/>
  <c r="AR108" i="1"/>
  <c r="AN108" i="1"/>
  <c r="AU108" i="1" s="1"/>
  <c r="AC108" i="1"/>
  <c r="AE108" i="1" s="1"/>
  <c r="G108" i="1"/>
  <c r="BA107" i="1"/>
  <c r="AZ107" i="1"/>
  <c r="AW107" i="1"/>
  <c r="AR107" i="1"/>
  <c r="AN107" i="1"/>
  <c r="AU107" i="1" s="1"/>
  <c r="AC107" i="1"/>
  <c r="AE107" i="1" s="1"/>
  <c r="G107" i="1"/>
  <c r="BA106" i="1"/>
  <c r="AZ106" i="1"/>
  <c r="AW106" i="1"/>
  <c r="AR106" i="1"/>
  <c r="AN106" i="1"/>
  <c r="AU106" i="1" s="1"/>
  <c r="AC106" i="1"/>
  <c r="AE106" i="1" s="1"/>
  <c r="AO106" i="1" s="1"/>
  <c r="G106" i="1"/>
  <c r="BA105" i="1"/>
  <c r="AW105" i="1"/>
  <c r="AR105" i="1"/>
  <c r="AN105" i="1"/>
  <c r="AU105" i="1" s="1"/>
  <c r="AE105" i="1"/>
  <c r="AO105" i="1" s="1"/>
  <c r="G105" i="1"/>
  <c r="BA104" i="1"/>
  <c r="AW104" i="1"/>
  <c r="AR104" i="1"/>
  <c r="AN104" i="1"/>
  <c r="AU104" i="1" s="1"/>
  <c r="AC104" i="1"/>
  <c r="AE104" i="1" s="1"/>
  <c r="G104" i="1"/>
  <c r="AZ103" i="1"/>
  <c r="AW103" i="1"/>
  <c r="AR103" i="1"/>
  <c r="AN103" i="1"/>
  <c r="AU103" i="1" s="1"/>
  <c r="AE103" i="1"/>
  <c r="AC103" i="1"/>
  <c r="G103" i="1"/>
  <c r="AX102" i="1"/>
  <c r="AW102" i="1"/>
  <c r="AR102" i="1"/>
  <c r="AN102" i="1"/>
  <c r="AU102" i="1" s="1"/>
  <c r="AE102" i="1"/>
  <c r="G102" i="1"/>
  <c r="BC101" i="1"/>
  <c r="AY101" i="1"/>
  <c r="AW101" i="1"/>
  <c r="AR101" i="1"/>
  <c r="AH101" i="1"/>
  <c r="AN101" i="1" s="1"/>
  <c r="AU101" i="1" s="1"/>
  <c r="AC101" i="1"/>
  <c r="AE101" i="1" s="1"/>
  <c r="AO101" i="1" s="1"/>
  <c r="AV101" i="1" s="1"/>
  <c r="G101" i="1"/>
  <c r="BC100" i="1"/>
  <c r="BB100" i="1"/>
  <c r="AY100" i="1"/>
  <c r="AW100" i="1"/>
  <c r="AR100" i="1"/>
  <c r="AN100" i="1"/>
  <c r="AU100" i="1" s="1"/>
  <c r="AC100" i="1"/>
  <c r="AE100" i="1" s="1"/>
  <c r="AO100" i="1" s="1"/>
  <c r="G100" i="1"/>
  <c r="BB99" i="1"/>
  <c r="AY99" i="1"/>
  <c r="AW99" i="1"/>
  <c r="AR99" i="1"/>
  <c r="AN99" i="1"/>
  <c r="AU99" i="1" s="1"/>
  <c r="AC99" i="1"/>
  <c r="AE99" i="1" s="1"/>
  <c r="AO99" i="1" s="1"/>
  <c r="G99" i="1"/>
  <c r="BC98" i="1"/>
  <c r="AY98" i="1"/>
  <c r="AW98" i="1"/>
  <c r="AR98" i="1"/>
  <c r="AN98" i="1"/>
  <c r="AC98" i="1"/>
  <c r="AE98" i="1" s="1"/>
  <c r="G98" i="1"/>
  <c r="AY97" i="1"/>
  <c r="AW97" i="1"/>
  <c r="AR97" i="1"/>
  <c r="AH97" i="1"/>
  <c r="AN97" i="1" s="1"/>
  <c r="AU97" i="1" s="1"/>
  <c r="AC97" i="1"/>
  <c r="AE97" i="1" s="1"/>
  <c r="G97" i="1"/>
  <c r="BB96" i="1"/>
  <c r="AY96" i="1"/>
  <c r="AW96" i="1"/>
  <c r="AR96" i="1"/>
  <c r="AN96" i="1"/>
  <c r="AU96" i="1" s="1"/>
  <c r="AC96" i="1"/>
  <c r="AE96" i="1" s="1"/>
  <c r="AO96" i="1" s="1"/>
  <c r="AV96" i="1" s="1"/>
  <c r="BH96" i="1" s="1"/>
  <c r="G96" i="1"/>
  <c r="BC95" i="1"/>
  <c r="AY95" i="1"/>
  <c r="AW95" i="1"/>
  <c r="AR95" i="1"/>
  <c r="AN95" i="1"/>
  <c r="AU95" i="1" s="1"/>
  <c r="AC95" i="1"/>
  <c r="AE95" i="1" s="1"/>
  <c r="G95" i="1"/>
  <c r="BB94" i="1"/>
  <c r="AY94" i="1"/>
  <c r="AW94" i="1"/>
  <c r="AU94" i="1"/>
  <c r="AR94" i="1"/>
  <c r="AN94" i="1"/>
  <c r="AC94" i="1"/>
  <c r="AE94" i="1" s="1"/>
  <c r="AO94" i="1" s="1"/>
  <c r="AV94" i="1" s="1"/>
  <c r="G94" i="1"/>
  <c r="BC93" i="1"/>
  <c r="AY93" i="1"/>
  <c r="AW93" i="1"/>
  <c r="AR93" i="1"/>
  <c r="AN93" i="1"/>
  <c r="AU93" i="1" s="1"/>
  <c r="AC93" i="1"/>
  <c r="AE93" i="1" s="1"/>
  <c r="G93" i="1"/>
  <c r="BB92" i="1"/>
  <c r="AY92" i="1"/>
  <c r="AW92" i="1"/>
  <c r="AR92" i="1"/>
  <c r="AN92" i="1"/>
  <c r="AU92" i="1" s="1"/>
  <c r="AC92" i="1"/>
  <c r="AE92" i="1" s="1"/>
  <c r="G92" i="1"/>
  <c r="BC91" i="1"/>
  <c r="BB91" i="1"/>
  <c r="AY91" i="1"/>
  <c r="AW91" i="1"/>
  <c r="AU91" i="1"/>
  <c r="AR91" i="1"/>
  <c r="AN91" i="1"/>
  <c r="AC91" i="1"/>
  <c r="AE91" i="1" s="1"/>
  <c r="AO91" i="1" s="1"/>
  <c r="G91" i="1"/>
  <c r="BB90" i="1"/>
  <c r="AY90" i="1"/>
  <c r="AW90" i="1"/>
  <c r="AR90" i="1"/>
  <c r="AN90" i="1"/>
  <c r="AU90" i="1" s="1"/>
  <c r="AC90" i="1"/>
  <c r="AE90" i="1" s="1"/>
  <c r="AO90" i="1" s="1"/>
  <c r="AV90" i="1" s="1"/>
  <c r="BH90" i="1" s="1"/>
  <c r="G90" i="1"/>
  <c r="BC89" i="1"/>
  <c r="BB89" i="1"/>
  <c r="AY89" i="1"/>
  <c r="AW89" i="1"/>
  <c r="AR89" i="1"/>
  <c r="AN89" i="1"/>
  <c r="AU89" i="1" s="1"/>
  <c r="AC89" i="1"/>
  <c r="AE89" i="1" s="1"/>
  <c r="G89" i="1"/>
  <c r="BC88" i="1"/>
  <c r="AY88" i="1"/>
  <c r="AW88" i="1"/>
  <c r="AR88" i="1"/>
  <c r="AN88" i="1"/>
  <c r="AU88" i="1" s="1"/>
  <c r="AC88" i="1"/>
  <c r="AE88" i="1" s="1"/>
  <c r="G88" i="1"/>
  <c r="BC87" i="1"/>
  <c r="BB87" i="1"/>
  <c r="AY87" i="1"/>
  <c r="AW87" i="1"/>
  <c r="AR87" i="1"/>
  <c r="AN87" i="1"/>
  <c r="AU87" i="1" s="1"/>
  <c r="AE87" i="1"/>
  <c r="G87" i="1"/>
  <c r="BC86" i="1"/>
  <c r="AY86" i="1"/>
  <c r="AW86" i="1"/>
  <c r="AR86" i="1"/>
  <c r="AN86" i="1"/>
  <c r="AU86" i="1" s="1"/>
  <c r="AC86" i="1"/>
  <c r="AE86" i="1" s="1"/>
  <c r="G86" i="1"/>
  <c r="BC85" i="1"/>
  <c r="BB85" i="1"/>
  <c r="BA85" i="1"/>
  <c r="AY85" i="1"/>
  <c r="AW85" i="1"/>
  <c r="AR85" i="1"/>
  <c r="AG85" i="1"/>
  <c r="AN85" i="1" s="1"/>
  <c r="AU85" i="1" s="1"/>
  <c r="AC85" i="1"/>
  <c r="AE85" i="1" s="1"/>
  <c r="G85" i="1"/>
  <c r="BC84" i="1"/>
  <c r="AY84" i="1"/>
  <c r="AX84" i="1"/>
  <c r="AW84" i="1" s="1"/>
  <c r="AR84" i="1"/>
  <c r="AN84" i="1"/>
  <c r="AU84" i="1" s="1"/>
  <c r="AE84" i="1"/>
  <c r="G84" i="1"/>
  <c r="BB83" i="1"/>
  <c r="AY83" i="1"/>
  <c r="AW83" i="1"/>
  <c r="AR83" i="1"/>
  <c r="AN83" i="1"/>
  <c r="AU83" i="1" s="1"/>
  <c r="AC83" i="1"/>
  <c r="AE83" i="1" s="1"/>
  <c r="AO83" i="1" s="1"/>
  <c r="G83" i="1"/>
  <c r="BC82" i="1"/>
  <c r="AY82" i="1"/>
  <c r="AW82" i="1"/>
  <c r="AR82" i="1"/>
  <c r="AN82" i="1"/>
  <c r="AU82" i="1" s="1"/>
  <c r="AE82" i="1"/>
  <c r="G82" i="1"/>
  <c r="BB81" i="1"/>
  <c r="AY81" i="1"/>
  <c r="AW81" i="1"/>
  <c r="AR81" i="1"/>
  <c r="AN81" i="1"/>
  <c r="AU81" i="1" s="1"/>
  <c r="AE81" i="1"/>
  <c r="AO81" i="1" s="1"/>
  <c r="AC81" i="1"/>
  <c r="G81" i="1"/>
  <c r="BB80" i="1"/>
  <c r="AY80" i="1"/>
  <c r="AW80" i="1"/>
  <c r="AR80" i="1"/>
  <c r="AN80" i="1"/>
  <c r="AU80" i="1" s="1"/>
  <c r="AC80" i="1"/>
  <c r="AE80" i="1" s="1"/>
  <c r="G80" i="1"/>
  <c r="AY79" i="1"/>
  <c r="AW79" i="1"/>
  <c r="AR79" i="1"/>
  <c r="AN79" i="1"/>
  <c r="AU79" i="1" s="1"/>
  <c r="AC79" i="1"/>
  <c r="AE79" i="1" s="1"/>
  <c r="AO79" i="1" s="1"/>
  <c r="G79" i="1"/>
  <c r="BC78" i="1"/>
  <c r="AY78" i="1"/>
  <c r="AW78" i="1"/>
  <c r="AR78" i="1"/>
  <c r="AN78" i="1"/>
  <c r="AU78" i="1" s="1"/>
  <c r="AC78" i="1"/>
  <c r="AE78" i="1" s="1"/>
  <c r="G78" i="1"/>
  <c r="BC77" i="1"/>
  <c r="BB77" i="1"/>
  <c r="AY77" i="1"/>
  <c r="AW77" i="1"/>
  <c r="AR77" i="1"/>
  <c r="AN77" i="1"/>
  <c r="AU77" i="1" s="1"/>
  <c r="AC77" i="1"/>
  <c r="AE77" i="1" s="1"/>
  <c r="G77" i="1"/>
  <c r="BC76" i="1"/>
  <c r="AY76" i="1"/>
  <c r="AW76" i="1"/>
  <c r="AR76" i="1"/>
  <c r="AN76" i="1"/>
  <c r="AU76" i="1" s="1"/>
  <c r="AC76" i="1"/>
  <c r="AE76" i="1" s="1"/>
  <c r="G76" i="1"/>
  <c r="BC75" i="1"/>
  <c r="BB75" i="1"/>
  <c r="AY75" i="1"/>
  <c r="AW75" i="1"/>
  <c r="AR75" i="1"/>
  <c r="AN75" i="1"/>
  <c r="AC75" i="1"/>
  <c r="AE75" i="1" s="1"/>
  <c r="G75" i="1"/>
  <c r="BC74" i="1"/>
  <c r="AY74" i="1"/>
  <c r="AW74" i="1"/>
  <c r="AR74" i="1"/>
  <c r="AN74" i="1"/>
  <c r="AU74" i="1" s="1"/>
  <c r="AC74" i="1"/>
  <c r="AE74" i="1" s="1"/>
  <c r="G74" i="1"/>
  <c r="BB73" i="1"/>
  <c r="AY73" i="1"/>
  <c r="AW73" i="1"/>
  <c r="AR73" i="1"/>
  <c r="AN73" i="1"/>
  <c r="AU73" i="1" s="1"/>
  <c r="AC73" i="1"/>
  <c r="AE73" i="1" s="1"/>
  <c r="AO73" i="1" s="1"/>
  <c r="G73" i="1"/>
  <c r="BB72" i="1"/>
  <c r="AY72" i="1"/>
  <c r="AW72" i="1"/>
  <c r="AR72" i="1"/>
  <c r="AN72" i="1"/>
  <c r="AC72" i="1"/>
  <c r="AE72" i="1" s="1"/>
  <c r="G72" i="1"/>
  <c r="AY71" i="1"/>
  <c r="AW71" i="1"/>
  <c r="AR71" i="1"/>
  <c r="AN71" i="1"/>
  <c r="AU71" i="1" s="1"/>
  <c r="AC71" i="1"/>
  <c r="AE71" i="1" s="1"/>
  <c r="G71" i="1"/>
  <c r="BC70" i="1"/>
  <c r="AY70" i="1"/>
  <c r="AW70" i="1"/>
  <c r="AR70" i="1"/>
  <c r="AN70" i="1"/>
  <c r="AU70" i="1" s="1"/>
  <c r="AE70" i="1"/>
  <c r="G70" i="1"/>
  <c r="BC69" i="1"/>
  <c r="AY69" i="1"/>
  <c r="AW69" i="1"/>
  <c r="AR69" i="1"/>
  <c r="AN69" i="1"/>
  <c r="AU69" i="1" s="1"/>
  <c r="AE69" i="1"/>
  <c r="G69" i="1"/>
  <c r="BC68" i="1"/>
  <c r="BB68" i="1"/>
  <c r="AY68" i="1"/>
  <c r="AW68" i="1"/>
  <c r="AR68" i="1"/>
  <c r="AN68" i="1"/>
  <c r="AU68" i="1" s="1"/>
  <c r="AC68" i="1"/>
  <c r="AE68" i="1" s="1"/>
  <c r="AO68" i="1" s="1"/>
  <c r="AV68" i="1" s="1"/>
  <c r="BH68" i="1" s="1"/>
  <c r="G68" i="1"/>
  <c r="BB67" i="1"/>
  <c r="AY67" i="1"/>
  <c r="AW67" i="1"/>
  <c r="AR67" i="1"/>
  <c r="AN67" i="1"/>
  <c r="AU67" i="1" s="1"/>
  <c r="AC67" i="1"/>
  <c r="AE67" i="1" s="1"/>
  <c r="G67" i="1"/>
  <c r="BC66" i="1"/>
  <c r="BB66" i="1"/>
  <c r="AY66" i="1"/>
  <c r="AW66" i="1"/>
  <c r="AR66" i="1"/>
  <c r="AN66" i="1"/>
  <c r="AU66" i="1" s="1"/>
  <c r="AC66" i="1"/>
  <c r="AE66" i="1" s="1"/>
  <c r="G66" i="1"/>
  <c r="BC65" i="1"/>
  <c r="AY65" i="1"/>
  <c r="AW65" i="1"/>
  <c r="AR65" i="1"/>
  <c r="AN65" i="1"/>
  <c r="AU65" i="1" s="1"/>
  <c r="AE65" i="1"/>
  <c r="AO65" i="1" s="1"/>
  <c r="BC64" i="1"/>
  <c r="BB64" i="1"/>
  <c r="AY64" i="1"/>
  <c r="AW64" i="1"/>
  <c r="AR64" i="1"/>
  <c r="AN64" i="1"/>
  <c r="AU64" i="1" s="1"/>
  <c r="AC64" i="1"/>
  <c r="AE64" i="1" s="1"/>
  <c r="AO64" i="1" s="1"/>
  <c r="AV64" i="1" s="1"/>
  <c r="G64" i="1"/>
  <c r="BC63" i="1"/>
  <c r="BB63" i="1"/>
  <c r="AY63" i="1"/>
  <c r="AW63" i="1"/>
  <c r="AR63" i="1"/>
  <c r="AN63" i="1"/>
  <c r="AU63" i="1" s="1"/>
  <c r="AE63" i="1"/>
  <c r="BC62" i="1"/>
  <c r="BB62" i="1"/>
  <c r="AY62" i="1"/>
  <c r="AW62" i="1"/>
  <c r="AR62" i="1"/>
  <c r="AN62" i="1"/>
  <c r="AU62" i="1" s="1"/>
  <c r="AC62" i="1"/>
  <c r="AE62" i="1" s="1"/>
  <c r="AO62" i="1" s="1"/>
  <c r="AV62" i="1" s="1"/>
  <c r="BH62" i="1" s="1"/>
  <c r="G62" i="1"/>
  <c r="BB61" i="1"/>
  <c r="AY61" i="1"/>
  <c r="AW61" i="1"/>
  <c r="AR61" i="1"/>
  <c r="AN61" i="1"/>
  <c r="AU61" i="1" s="1"/>
  <c r="AC61" i="1"/>
  <c r="AE61" i="1" s="1"/>
  <c r="G61" i="1"/>
  <c r="AY60" i="1"/>
  <c r="AW60" i="1"/>
  <c r="AR60" i="1"/>
  <c r="AN60" i="1"/>
  <c r="AU60" i="1" s="1"/>
  <c r="AE60" i="1"/>
  <c r="G60" i="1"/>
  <c r="BB59" i="1"/>
  <c r="AY59" i="1"/>
  <c r="AW59" i="1"/>
  <c r="AR59" i="1"/>
  <c r="AN59" i="1"/>
  <c r="AU59" i="1" s="1"/>
  <c r="AE59" i="1"/>
  <c r="AO59" i="1" s="1"/>
  <c r="G59" i="1"/>
  <c r="BC58" i="1"/>
  <c r="BB58" i="1"/>
  <c r="AY58" i="1"/>
  <c r="AW58" i="1"/>
  <c r="AR58" i="1"/>
  <c r="AN58" i="1"/>
  <c r="AU58" i="1" s="1"/>
  <c r="AE58" i="1"/>
  <c r="G58" i="1"/>
  <c r="BB57" i="1"/>
  <c r="AY57" i="1"/>
  <c r="AW57" i="1"/>
  <c r="AR57" i="1"/>
  <c r="AN57" i="1"/>
  <c r="AU57" i="1" s="1"/>
  <c r="AE57" i="1"/>
  <c r="AO57" i="1" s="1"/>
  <c r="G57" i="1"/>
  <c r="BC56" i="1"/>
  <c r="AY56" i="1"/>
  <c r="AW56" i="1"/>
  <c r="AR56" i="1"/>
  <c r="AM56" i="1"/>
  <c r="AN56" i="1" s="1"/>
  <c r="AE56" i="1"/>
  <c r="G56" i="1"/>
  <c r="BC55" i="1"/>
  <c r="AY55" i="1"/>
  <c r="AW55" i="1"/>
  <c r="AU55" i="1"/>
  <c r="AR55" i="1"/>
  <c r="AN55" i="1"/>
  <c r="AE55" i="1"/>
  <c r="G55" i="1"/>
  <c r="BC54" i="1"/>
  <c r="AY54" i="1"/>
  <c r="AW54" i="1"/>
  <c r="AR54" i="1"/>
  <c r="AN54" i="1"/>
  <c r="AU54" i="1" s="1"/>
  <c r="AE54" i="1"/>
  <c r="G54" i="1"/>
  <c r="BB53" i="1"/>
  <c r="AY53" i="1"/>
  <c r="AW53" i="1"/>
  <c r="AR53" i="1"/>
  <c r="AN53" i="1"/>
  <c r="AU53" i="1" s="1"/>
  <c r="AE53" i="1"/>
  <c r="G53" i="1"/>
  <c r="BC52" i="1"/>
  <c r="AY52" i="1"/>
  <c r="AW52" i="1"/>
  <c r="AR52" i="1"/>
  <c r="AN52" i="1"/>
  <c r="AU52" i="1" s="1"/>
  <c r="AE52" i="1"/>
  <c r="AO52" i="1" s="1"/>
  <c r="AV52" i="1" s="1"/>
  <c r="G52" i="1"/>
  <c r="BC51" i="1"/>
  <c r="AY51" i="1"/>
  <c r="AW51" i="1"/>
  <c r="AR51" i="1"/>
  <c r="AN51" i="1"/>
  <c r="AU51" i="1" s="1"/>
  <c r="AE51" i="1"/>
  <c r="G51" i="1"/>
  <c r="AY50" i="1"/>
  <c r="AW50" i="1"/>
  <c r="AR50" i="1"/>
  <c r="AN50" i="1"/>
  <c r="AU50" i="1" s="1"/>
  <c r="AE50" i="1"/>
  <c r="G50" i="1"/>
  <c r="BC49" i="1"/>
  <c r="BB49" i="1"/>
  <c r="AY49" i="1"/>
  <c r="AW49" i="1"/>
  <c r="AR49" i="1"/>
  <c r="AN49" i="1"/>
  <c r="AE49" i="1"/>
  <c r="G49" i="1"/>
  <c r="BB48" i="1"/>
  <c r="AY48" i="1"/>
  <c r="AW48" i="1"/>
  <c r="AR48" i="1"/>
  <c r="AN48" i="1"/>
  <c r="AU48" i="1" s="1"/>
  <c r="AE48" i="1"/>
  <c r="G48" i="1"/>
  <c r="AY47" i="1"/>
  <c r="AW47" i="1"/>
  <c r="AR47" i="1"/>
  <c r="AN47" i="1"/>
  <c r="AU47" i="1" s="1"/>
  <c r="AE47" i="1"/>
  <c r="AO47" i="1" s="1"/>
  <c r="AV47" i="1" s="1"/>
  <c r="BH47" i="1" s="1"/>
  <c r="G47" i="1"/>
  <c r="BC46" i="1"/>
  <c r="AY46" i="1"/>
  <c r="AW46" i="1"/>
  <c r="AR46" i="1"/>
  <c r="AN46" i="1"/>
  <c r="AU46" i="1" s="1"/>
  <c r="AE46" i="1"/>
  <c r="G46" i="1"/>
  <c r="BB45" i="1"/>
  <c r="AY45" i="1"/>
  <c r="AW45" i="1"/>
  <c r="AR45" i="1"/>
  <c r="AN45" i="1"/>
  <c r="AU45" i="1" s="1"/>
  <c r="AE45" i="1"/>
  <c r="G45" i="1"/>
  <c r="BC44" i="1"/>
  <c r="AY44" i="1"/>
  <c r="AW44" i="1"/>
  <c r="AR44" i="1"/>
  <c r="AN44" i="1"/>
  <c r="AU44" i="1" s="1"/>
  <c r="AE44" i="1"/>
  <c r="G44" i="1"/>
  <c r="BC43" i="1"/>
  <c r="AY43" i="1"/>
  <c r="AW43" i="1"/>
  <c r="AR43" i="1"/>
  <c r="AN43" i="1"/>
  <c r="AU43" i="1" s="1"/>
  <c r="AE43" i="1"/>
  <c r="G43" i="1"/>
  <c r="BC42" i="1"/>
  <c r="BB42" i="1"/>
  <c r="AY42" i="1"/>
  <c r="AX42" i="1"/>
  <c r="AW42" i="1" s="1"/>
  <c r="AP42" i="1"/>
  <c r="AR42" i="1" s="1"/>
  <c r="AN42" i="1"/>
  <c r="AU42" i="1" s="1"/>
  <c r="AE42" i="1"/>
  <c r="G42" i="1"/>
  <c r="BC41" i="1"/>
  <c r="AY41" i="1"/>
  <c r="AW41" i="1"/>
  <c r="AR41" i="1"/>
  <c r="AN41" i="1"/>
  <c r="AU41" i="1" s="1"/>
  <c r="AE41" i="1"/>
  <c r="G41" i="1"/>
  <c r="BC40" i="1"/>
  <c r="AY40" i="1"/>
  <c r="AW40" i="1"/>
  <c r="AR40" i="1"/>
  <c r="AN40" i="1"/>
  <c r="AU40" i="1" s="1"/>
  <c r="AE40" i="1"/>
  <c r="G40" i="1"/>
  <c r="BC39" i="1"/>
  <c r="AY39" i="1"/>
  <c r="AW39" i="1"/>
  <c r="AR39" i="1"/>
  <c r="AN39" i="1"/>
  <c r="AU39" i="1" s="1"/>
  <c r="AE39" i="1"/>
  <c r="G39" i="1"/>
  <c r="BC38" i="1"/>
  <c r="BB38" i="1"/>
  <c r="AY38" i="1"/>
  <c r="AX38" i="1"/>
  <c r="AW38" i="1" s="1"/>
  <c r="AR38" i="1"/>
  <c r="AN38" i="1"/>
  <c r="AU38" i="1" s="1"/>
  <c r="AE38" i="1"/>
  <c r="G38" i="1"/>
  <c r="BC37" i="1"/>
  <c r="AY37" i="1"/>
  <c r="AW37" i="1"/>
  <c r="AR37" i="1"/>
  <c r="AN37" i="1"/>
  <c r="AE37" i="1"/>
  <c r="G37" i="1"/>
  <c r="BC36" i="1"/>
  <c r="AY36" i="1"/>
  <c r="AW36" i="1"/>
  <c r="AR36" i="1"/>
  <c r="AN36" i="1"/>
  <c r="AU36" i="1" s="1"/>
  <c r="AE36" i="1"/>
  <c r="G36" i="1"/>
  <c r="BC35" i="1"/>
  <c r="BB35" i="1"/>
  <c r="AY35" i="1"/>
  <c r="AW35" i="1"/>
  <c r="AU35" i="1"/>
  <c r="AR35" i="1"/>
  <c r="AN35" i="1"/>
  <c r="AE35" i="1"/>
  <c r="AO35" i="1" s="1"/>
  <c r="G35" i="1"/>
  <c r="BC34" i="1"/>
  <c r="AY34" i="1"/>
  <c r="AW34" i="1"/>
  <c r="AP34" i="1"/>
  <c r="AR34" i="1" s="1"/>
  <c r="AN34" i="1"/>
  <c r="AU34" i="1" s="1"/>
  <c r="AE34" i="1"/>
  <c r="AO34" i="1" s="1"/>
  <c r="G34" i="1"/>
  <c r="BH33" i="1"/>
  <c r="BA33" i="1"/>
  <c r="AZ33" i="1" s="1"/>
  <c r="AY33" i="1"/>
  <c r="AW33" i="1"/>
  <c r="AR33" i="1"/>
  <c r="AN33" i="1"/>
  <c r="AU33" i="1" s="1"/>
  <c r="AE33" i="1"/>
  <c r="G33" i="1"/>
  <c r="BC32" i="1"/>
  <c r="AY32" i="1"/>
  <c r="AW32" i="1"/>
  <c r="AR32" i="1"/>
  <c r="AN32" i="1"/>
  <c r="AU32" i="1" s="1"/>
  <c r="AE32" i="1"/>
  <c r="G32" i="1"/>
  <c r="BC31" i="1"/>
  <c r="BB31" i="1"/>
  <c r="AY31" i="1"/>
  <c r="AW31" i="1"/>
  <c r="AR31" i="1"/>
  <c r="AN31" i="1"/>
  <c r="AU31" i="1" s="1"/>
  <c r="AE31" i="1"/>
  <c r="AO31" i="1" s="1"/>
  <c r="G31" i="1"/>
  <c r="BC30" i="1"/>
  <c r="AY30" i="1"/>
  <c r="AW30" i="1"/>
  <c r="AR30" i="1"/>
  <c r="AN30" i="1"/>
  <c r="AU30" i="1" s="1"/>
  <c r="AE30" i="1"/>
  <c r="G30" i="1"/>
  <c r="BC29" i="1"/>
  <c r="AY29" i="1"/>
  <c r="AW29" i="1"/>
  <c r="AR29" i="1"/>
  <c r="AN29" i="1"/>
  <c r="AU29" i="1" s="1"/>
  <c r="AE29" i="1"/>
  <c r="BC28" i="1"/>
  <c r="BB28" i="1"/>
  <c r="AY28" i="1"/>
  <c r="AW28" i="1"/>
  <c r="AR28" i="1"/>
  <c r="AN28" i="1"/>
  <c r="AU28" i="1" s="1"/>
  <c r="AE28" i="1"/>
  <c r="G28" i="1"/>
  <c r="BC27" i="1"/>
  <c r="AY27" i="1"/>
  <c r="AW27" i="1"/>
  <c r="AR27" i="1"/>
  <c r="AN27" i="1"/>
  <c r="AU27" i="1" s="1"/>
  <c r="AE27" i="1"/>
  <c r="G27" i="1"/>
  <c r="BC26" i="1"/>
  <c r="AY26" i="1"/>
  <c r="AW26" i="1"/>
  <c r="AR26" i="1"/>
  <c r="AN26" i="1"/>
  <c r="AU26" i="1" s="1"/>
  <c r="AE26" i="1"/>
  <c r="G26" i="1"/>
  <c r="BC25" i="1"/>
  <c r="BB25" i="1"/>
  <c r="AY25" i="1"/>
  <c r="AW25" i="1"/>
  <c r="AR25" i="1"/>
  <c r="AN25" i="1"/>
  <c r="AU25" i="1" s="1"/>
  <c r="AE25" i="1"/>
  <c r="G25" i="1"/>
  <c r="BC24" i="1"/>
  <c r="AY24" i="1"/>
  <c r="AW24" i="1"/>
  <c r="AR24" i="1"/>
  <c r="AN24" i="1"/>
  <c r="AU24" i="1" s="1"/>
  <c r="AE24" i="1"/>
  <c r="G24" i="1"/>
  <c r="BC23" i="1"/>
  <c r="AY23" i="1"/>
  <c r="AW23" i="1"/>
  <c r="AR23" i="1"/>
  <c r="AN23" i="1"/>
  <c r="AU23" i="1" s="1"/>
  <c r="AE23" i="1"/>
  <c r="G23" i="1"/>
  <c r="BG22" i="1"/>
  <c r="BC22" i="1"/>
  <c r="AY22" i="1"/>
  <c r="AW22" i="1"/>
  <c r="AR22" i="1"/>
  <c r="AN22" i="1"/>
  <c r="AU22" i="1" s="1"/>
  <c r="AE22" i="1"/>
  <c r="G22" i="1"/>
  <c r="BB21" i="1"/>
  <c r="AY21" i="1"/>
  <c r="AW21" i="1"/>
  <c r="AR21" i="1"/>
  <c r="AN21" i="1"/>
  <c r="AU21" i="1" s="1"/>
  <c r="AE21" i="1"/>
  <c r="G21" i="1"/>
  <c r="BC20" i="1"/>
  <c r="AY20" i="1"/>
  <c r="AX20" i="1"/>
  <c r="AW20" i="1" s="1"/>
  <c r="AR20" i="1"/>
  <c r="AN20" i="1"/>
  <c r="AU20" i="1" s="1"/>
  <c r="AE20" i="1"/>
  <c r="G20" i="1"/>
  <c r="AY19" i="1"/>
  <c r="AW19" i="1"/>
  <c r="AR19" i="1"/>
  <c r="AN19" i="1"/>
  <c r="AU19" i="1" s="1"/>
  <c r="AE19" i="1"/>
  <c r="BC18" i="1"/>
  <c r="AY18" i="1"/>
  <c r="AW18" i="1"/>
  <c r="AR18" i="1"/>
  <c r="AN18" i="1"/>
  <c r="AU18" i="1" s="1"/>
  <c r="AE18" i="1"/>
  <c r="G18" i="1"/>
  <c r="BB17" i="1"/>
  <c r="AY17" i="1"/>
  <c r="AW17" i="1"/>
  <c r="AR17" i="1"/>
  <c r="AN17" i="1"/>
  <c r="AU17" i="1" s="1"/>
  <c r="AE17" i="1"/>
  <c r="G17" i="1"/>
  <c r="AY16" i="1"/>
  <c r="AW16" i="1"/>
  <c r="AR16" i="1"/>
  <c r="AN16" i="1"/>
  <c r="AE16" i="1"/>
  <c r="G16" i="1"/>
  <c r="AY15" i="1"/>
  <c r="AW15" i="1"/>
  <c r="AR15" i="1"/>
  <c r="AN15" i="1"/>
  <c r="AU15" i="1" s="1"/>
  <c r="AE15" i="1"/>
  <c r="G15" i="1"/>
  <c r="AY14" i="1"/>
  <c r="AW14" i="1"/>
  <c r="AR14" i="1"/>
  <c r="AN14" i="1"/>
  <c r="AU14" i="1" s="1"/>
  <c r="AE14" i="1"/>
  <c r="G14" i="1"/>
  <c r="BC13" i="1"/>
  <c r="AY13" i="1"/>
  <c r="AW13" i="1"/>
  <c r="AR13" i="1"/>
  <c r="AN13" i="1"/>
  <c r="AU13" i="1" s="1"/>
  <c r="AE13" i="1"/>
  <c r="AO13" i="1" s="1"/>
  <c r="G13" i="1"/>
  <c r="BC12" i="1"/>
  <c r="AY12" i="1"/>
  <c r="AW12" i="1"/>
  <c r="AR12" i="1"/>
  <c r="AN12" i="1"/>
  <c r="AU12" i="1" s="1"/>
  <c r="AE12" i="1"/>
  <c r="AO12" i="1" s="1"/>
  <c r="AV12" i="1" s="1"/>
  <c r="G12" i="1"/>
  <c r="BC11" i="1"/>
  <c r="AY11" i="1"/>
  <c r="AW11" i="1"/>
  <c r="AR11" i="1"/>
  <c r="AN11" i="1"/>
  <c r="AU11" i="1" s="1"/>
  <c r="AE11" i="1"/>
  <c r="G11" i="1"/>
  <c r="BC10" i="1"/>
  <c r="AY10" i="1"/>
  <c r="AW10" i="1"/>
  <c r="AR10" i="1"/>
  <c r="AN10" i="1"/>
  <c r="AU10" i="1" s="1"/>
  <c r="AE10" i="1"/>
  <c r="G10" i="1"/>
  <c r="BC9" i="1"/>
  <c r="AY9" i="1"/>
  <c r="AW9" i="1"/>
  <c r="AR9" i="1"/>
  <c r="AN9" i="1"/>
  <c r="AU9" i="1" s="1"/>
  <c r="AE9" i="1"/>
  <c r="AO9" i="1" s="1"/>
  <c r="AV9" i="1" s="1"/>
  <c r="BH9" i="1" s="1"/>
  <c r="G9" i="1"/>
  <c r="BB8" i="1"/>
  <c r="AY8" i="1"/>
  <c r="AW8" i="1"/>
  <c r="AR8" i="1"/>
  <c r="AN8" i="1"/>
  <c r="AU8" i="1" s="1"/>
  <c r="AE8" i="1"/>
  <c r="G8" i="1"/>
  <c r="BC7" i="1"/>
  <c r="AY7" i="1"/>
  <c r="AW7" i="1"/>
  <c r="AR7" i="1"/>
  <c r="AN7" i="1"/>
  <c r="AU7" i="1" s="1"/>
  <c r="AE7" i="1"/>
  <c r="AO7" i="1" s="1"/>
  <c r="G7" i="1"/>
  <c r="BC6" i="1"/>
  <c r="BB6" i="1"/>
  <c r="AY6" i="1"/>
  <c r="AW6" i="1"/>
  <c r="AR6" i="1"/>
  <c r="AN6" i="1"/>
  <c r="AU6" i="1" s="1"/>
  <c r="AE6" i="1"/>
  <c r="G6" i="1"/>
  <c r="BB5" i="1"/>
  <c r="AY5" i="1"/>
  <c r="AW5" i="1"/>
  <c r="AR5" i="1"/>
  <c r="AN5" i="1"/>
  <c r="AU5" i="1" s="1"/>
  <c r="AE5" i="1"/>
  <c r="G5" i="1"/>
  <c r="BC4" i="1"/>
  <c r="AY4" i="1"/>
  <c r="AW4" i="1"/>
  <c r="AR4" i="1"/>
  <c r="AN4" i="1"/>
  <c r="AU4" i="1" s="1"/>
  <c r="AE4" i="1"/>
  <c r="AO4" i="1" s="1"/>
  <c r="BC3" i="1"/>
  <c r="BB3" i="1"/>
  <c r="AY3" i="1"/>
  <c r="AW3" i="1"/>
  <c r="AR3" i="1"/>
  <c r="AN3" i="1"/>
  <c r="AU3" i="1" s="1"/>
  <c r="AE3" i="1"/>
  <c r="AY2" i="1"/>
  <c r="AW2" i="1"/>
  <c r="AR2" i="1"/>
  <c r="AN2" i="1"/>
  <c r="AU2" i="1" s="1"/>
  <c r="AE2" i="1"/>
  <c r="AO2" i="1" s="1"/>
  <c r="AV2" i="1" s="1"/>
  <c r="BH2" i="1" s="1"/>
  <c r="BH12" i="1" l="1"/>
  <c r="AO14" i="1"/>
  <c r="AO39" i="1"/>
  <c r="AV39" i="1" s="1"/>
  <c r="BH39" i="1" s="1"/>
  <c r="AO44" i="1"/>
  <c r="AV44" i="1" s="1"/>
  <c r="AO51" i="1"/>
  <c r="AV51" i="1" s="1"/>
  <c r="BH51" i="1" s="1"/>
  <c r="AO66" i="1"/>
  <c r="AV66" i="1" s="1"/>
  <c r="BH66" i="1" s="1"/>
  <c r="AO88" i="1"/>
  <c r="AV88" i="1" s="1"/>
  <c r="AO109" i="1"/>
  <c r="AV109" i="1" s="1"/>
  <c r="BF109" i="1" s="1"/>
  <c r="AO111" i="1"/>
  <c r="AV111" i="1" s="1"/>
  <c r="BF111" i="1" s="1"/>
  <c r="AO112" i="1"/>
  <c r="AV112" i="1" s="1"/>
  <c r="BF112" i="1" s="1"/>
  <c r="AO117" i="1"/>
  <c r="AV117" i="1" s="1"/>
  <c r="BF117" i="1" s="1"/>
  <c r="AO128" i="1"/>
  <c r="AV128" i="1" s="1"/>
  <c r="BH128" i="1" s="1"/>
  <c r="AO132" i="1"/>
  <c r="AO138" i="1"/>
  <c r="AO10" i="1"/>
  <c r="AV10" i="1" s="1"/>
  <c r="BH10" i="1" s="1"/>
  <c r="AO36" i="1"/>
  <c r="AO46" i="1"/>
  <c r="AV46" i="1" s="1"/>
  <c r="BH46" i="1" s="1"/>
  <c r="AO58" i="1"/>
  <c r="AO77" i="1"/>
  <c r="AV77" i="1" s="1"/>
  <c r="BH77" i="1" s="1"/>
  <c r="AO82" i="1"/>
  <c r="AV82" i="1" s="1"/>
  <c r="BH82" i="1" s="1"/>
  <c r="AO97" i="1"/>
  <c r="AV97" i="1" s="1"/>
  <c r="BH97" i="1" s="1"/>
  <c r="AO147" i="1"/>
  <c r="AV147" i="1" s="1"/>
  <c r="BH147" i="1" s="1"/>
  <c r="AO140" i="1"/>
  <c r="AV140" i="1" s="1"/>
  <c r="BH140" i="1" s="1"/>
  <c r="AO154" i="1"/>
  <c r="AV154" i="1" s="1"/>
  <c r="BH154" i="1" s="1"/>
  <c r="BH64" i="1"/>
  <c r="AV13" i="1"/>
  <c r="BH13" i="1" s="1"/>
  <c r="AV91" i="1"/>
  <c r="BH91" i="1" s="1"/>
  <c r="AV100" i="1"/>
  <c r="BH100" i="1" s="1"/>
  <c r="AV155" i="1"/>
  <c r="BH155" i="1" s="1"/>
  <c r="AO187" i="1"/>
  <c r="AV187" i="1" s="1"/>
  <c r="BH187" i="1" s="1"/>
  <c r="AO11" i="1"/>
  <c r="AV11" i="1" s="1"/>
  <c r="BH11" i="1" s="1"/>
  <c r="AO18" i="1"/>
  <c r="AV18" i="1" s="1"/>
  <c r="BH18" i="1" s="1"/>
  <c r="AO25" i="1"/>
  <c r="AV25" i="1" s="1"/>
  <c r="BH25" i="1" s="1"/>
  <c r="AO28" i="1"/>
  <c r="AV28" i="1" s="1"/>
  <c r="BH28" i="1" s="1"/>
  <c r="AO41" i="1"/>
  <c r="AV41" i="1" s="1"/>
  <c r="BH41" i="1" s="1"/>
  <c r="AO45" i="1"/>
  <c r="AV45" i="1" s="1"/>
  <c r="BH45" i="1" s="1"/>
  <c r="AV58" i="1"/>
  <c r="AO67" i="1"/>
  <c r="AV67" i="1" s="1"/>
  <c r="BH67" i="1" s="1"/>
  <c r="AO84" i="1"/>
  <c r="AV84" i="1" s="1"/>
  <c r="BH84" i="1" s="1"/>
  <c r="AO92" i="1"/>
  <c r="AV92" i="1" s="1"/>
  <c r="BH92" i="1" s="1"/>
  <c r="AO148" i="1"/>
  <c r="AO174" i="1"/>
  <c r="AV174" i="1" s="1"/>
  <c r="BH174" i="1" s="1"/>
  <c r="AO26" i="1"/>
  <c r="AV26" i="1" s="1"/>
  <c r="BH26" i="1" s="1"/>
  <c r="AO30" i="1"/>
  <c r="AV30" i="1" s="1"/>
  <c r="BH30" i="1" s="1"/>
  <c r="AO48" i="1"/>
  <c r="AV48" i="1" s="1"/>
  <c r="BH48" i="1" s="1"/>
  <c r="AO53" i="1"/>
  <c r="AV53" i="1" s="1"/>
  <c r="BH53" i="1" s="1"/>
  <c r="AO61" i="1"/>
  <c r="AV61" i="1" s="1"/>
  <c r="BH61" i="1" s="1"/>
  <c r="BH101" i="1"/>
  <c r="BF122" i="1"/>
  <c r="AO124" i="1"/>
  <c r="AV124" i="1" s="1"/>
  <c r="BF124" i="1" s="1"/>
  <c r="AU150" i="1"/>
  <c r="AO191" i="1"/>
  <c r="AO5" i="1"/>
  <c r="AV5" i="1" s="1"/>
  <c r="BH5" i="1" s="1"/>
  <c r="AO15" i="1"/>
  <c r="AV15" i="1" s="1"/>
  <c r="BH15" i="1" s="1"/>
  <c r="AV83" i="1"/>
  <c r="BH83" i="1" s="1"/>
  <c r="AO165" i="1"/>
  <c r="AV165" i="1" s="1"/>
  <c r="BH165" i="1" s="1"/>
  <c r="BH52" i="1"/>
  <c r="BH88" i="1"/>
  <c r="AV31" i="1"/>
  <c r="BH31" i="1" s="1"/>
  <c r="AV36" i="1"/>
  <c r="BH36" i="1" s="1"/>
  <c r="AO40" i="1"/>
  <c r="AV40" i="1" s="1"/>
  <c r="BH40" i="1" s="1"/>
  <c r="AO49" i="1"/>
  <c r="AV49" i="1" s="1"/>
  <c r="BH49" i="1" s="1"/>
  <c r="AO75" i="1"/>
  <c r="AV79" i="1"/>
  <c r="BH79" i="1" s="1"/>
  <c r="AO80" i="1"/>
  <c r="AV80" i="1" s="1"/>
  <c r="BH80" i="1" s="1"/>
  <c r="AV99" i="1"/>
  <c r="BH99" i="1" s="1"/>
  <c r="AV106" i="1"/>
  <c r="BF106" i="1" s="1"/>
  <c r="AU124" i="1"/>
  <c r="AV159" i="1"/>
  <c r="BH159" i="1" s="1"/>
  <c r="AV177" i="1"/>
  <c r="BH177" i="1" s="1"/>
  <c r="AV193" i="1"/>
  <c r="BH193" i="1" s="1"/>
  <c r="AO3" i="1"/>
  <c r="AV3" i="1" s="1"/>
  <c r="BH3" i="1" s="1"/>
  <c r="AO6" i="1"/>
  <c r="AV6" i="1" s="1"/>
  <c r="BH6" i="1" s="1"/>
  <c r="AO33" i="1"/>
  <c r="AV33" i="1" s="1"/>
  <c r="AO42" i="1"/>
  <c r="AV42" i="1" s="1"/>
  <c r="BH42" i="1" s="1"/>
  <c r="AU49" i="1"/>
  <c r="AV75" i="1"/>
  <c r="BH75" i="1" s="1"/>
  <c r="AO78" i="1"/>
  <c r="AV78" i="1" s="1"/>
  <c r="BH78" i="1" s="1"/>
  <c r="AO86" i="1"/>
  <c r="AV86" i="1" s="1"/>
  <c r="BH86" i="1" s="1"/>
  <c r="AO89" i="1"/>
  <c r="AV89" i="1" s="1"/>
  <c r="BH89" i="1" s="1"/>
  <c r="AO93" i="1"/>
  <c r="AV93" i="1" s="1"/>
  <c r="BH93" i="1" s="1"/>
  <c r="AO98" i="1"/>
  <c r="AV98" i="1" s="1"/>
  <c r="BH98" i="1" s="1"/>
  <c r="AO118" i="1"/>
  <c r="AV118" i="1" s="1"/>
  <c r="BF118" i="1" s="1"/>
  <c r="AO130" i="1"/>
  <c r="AV130" i="1" s="1"/>
  <c r="BH130" i="1" s="1"/>
  <c r="AO131" i="1"/>
  <c r="AV131" i="1" s="1"/>
  <c r="BH131" i="1" s="1"/>
  <c r="AO134" i="1"/>
  <c r="AV134" i="1" s="1"/>
  <c r="BH134" i="1" s="1"/>
  <c r="AO153" i="1"/>
  <c r="AO168" i="1"/>
  <c r="AV168" i="1" s="1"/>
  <c r="AO170" i="1"/>
  <c r="AO173" i="1"/>
  <c r="AV173" i="1" s="1"/>
  <c r="BH173" i="1" s="1"/>
  <c r="AO176" i="1"/>
  <c r="AV176" i="1" s="1"/>
  <c r="BH176" i="1" s="1"/>
  <c r="AO182" i="1"/>
  <c r="AV182" i="1" s="1"/>
  <c r="BH182" i="1" s="1"/>
  <c r="AV4" i="1"/>
  <c r="BH4" i="1" s="1"/>
  <c r="AV7" i="1"/>
  <c r="BH7" i="1" s="1"/>
  <c r="AO19" i="1"/>
  <c r="AV19" i="1" s="1"/>
  <c r="BH19" i="1" s="1"/>
  <c r="AO29" i="1"/>
  <c r="AV29" i="1" s="1"/>
  <c r="BH29" i="1" s="1"/>
  <c r="AV35" i="1"/>
  <c r="BH35" i="1" s="1"/>
  <c r="AO50" i="1"/>
  <c r="AV50" i="1" s="1"/>
  <c r="BH50" i="1" s="1"/>
  <c r="AV59" i="1"/>
  <c r="BH59" i="1" s="1"/>
  <c r="AO72" i="1"/>
  <c r="AV72" i="1" s="1"/>
  <c r="BH72" i="1" s="1"/>
  <c r="AV73" i="1"/>
  <c r="BH73" i="1" s="1"/>
  <c r="AU98" i="1"/>
  <c r="AO114" i="1"/>
  <c r="AV114" i="1" s="1"/>
  <c r="BF114" i="1" s="1"/>
  <c r="AO115" i="1"/>
  <c r="AV115" i="1" s="1"/>
  <c r="BF115" i="1" s="1"/>
  <c r="AV148" i="1"/>
  <c r="BH148" i="1" s="1"/>
  <c r="AV152" i="1"/>
  <c r="BH152" i="1" s="1"/>
  <c r="AV191" i="1"/>
  <c r="BH191" i="1" s="1"/>
  <c r="AO8" i="1"/>
  <c r="AV8" i="1" s="1"/>
  <c r="BH8" i="1" s="1"/>
  <c r="AO20" i="1"/>
  <c r="AV20" i="1" s="1"/>
  <c r="BH20" i="1" s="1"/>
  <c r="AO27" i="1"/>
  <c r="AV27" i="1" s="1"/>
  <c r="BH27" i="1" s="1"/>
  <c r="AO38" i="1"/>
  <c r="AV38" i="1" s="1"/>
  <c r="BH38" i="1" s="1"/>
  <c r="AO74" i="1"/>
  <c r="AV74" i="1" s="1"/>
  <c r="BH74" i="1" s="1"/>
  <c r="AO103" i="1"/>
  <c r="AV103" i="1" s="1"/>
  <c r="BF103" i="1" s="1"/>
  <c r="AO107" i="1"/>
  <c r="AV107" i="1" s="1"/>
  <c r="BF107" i="1" s="1"/>
  <c r="AO110" i="1"/>
  <c r="AV110" i="1" s="1"/>
  <c r="BF110" i="1" s="1"/>
  <c r="AO116" i="1"/>
  <c r="AV116" i="1" s="1"/>
  <c r="BF116" i="1" s="1"/>
  <c r="AO121" i="1"/>
  <c r="AV121" i="1" s="1"/>
  <c r="BF121" i="1" s="1"/>
  <c r="AO129" i="1"/>
  <c r="AV129" i="1" s="1"/>
  <c r="BH129" i="1" s="1"/>
  <c r="AV151" i="1"/>
  <c r="BH151" i="1" s="1"/>
  <c r="AO157" i="1"/>
  <c r="AV157" i="1" s="1"/>
  <c r="BH157" i="1" s="1"/>
  <c r="AO160" i="1"/>
  <c r="AV160" i="1" s="1"/>
  <c r="BH160" i="1" s="1"/>
  <c r="AO163" i="1"/>
  <c r="AV163" i="1" s="1"/>
  <c r="BH163" i="1" s="1"/>
  <c r="AO167" i="1"/>
  <c r="AV167" i="1" s="1"/>
  <c r="BH167" i="1" s="1"/>
  <c r="AV138" i="1"/>
  <c r="BH138" i="1" s="1"/>
  <c r="AV164" i="1"/>
  <c r="BH164" i="1" s="1"/>
  <c r="AV178" i="1"/>
  <c r="BH178" i="1" s="1"/>
  <c r="AV189" i="1"/>
  <c r="BH189" i="1" s="1"/>
  <c r="AV195" i="1"/>
  <c r="BH195" i="1" s="1"/>
  <c r="AO21" i="1"/>
  <c r="AV21" i="1" s="1"/>
  <c r="BH21" i="1" s="1"/>
  <c r="AV34" i="1"/>
  <c r="BH34" i="1" s="1"/>
  <c r="AO43" i="1"/>
  <c r="AV43" i="1" s="1"/>
  <c r="BH43" i="1" s="1"/>
  <c r="AO55" i="1"/>
  <c r="AV55" i="1" s="1"/>
  <c r="BH55" i="1" s="1"/>
  <c r="AV65" i="1"/>
  <c r="BH65" i="1" s="1"/>
  <c r="AO69" i="1"/>
  <c r="AV69" i="1" s="1"/>
  <c r="BH69" i="1" s="1"/>
  <c r="AO95" i="1"/>
  <c r="AV95" i="1" s="1"/>
  <c r="BH95" i="1" s="1"/>
  <c r="AO104" i="1"/>
  <c r="AV104" i="1" s="1"/>
  <c r="BF104" i="1" s="1"/>
  <c r="AO108" i="1"/>
  <c r="AV108" i="1" s="1"/>
  <c r="BF108" i="1" s="1"/>
  <c r="AO126" i="1"/>
  <c r="AV126" i="1" s="1"/>
  <c r="BH126" i="1" s="1"/>
  <c r="AO145" i="1"/>
  <c r="AV145" i="1" s="1"/>
  <c r="BH145" i="1" s="1"/>
  <c r="AO161" i="1"/>
  <c r="AV161" i="1" s="1"/>
  <c r="BH161" i="1" s="1"/>
  <c r="AO166" i="1"/>
  <c r="AV166" i="1" s="1"/>
  <c r="BH166" i="1" s="1"/>
  <c r="AO175" i="1"/>
  <c r="AV175" i="1" s="1"/>
  <c r="BH175" i="1" s="1"/>
  <c r="AO184" i="1"/>
  <c r="AV184" i="1" s="1"/>
  <c r="BH184" i="1" s="1"/>
  <c r="AO192" i="1"/>
  <c r="AV192" i="1" s="1"/>
  <c r="BH192" i="1" s="1"/>
  <c r="AO197" i="1"/>
  <c r="AV197" i="1" s="1"/>
  <c r="BH197" i="1" s="1"/>
  <c r="AV14" i="1"/>
  <c r="BH14" i="1" s="1"/>
  <c r="AO22" i="1"/>
  <c r="AV22" i="1" s="1"/>
  <c r="BH22" i="1" s="1"/>
  <c r="AO54" i="1"/>
  <c r="AV54" i="1" s="1"/>
  <c r="BH54" i="1" s="1"/>
  <c r="AO56" i="1"/>
  <c r="AV56" i="1" s="1"/>
  <c r="BH56" i="1" s="1"/>
  <c r="AU56" i="1"/>
  <c r="BH58" i="1"/>
  <c r="AV81" i="1"/>
  <c r="BH81" i="1" s="1"/>
  <c r="AO85" i="1"/>
  <c r="AV85" i="1" s="1"/>
  <c r="BH85" i="1" s="1"/>
  <c r="AO87" i="1"/>
  <c r="AV87" i="1" s="1"/>
  <c r="BH87" i="1" s="1"/>
  <c r="AU196" i="1"/>
  <c r="AO196" i="1"/>
  <c r="AV196" i="1" s="1"/>
  <c r="BH196" i="1" s="1"/>
  <c r="AO16" i="1"/>
  <c r="AV16" i="1" s="1"/>
  <c r="BH16" i="1" s="1"/>
  <c r="AU16" i="1"/>
  <c r="AO17" i="1"/>
  <c r="AV17" i="1" s="1"/>
  <c r="BH17" i="1" s="1"/>
  <c r="AO23" i="1"/>
  <c r="AV23" i="1" s="1"/>
  <c r="BH23" i="1" s="1"/>
  <c r="AV57" i="1"/>
  <c r="BH57" i="1" s="1"/>
  <c r="AO63" i="1"/>
  <c r="AV63" i="1" s="1"/>
  <c r="BH63" i="1" s="1"/>
  <c r="AO71" i="1"/>
  <c r="AV71" i="1" s="1"/>
  <c r="BH71" i="1" s="1"/>
  <c r="BH94" i="1"/>
  <c r="AU37" i="1"/>
  <c r="AO37" i="1"/>
  <c r="AV37" i="1" s="1"/>
  <c r="BH37" i="1" s="1"/>
  <c r="BH44" i="1"/>
  <c r="AO32" i="1"/>
  <c r="AV32" i="1" s="1"/>
  <c r="BH32" i="1" s="1"/>
  <c r="AU72" i="1"/>
  <c r="AU75" i="1"/>
  <c r="AU119" i="1"/>
  <c r="AO119" i="1"/>
  <c r="AV119" i="1" s="1"/>
  <c r="BF119" i="1" s="1"/>
  <c r="AO60" i="1"/>
  <c r="AV60" i="1" s="1"/>
  <c r="BH60" i="1" s="1"/>
  <c r="AV105" i="1"/>
  <c r="BF105" i="1" s="1"/>
  <c r="AV120" i="1"/>
  <c r="BF120" i="1" s="1"/>
  <c r="AU185" i="1"/>
  <c r="AO185" i="1"/>
  <c r="AV185" i="1" s="1"/>
  <c r="BH185" i="1" s="1"/>
  <c r="AO70" i="1"/>
  <c r="AV70" i="1" s="1"/>
  <c r="BH70" i="1" s="1"/>
  <c r="AO76" i="1"/>
  <c r="AV76" i="1" s="1"/>
  <c r="BH76" i="1" s="1"/>
  <c r="AO24" i="1"/>
  <c r="AV24" i="1" s="1"/>
  <c r="BH24" i="1" s="1"/>
  <c r="AO102" i="1"/>
  <c r="AV102" i="1" s="1"/>
  <c r="BF102" i="1" s="1"/>
  <c r="AO113" i="1"/>
  <c r="AV113" i="1" s="1"/>
  <c r="BF113" i="1" s="1"/>
  <c r="AV132" i="1"/>
  <c r="BH132" i="1" s="1"/>
  <c r="AO144" i="1"/>
  <c r="AV144" i="1" s="1"/>
  <c r="AO146" i="1"/>
  <c r="AV146" i="1" s="1"/>
  <c r="BH146" i="1" s="1"/>
  <c r="AU156" i="1"/>
  <c r="AO156" i="1"/>
  <c r="AV156" i="1" s="1"/>
  <c r="BH156" i="1" s="1"/>
  <c r="AV162" i="1"/>
  <c r="BH162" i="1" s="1"/>
  <c r="AV169" i="1"/>
  <c r="BH169" i="1" s="1"/>
  <c r="BH168" i="1"/>
  <c r="AV170" i="1"/>
  <c r="BH170" i="1" s="1"/>
  <c r="AO125" i="1"/>
  <c r="AV125" i="1" s="1"/>
  <c r="BF125" i="1" s="1"/>
  <c r="AO133" i="1"/>
  <c r="AV133" i="1" s="1"/>
  <c r="BH133" i="1" s="1"/>
  <c r="AO136" i="1"/>
  <c r="AV136" i="1" s="1"/>
  <c r="BH136" i="1" s="1"/>
  <c r="AO139" i="1"/>
  <c r="AV139" i="1" s="1"/>
  <c r="AO142" i="1"/>
  <c r="AV142" i="1" s="1"/>
  <c r="BH142" i="1" s="1"/>
  <c r="AU186" i="1"/>
  <c r="AO186" i="1"/>
  <c r="AV186" i="1" s="1"/>
  <c r="BH186" i="1" s="1"/>
  <c r="AO123" i="1"/>
  <c r="AV123" i="1" s="1"/>
  <c r="BF123" i="1" s="1"/>
  <c r="AO135" i="1"/>
  <c r="AV135" i="1" s="1"/>
  <c r="BH135" i="1" s="1"/>
  <c r="AO141" i="1"/>
  <c r="AV141" i="1" s="1"/>
  <c r="BH141" i="1" s="1"/>
  <c r="AV153" i="1"/>
  <c r="BH153" i="1" s="1"/>
  <c r="AU158" i="1"/>
  <c r="AO158" i="1"/>
  <c r="AV158" i="1" s="1"/>
  <c r="BH158" i="1" s="1"/>
  <c r="AO171" i="1"/>
  <c r="AV171" i="1" s="1"/>
  <c r="BH171" i="1" s="1"/>
  <c r="AO172" i="1"/>
  <c r="AV172" i="1" s="1"/>
  <c r="BH172" i="1" s="1"/>
  <c r="AO179" i="1"/>
  <c r="AV179" i="1" s="1"/>
  <c r="BH179" i="1" s="1"/>
  <c r="AO180" i="1"/>
  <c r="AV180" i="1" s="1"/>
  <c r="BH180" i="1" s="1"/>
  <c r="AO181" i="1"/>
  <c r="AV181" i="1" s="1"/>
  <c r="BH181" i="1" s="1"/>
  <c r="AO183" i="1"/>
  <c r="AV183" i="1" s="1"/>
  <c r="BH183" i="1" s="1"/>
  <c r="AX139" i="1" l="1"/>
  <c r="AW139" i="1" s="1"/>
  <c r="AX144" i="1"/>
  <c r="AW144" i="1" s="1"/>
  <c r="BH144" i="1"/>
  <c r="BH139" i="1" l="1"/>
</calcChain>
</file>

<file path=xl/comments1.xml><?xml version="1.0" encoding="utf-8"?>
<comments xmlns="http://schemas.openxmlformats.org/spreadsheetml/2006/main">
  <authors>
    <author>Author</author>
  </authors>
  <commentList>
    <comment ref="AX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NEFT*BARB0SENDHW*BARBP24094968536*RAHUL TOMAR* dt 03.04.24</t>
        </r>
      </text>
    </comment>
    <comment ref="AX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BKIDR52024040400049690  (dt 04.04.24)</t>
        </r>
      </text>
    </comment>
    <comment ref="AX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BKIDR52024040400035321 dt 04.04.24</t>
        </r>
      </text>
    </comment>
    <comment ref="AX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INDBR32024040600890354 (872880/-)
dt 06-04-24 </t>
        </r>
      </text>
    </comment>
    <comment ref="AX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BKIDR52024040400380896 dt 04.04.24</t>
        </r>
      </text>
    </comment>
    <comment ref="AX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NEFT*BKID0NAMRGB*BKIDE24096036859 dt 05-04-24</t>
        </r>
      </text>
    </comment>
    <comment ref="AX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IDFBR52024041200398570 DT 12-04-24 ARENA A/C</t>
        </r>
      </text>
    </comment>
    <comment ref="AX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BKIDR52024040500038855 dt 05-04-24</t>
        </r>
      </text>
    </comment>
    <comment ref="AX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BKIDR52024040500038951 dt 05-04-24</t>
        </r>
      </text>
    </comment>
    <comment ref="AX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 36905 amt 612529/- dt 19.04.24  arena a/c</t>
        </r>
      </text>
    </comment>
    <comment ref="AX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NEFT*BKID0009904*BKIDY24106194194 dt 15.04.24</t>
        </r>
      </text>
    </comment>
    <comment ref="AX2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NEFT*BKID0NAMRGB*BKIDE24097041006
dt 06-04-24</t>
        </r>
      </text>
    </comment>
    <comment ref="AX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 2563743 ( (8,31,576/-) DT 17.04.24  ARENA A/C</t>
        </r>
      </text>
    </comment>
    <comment ref="AX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BKIDR52024040600039735 DT 06-04-24</t>
        </r>
      </text>
    </comment>
    <comment ref="AX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RTGS NO R52024040800893933 DT 08.04.24</t>
        </r>
      </text>
    </comment>
    <comment ref="AX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INDBR32024041200021150 ( 536179/- )
dt 12.04.24</t>
        </r>
      </text>
    </comment>
    <comment ref="AX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BKIDR52024040800627003 dt 08.04.24</t>
        </r>
      </text>
    </comment>
    <comment ref="AX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 708925 (494654/- ) ARENA A/C DT18-04-24</t>
        </r>
      </text>
    </comment>
    <comment ref="AX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BARBR52024041000767651 dt 10.04.24</t>
        </r>
      </text>
    </comment>
    <comment ref="AX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payment In arena a/c
 Rec. no  24-25/113 Received JV from arjun</t>
        </r>
      </text>
    </comment>
    <comment ref="AX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PUNBR52024041016892030 dt 10-04-24</t>
        </r>
      </text>
    </comment>
    <comment ref="AX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CNRBR52024041278284956  12.04.24</t>
        </r>
      </text>
    </comment>
    <comment ref="AX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BARBR52024041500914864 dt 15.04.24</t>
        </r>
      </text>
    </comment>
    <comment ref="AX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NEFT*BKID0009530*BKIDY24106296902 dt 15.04.24</t>
        </r>
      </text>
    </comment>
    <comment ref="AX4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NEFT*BKID0009939*BKIDY24107441271   dt 16.04.24</t>
        </r>
      </text>
    </comment>
    <comment ref="AX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NEFT*BKID0000200*BKIDY24109341784
DT 18-04-24</t>
        </r>
      </text>
    </comment>
    <comment ref="AX5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BKIDR52024041900515882  dt 19.04.24</t>
        </r>
      </text>
    </comment>
    <comment ref="AY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BKIDR52024042600668176--RITIK GANGARADE DT 26/04/2024</t>
        </r>
      </text>
    </comment>
    <comment ref="AY5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 NO 412720 DT 24.04.24 BY MR. REVARAM  YADAV</t>
        </r>
      </text>
    </comment>
    <comment ref="AY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CNRBR52024042579132420 DT 25/04/2024</t>
        </r>
      </text>
    </comment>
    <comment ref="AY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CHE NO 448029 DT 23.04.24 BY MR. JAIDEO MAUJILAL MALVIYA</t>
        </r>
      </text>
    </comment>
    <comment ref="BB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R.N 3016 ( 1,91,000/-)</t>
        </r>
      </text>
    </comment>
    <comment ref="AX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BKIDR52024051800735962--BADRILAL MUKATI S/O DUDHAJI MUKATI</t>
        </r>
      </text>
    </comment>
    <comment ref="AX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RTGS NO R52024052200833937 DT 22.05.24</t>
        </r>
      </text>
    </comment>
    <comment ref="BD1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ACTUAL 50000 BUT 10K OFFER ADDED TO TV PRICE</t>
        </r>
      </text>
    </comment>
    <comment ref="AX1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UTR NO: BKIDR52024060700049614 DT 07-06-24</t>
        </r>
      </text>
    </comment>
    <comment ref="BF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SCRAPE EXCHANGE KI HE..
</t>
        </r>
      </text>
    </comment>
    <comment ref="AG1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VELOCITY KIT OFFER 30000</t>
        </r>
      </text>
    </comment>
  </commentList>
</comments>
</file>

<file path=xl/sharedStrings.xml><?xml version="1.0" encoding="utf-8"?>
<sst xmlns="http://schemas.openxmlformats.org/spreadsheetml/2006/main" count="2781" uniqueCount="851">
  <si>
    <t>MONTH</t>
  </si>
  <si>
    <t>DC</t>
  </si>
  <si>
    <t>S.N</t>
  </si>
  <si>
    <t>INSURACNE DATE</t>
  </si>
  <si>
    <t>F Y. 2023-24    Customer</t>
  </si>
  <si>
    <t>MOBILE NUMBER</t>
  </si>
  <si>
    <t>ATUAL DOD</t>
  </si>
  <si>
    <t>DELIVERY ADDRESS</t>
  </si>
  <si>
    <t>MODEL</t>
  </si>
  <si>
    <t>VARIENT</t>
  </si>
  <si>
    <t>COLOUR</t>
  </si>
  <si>
    <t>ENGINE NO</t>
  </si>
  <si>
    <t>CHESIS NO</t>
  </si>
  <si>
    <t>Location Team</t>
  </si>
  <si>
    <t>ACTUAL FINANCE AMOUNT</t>
  </si>
  <si>
    <t>SOURCING</t>
  </si>
  <si>
    <t xml:space="preserve">Financer Name </t>
  </si>
  <si>
    <t>BRANCH AREA</t>
  </si>
  <si>
    <t>BRANCH COUNT</t>
  </si>
  <si>
    <t>SRM</t>
  </si>
  <si>
    <t>DSE/RM  Name</t>
  </si>
  <si>
    <t>Ex-Showroom Value</t>
  </si>
  <si>
    <t>EX WARRANTY +CCP</t>
  </si>
  <si>
    <t>CCP</t>
  </si>
  <si>
    <t>AUTO CARD</t>
  </si>
  <si>
    <t>FAST TAG</t>
  </si>
  <si>
    <t>RTO</t>
  </si>
  <si>
    <t>TR/UT FEE/ BH PASSING</t>
  </si>
  <si>
    <t>TCS</t>
  </si>
  <si>
    <t>INSURANCE</t>
  </si>
  <si>
    <t>TOTAL ON ROAD PRICE</t>
  </si>
  <si>
    <t>Consumer Offer Cash</t>
  </si>
  <si>
    <t>RIPS</t>
  </si>
  <si>
    <t>EXCHANGE LOYALTY OFFER</t>
  </si>
  <si>
    <t>CORPORATE OFFER / ISL</t>
  </si>
  <si>
    <t>RMK</t>
  </si>
  <si>
    <t xml:space="preserve">PRICE DIFFRENCE </t>
  </si>
  <si>
    <t>SPECIAL / EXTRA DIS</t>
  </si>
  <si>
    <t>DEALER DISCOUNT</t>
  </si>
  <si>
    <t>TOTAL OFFER</t>
  </si>
  <si>
    <t>NET VCHICLE AFTER DISCOUNT</t>
  </si>
  <si>
    <t>MGA Sale (before discount)</t>
  </si>
  <si>
    <t>DISCOUNT ON MGA</t>
  </si>
  <si>
    <t>NET GNA</t>
  </si>
  <si>
    <t>AFTER INSU /DELIVERY ACCESSORIES</t>
  </si>
  <si>
    <t>NO CHOICE</t>
  </si>
  <si>
    <t>Total DEAL Discount</t>
  </si>
  <si>
    <t>On Road Price</t>
  </si>
  <si>
    <t>MMR- / +FILE CHARGE</t>
  </si>
  <si>
    <t>Finance Amount</t>
  </si>
  <si>
    <t>Financer</t>
  </si>
  <si>
    <t>D.O/MSG DATE</t>
  </si>
  <si>
    <t>PAYMENT DATE</t>
  </si>
  <si>
    <t>Cash Amt</t>
  </si>
  <si>
    <t>Bank / RTGS amt</t>
  </si>
  <si>
    <t>OLD CAR MODEL</t>
  </si>
  <si>
    <t>VEHCLE NO</t>
  </si>
  <si>
    <t>PURCHASE AMOUNT</t>
  </si>
  <si>
    <t>FORCLOSE</t>
  </si>
  <si>
    <t>Outstanding</t>
  </si>
  <si>
    <t>REMARKS</t>
  </si>
  <si>
    <t>CASH RECEIPT DETAILS</t>
  </si>
  <si>
    <t>AJAY MUJALDE S/O GAJARAJ SINGH</t>
  </si>
  <si>
    <t>KHARGONE, UN BUJURG, 70 BAJAR EHOK, WEST NIMAR 451440</t>
  </si>
  <si>
    <t>BALENO</t>
  </si>
  <si>
    <t>SIGMA</t>
  </si>
  <si>
    <t>WHITE</t>
  </si>
  <si>
    <t>KHARGONE</t>
  </si>
  <si>
    <t>IN HOUSE</t>
  </si>
  <si>
    <t>SUNDARAM</t>
  </si>
  <si>
    <t>MANIRUDRA RAJPUT</t>
  </si>
  <si>
    <t>SHIVAM NAMDEV</t>
  </si>
  <si>
    <t>DISBURSED</t>
  </si>
  <si>
    <t>SWIFT 2018</t>
  </si>
  <si>
    <t>MP-46-C-2419</t>
  </si>
  <si>
    <t>CHQ IN HAND DHARMENDRA</t>
  </si>
  <si>
    <t>RAHUL TOMAR S/O DINESH TOMAR</t>
  </si>
  <si>
    <t xml:space="preserve">BARWANI, ALIRAJPUR </t>
  </si>
  <si>
    <t>FRONX</t>
  </si>
  <si>
    <t>SIGMA CNG</t>
  </si>
  <si>
    <t>BARWANI</t>
  </si>
  <si>
    <t>SELF</t>
  </si>
  <si>
    <t>BOB</t>
  </si>
  <si>
    <t>SENDHWA</t>
  </si>
  <si>
    <t>UMAR KHAN</t>
  </si>
  <si>
    <t>DEEPAK GUPTA</t>
  </si>
  <si>
    <t>SELF LOAN</t>
  </si>
  <si>
    <t>VIRENDRA SOLANKI S/O DHANSINGH SOLANKI</t>
  </si>
  <si>
    <t>BARWANI, GREET KE PASS , DATWA ANJAD, 451556</t>
  </si>
  <si>
    <t>DELTA</t>
  </si>
  <si>
    <t>MPGB</t>
  </si>
  <si>
    <t>ANJAD</t>
  </si>
  <si>
    <t>NILESH PATIDAR</t>
  </si>
  <si>
    <t>NON MSSF</t>
  </si>
  <si>
    <t>17000 DUE UMAR KHAN</t>
  </si>
  <si>
    <t>SHUBHAM GOAD S/O SOHAN SINGH</t>
  </si>
  <si>
    <t>BARWANI, 68, KAPALYA KHEDI 451660</t>
  </si>
  <si>
    <t>BLUE</t>
  </si>
  <si>
    <t>PENDING</t>
  </si>
  <si>
    <t>THIKRI</t>
  </si>
  <si>
    <t>YOGESH MUJALDE</t>
  </si>
  <si>
    <t>2000 BROKARAGE GIVEN TO PERSON BY RM APPROVAL BY GM SIR</t>
  </si>
  <si>
    <t>ANIL RATHORE S/O KADU RATHORE</t>
  </si>
  <si>
    <t>BURHANPUR, 175/01, JAINABAD 450331</t>
  </si>
  <si>
    <t>DELTA CNG</t>
  </si>
  <si>
    <t>BURHANPUR</t>
  </si>
  <si>
    <t>KHANDWA</t>
  </si>
  <si>
    <t>PRADEEP JOSHI</t>
  </si>
  <si>
    <t>NARENDRA BIDIYARE</t>
  </si>
  <si>
    <t>OK</t>
  </si>
  <si>
    <t>JAVED KHAN S/O LIYAKAT</t>
  </si>
  <si>
    <t>KHARGONE, 278,SHAHPURA GOGAWAN 451335</t>
  </si>
  <si>
    <t>CIAZ</t>
  </si>
  <si>
    <t>ZETA</t>
  </si>
  <si>
    <t>INDUSIND</t>
  </si>
  <si>
    <t>PRAVEEN PATEL</t>
  </si>
  <si>
    <t>RAMIJ KHAN</t>
  </si>
  <si>
    <t>CHQ IN HAND 30-04-24  ( 60,000 /-)</t>
  </si>
  <si>
    <t>UPI/CR/409890711495 ( 31200 ) +UPI/CR/409717979728 (5000)</t>
  </si>
  <si>
    <t>PAVAN S/O MEVALAL</t>
  </si>
  <si>
    <t>CHHANERA, 160, JAYPRAKASH NARAYAN WARD NO 09, 450116</t>
  </si>
  <si>
    <t>G.VITARA</t>
  </si>
  <si>
    <t>BOI</t>
  </si>
  <si>
    <t>CHHANERA</t>
  </si>
  <si>
    <t>PRASHANT BARCHE</t>
  </si>
  <si>
    <t>SUMIT YADAV</t>
  </si>
  <si>
    <t>UTR NO 893933 ( 870000) +IMPS/P2A/UA0596106953 (50000)</t>
  </si>
  <si>
    <t>NIRMAL KUMAR KUMRAWAT S/O MUKUNDRAM KUMRAWAT</t>
  </si>
  <si>
    <t>KHARGONE, GRAM MULTHAN, KASRAWAD 451335</t>
  </si>
  <si>
    <t>MULTHAN</t>
  </si>
  <si>
    <t>SAMEER MANSURI</t>
  </si>
  <si>
    <t>WAGANOR R LXI 2011</t>
  </si>
  <si>
    <t>MP-09-CJ-8671</t>
  </si>
  <si>
    <t>SHAILENDRA S/O DILIP</t>
  </si>
  <si>
    <t>KHARGONE, DEDGAON BORAWA 451228</t>
  </si>
  <si>
    <t>ZETA CNG</t>
  </si>
  <si>
    <t>CHOLA</t>
  </si>
  <si>
    <t>PAWAN YADAV</t>
  </si>
  <si>
    <t>CHQ NO 96104 ( BLANK) IN HAND+ CAR KEY</t>
  </si>
  <si>
    <t>MR NO. 33346 ( 19500)+ CUSTOMER DEPOSITED ( 130000 )  08-04-24</t>
  </si>
  <si>
    <t>RAJEEV ANURAGI S/O KHILAN ANURAGI</t>
  </si>
  <si>
    <t>PUNASA, DINKARPURA TOWER KE PAS BEDI 450110</t>
  </si>
  <si>
    <t>DEVILAL PANDEY</t>
  </si>
  <si>
    <t>FORD FIGO</t>
  </si>
  <si>
    <t>CG-12-R-4879</t>
  </si>
  <si>
    <t>NARENDRA SINGH RAJPUT S/O JAYSINGH RAJPUT</t>
  </si>
  <si>
    <t>MAHESHWAR, GRAM PALSUD, 451225</t>
  </si>
  <si>
    <t>BARWAHA</t>
  </si>
  <si>
    <t>CHEQUE</t>
  </si>
  <si>
    <t>CASH</t>
  </si>
  <si>
    <t>PANKAJ BHAYAL</t>
  </si>
  <si>
    <t>ROHIT KANNOD</t>
  </si>
  <si>
    <t>CHQ NO 075908 ( 65000/-)</t>
  </si>
  <si>
    <t>SATISH DAKSHE S/O BANWARI LAL DAKSHE</t>
  </si>
  <si>
    <t>KHANDWA, PANI KI TANKI KE PAS KHAR KALAN, 450051</t>
  </si>
  <si>
    <t>HARDA</t>
  </si>
  <si>
    <t>IDFC</t>
  </si>
  <si>
    <t>MAYANK YADAV</t>
  </si>
  <si>
    <t>AJAY ONKAR</t>
  </si>
  <si>
    <t>TO BE RIGHT OFF</t>
  </si>
  <si>
    <t>MUKESH JAISWAL S/O RAMAVTAR JAISWAL (OCEAN INDORE)</t>
  </si>
  <si>
    <t>DHAR, SADAR BAZAR, NALCHHA 454001</t>
  </si>
  <si>
    <t>XL-6</t>
  </si>
  <si>
    <t>NALCHHA</t>
  </si>
  <si>
    <t>DHAR</t>
  </si>
  <si>
    <t>RAVINDRA JAISWAL</t>
  </si>
  <si>
    <t>2000 BROKARAGE GIVEN TO PRVEEN JI</t>
  </si>
  <si>
    <t>MAHESH S/O SHIV KUMAR</t>
  </si>
  <si>
    <t>BARWANI, TALWADA DEB , THIKRI 451556</t>
  </si>
  <si>
    <t>TALWADA</t>
  </si>
  <si>
    <t>KEVAL GOLE</t>
  </si>
  <si>
    <t>UTR NO 146769 (11000)</t>
  </si>
  <si>
    <t>UNITARA MOTORS DEWAS (MAHESH CHOUDHARY)</t>
  </si>
  <si>
    <t>DEWAS</t>
  </si>
  <si>
    <t>N/R</t>
  </si>
  <si>
    <t>NMPL</t>
  </si>
  <si>
    <t>COUNTER</t>
  </si>
  <si>
    <t>GOPAL SONI S/O JAGDISH CHANDRA SONI</t>
  </si>
  <si>
    <t>BARWNAI, WARD NO 12, GUJARI CHOWK, RAJPUR, 451447</t>
  </si>
  <si>
    <t>MAHINDRA</t>
  </si>
  <si>
    <t>YES</t>
  </si>
  <si>
    <t>IHM</t>
  </si>
  <si>
    <t>CASH R.N 3422 ( 51000) + CASH R.N 3243 (4100)</t>
  </si>
  <si>
    <t>ASHOK ATODE S/O AMAR ATODE</t>
  </si>
  <si>
    <t>INDORE, MHOW , 68-A GIRNAR CITY SUTAR KHEDI</t>
  </si>
  <si>
    <t>HDFC</t>
  </si>
  <si>
    <t>INDORE</t>
  </si>
  <si>
    <t>KRISHANPAL TOMAR</t>
  </si>
  <si>
    <t>UTR NO 315153 ( 30,000 )</t>
  </si>
  <si>
    <t>LAKHANLAL PATIDAR S/O KADWA PATIDAR</t>
  </si>
  <si>
    <t>KHARGONE ,728 GRAM OON BUJURG TEH KHARGONE , MADHYAPRADESH 451440</t>
  </si>
  <si>
    <t>SBI</t>
  </si>
  <si>
    <t>SEGAON</t>
  </si>
  <si>
    <t>ALTO LXI</t>
  </si>
  <si>
    <t>MP-09CD-3808</t>
  </si>
  <si>
    <t>CASH R.N 3348 (44000) + UPI/CR/410685053064 (25000)</t>
  </si>
  <si>
    <t>UTR NO . BKIDR52024040600039735 (650,000/-)</t>
  </si>
  <si>
    <t>MOHAN CHOYAL S/O PURA JI</t>
  </si>
  <si>
    <t xml:space="preserve">RAJPUR, WARD NO 62, GRAM MOYDA, POST RARANGANI ROAD </t>
  </si>
  <si>
    <t>GREY</t>
  </si>
  <si>
    <t>CHQ NO 014 60000 IN HAND</t>
  </si>
  <si>
    <t>JITENDRA SINGH S/O SAJJAN SINGH</t>
  </si>
  <si>
    <t>KHARGONE. 96, KARONDIYA KHURD, PADLYA KHURD, 451220</t>
  </si>
  <si>
    <t>KARAHI</t>
  </si>
  <si>
    <t>G</t>
  </si>
  <si>
    <t>YASHWANT BILWE S/O BHIMA BILWE</t>
  </si>
  <si>
    <t>KHARGONE, BALGAON POST NAGJHIRI 451001</t>
  </si>
  <si>
    <t>BOLERO NEO N4</t>
  </si>
  <si>
    <t>MP-09-ZB-3579</t>
  </si>
  <si>
    <t>DUE</t>
  </si>
  <si>
    <t>CASH R.N 0113 ( 165000)</t>
  </si>
  <si>
    <t>SANJAY KHERNER S/O OMPRAKASH KHERNER</t>
  </si>
  <si>
    <t>SEHORE, MARUTI TALORS SASTRI NAGAR, NASRULLAGANJ 466331</t>
  </si>
  <si>
    <t>SILVER</t>
  </si>
  <si>
    <t>NASRULLAGANJ</t>
  </si>
  <si>
    <t>MONESH YADAV</t>
  </si>
  <si>
    <t>AKHILESH GUPTA S/O BABULAL GUPTA</t>
  </si>
  <si>
    <t>RAJPUR, 12, GUJRI CHOK 451447</t>
  </si>
  <si>
    <t>BABLU VERMA S/O BADRILAL VERMA</t>
  </si>
  <si>
    <t>BARWANI, 374 BORLAY</t>
  </si>
  <si>
    <t>CASH R.N 3427(7400/-)</t>
  </si>
  <si>
    <t>CASH R.N 3285 ( 195000 )</t>
  </si>
  <si>
    <t>DHARMENDRA YADAV S/O GHISALAL YADAV</t>
  </si>
  <si>
    <t>BARWANI, SEGWAL 451660</t>
  </si>
  <si>
    <t>SUNIL GAYKE</t>
  </si>
  <si>
    <t>RADHESHYAM SAHU S/O JAGDISH</t>
  </si>
  <si>
    <t>JULWANIYA, 511, AB RAOD JULWANIYA 451449</t>
  </si>
  <si>
    <t>SHOEB SHEIKH</t>
  </si>
  <si>
    <t xml:space="preserve">S-CROSS </t>
  </si>
  <si>
    <t>MP-09-CW-3255</t>
  </si>
  <si>
    <t>CHQ NO 30992 (230000) + 33000 OUTSTANDING 09-04</t>
  </si>
  <si>
    <t>PRAKASH CHOUHAN S/O LUDARIYA CHOUHAN</t>
  </si>
  <si>
    <t>KHARGONE, GRAM POE , BHIKANGAON, 451331</t>
  </si>
  <si>
    <t>BHIKANGAON</t>
  </si>
  <si>
    <t>RAHUL PRAJAPATI</t>
  </si>
  <si>
    <t>TEACHER</t>
  </si>
  <si>
    <t>ANTIM PATIDAR DETAILS PENDING</t>
  </si>
  <si>
    <t>VIMAL YADAV S/O MOTILAL YADAV</t>
  </si>
  <si>
    <t>BARWANI, SAINATH COLONI THIKRI 451660</t>
  </si>
  <si>
    <t>UTR NO 943677 ( 48000)+UTR NO .BKIDE24097041006 (650000)+UPI/CR/441995586258 (2000)</t>
  </si>
  <si>
    <t>RAM PATIDAR S/O SUNIL PATIDAR</t>
  </si>
  <si>
    <t>KHARGONE, HUDDIYA, KARAHI 451220</t>
  </si>
  <si>
    <t>DHAMNOD</t>
  </si>
  <si>
    <t xml:space="preserve"> </t>
  </si>
  <si>
    <t>PRANESH BAJAJ S/O SURENDRA BAJAJ</t>
  </si>
  <si>
    <t>KHANDWA, WARD NO 18, RAMGANJ 450001</t>
  </si>
  <si>
    <t>KHANDWA ( PATEL CHAMBERS )</t>
  </si>
  <si>
    <t>DD CASH IN HAND DHARMENDRA ( 155000 /- )</t>
  </si>
  <si>
    <t>SATENDRA SINGH GURJAR S/O MANNU SINGH GURJAR</t>
  </si>
  <si>
    <t>INDORE, NEAR ELECTRONICS COMPLEX, 49, CLERK COLONY INDORE 452003</t>
  </si>
  <si>
    <t>CHQ NO 109216 ( 354100 )+CASH R.N 3422 ( 51000)</t>
  </si>
  <si>
    <t>OCEAN MOTORS INDORE (JITENDRA SINGH TOMAR)</t>
  </si>
  <si>
    <t>JAKARIYA KHATRI S/O CHOTU KHATRI</t>
  </si>
  <si>
    <t>KHARGONE, NATHEDI GOGAWAN 451335</t>
  </si>
  <si>
    <t>BANK OF BARODA</t>
  </si>
  <si>
    <t>BALRAM JADHAV S/O BUDA JADHAV</t>
  </si>
  <si>
    <t>KHARGONE, PALSUD 451225</t>
  </si>
  <si>
    <t>AKSHAYA MAHAJAN S/O KAILASH MAHAJAN</t>
  </si>
  <si>
    <t>BURHANPUR, PHOPNAR H.N 414,WARD NO 04, GRAM PHOPNAR KALAN, 450445</t>
  </si>
  <si>
    <t>PHOPNAR</t>
  </si>
  <si>
    <t>SAGAR SAHU</t>
  </si>
  <si>
    <t>SUMIT RATHORE S/O SUBHASH RATHORE</t>
  </si>
  <si>
    <t>KHANDWA, WARD NO 06, MUNDI 450112</t>
  </si>
  <si>
    <t>XYLO E2 2009</t>
  </si>
  <si>
    <t>MP-12-T-0532</t>
  </si>
  <si>
    <t>CASH R.N 3369 ( 95000/-)+ BOOKING 5000 REKHA BAI RATHRE</t>
  </si>
  <si>
    <t>CASH R.N1407 (11000)+ R.N 155 ( 25000)</t>
  </si>
  <si>
    <t>DHANNALAL S/O FATTU</t>
  </si>
  <si>
    <t>KHARGONE, RANGAON, POST SURAPALA 451001</t>
  </si>
  <si>
    <t>to be received from customer</t>
  </si>
  <si>
    <t>UTR NO 00</t>
  </si>
  <si>
    <t>ROHIT KUMAR S/O RAJVIR SINGH</t>
  </si>
  <si>
    <t>U.P H.N 444, LALPUR JAITHARA</t>
  </si>
  <si>
    <t>NOIDA</t>
  </si>
  <si>
    <t>NOTE 3650 ROHIT KUMAR ME ADD THIS REMOVE KI HE 19-04-24</t>
  </si>
  <si>
    <t>JAYPRAKASH BHAWSAR S/O JAGDISH BHAWSAR</t>
  </si>
  <si>
    <t>KHARGONE, 14 DEHALI DARWAJA MARG, KHARGONE 451001</t>
  </si>
  <si>
    <t>UTR NO. BARBR52024041000767651 ( 11,00,000/-)</t>
  </si>
  <si>
    <t>CHQ NO 000081 ( 3,95,000)</t>
  </si>
  <si>
    <t>MOHSIN KHAN S/O YUNUS KHAN</t>
  </si>
  <si>
    <t>SENDHWA, H.N 44, ANIMAL HOSPITAL 451666</t>
  </si>
  <si>
    <t>HDB</t>
  </si>
  <si>
    <t>GOUTAM YADAV</t>
  </si>
  <si>
    <t>AASHISH JAIN S/O ASHOK JAIN</t>
  </si>
  <si>
    <t>KHARGONE, 414, JHANDA CHOUK, WARD NO 11, JAIN MOHALLA, BALAKWADA 451001</t>
  </si>
  <si>
    <t>RED</t>
  </si>
  <si>
    <t>ARCHANA GANGRADE W/O HEMANT GANGRADE</t>
  </si>
  <si>
    <t>KHANDWA, LAKKAD BAZAR, BHAWANI MATA ROAD, 451001</t>
  </si>
  <si>
    <t>VIKRAM RAJPUT</t>
  </si>
  <si>
    <t>CASH R.N 3367 (4000/-)</t>
  </si>
  <si>
    <t>PUNBR52024041016892030 ( 900,000/-) + CASH R.N 3363 ( 31,000/-)</t>
  </si>
  <si>
    <t>AMRATLAL TRIVEDI S/O CHANDRASHEKHAR TRIVEDI</t>
  </si>
  <si>
    <t>KHARGONE, C-29, GORIDHAM COLONY, 451001</t>
  </si>
  <si>
    <t>CANARA BANK</t>
  </si>
  <si>
    <t>RAHUL S/O BHASKAR</t>
  </si>
  <si>
    <t>BURHANPUR, H.N 05, WARD NO 05, BAKHARI, RAM MANDIR KE PASS BAKHARI, SHAHPUR 450445</t>
  </si>
  <si>
    <t>SHAHPUR</t>
  </si>
  <si>
    <t>SUNNY KAUL</t>
  </si>
  <si>
    <t>CASH RN 3280 ( 5000)+R.N 3281 ( 105000) + r.n 3288 (20000/-) +CHQ NO 00005 ( 25000) DT 25-04-24</t>
  </si>
  <si>
    <t>MADAN SINGH MEENA S/O RAMKISHAN MEENA</t>
  </si>
  <si>
    <t>KHANDWA, WARD NO 09, SHIPUR GRAM BHADANG 450117</t>
  </si>
  <si>
    <t>KHANDWA ( KHEDI )</t>
  </si>
  <si>
    <t>HIMANSHU KANADE</t>
  </si>
  <si>
    <t>KRISHNA AJAD S/O KISHORI AJAD</t>
  </si>
  <si>
    <t>HARDA, 2/2 VTC, KHIRKIYA HARDA</t>
  </si>
  <si>
    <t>KHANDWA ( CIVIL LINE )</t>
  </si>
  <si>
    <t>DEBIT TO VIKRAM RAJPUT</t>
  </si>
  <si>
    <t>KANHAIYA RAMAN SONIS S/O RAMAN BABULAL SONIS</t>
  </si>
  <si>
    <t>PANSAMEL , H.N 12911, WARD NO 08, BHOI PLAT 451770</t>
  </si>
  <si>
    <t>PANSAMEL</t>
  </si>
  <si>
    <t>UTR NO 44127 ( 1484045/-)</t>
  </si>
  <si>
    <t>ANAND SONI S/O PRABHAKAR SONI (RAJRUP MOTORS BHOPAL)</t>
  </si>
  <si>
    <t>KHANDWA, H.N 46, WARD NO 35,, SAINATH BAIKARI KE PAS VIDYA NAGAR LAL CHOUKI 450001</t>
  </si>
  <si>
    <t>ALPHA</t>
  </si>
  <si>
    <t>KHANDWA ( LALCHOWKI )</t>
  </si>
  <si>
    <t>RASHMI NAGPURIYA</t>
  </si>
  <si>
    <t>UTR NO 31594(35000)+ NO 333024(35000)+ NO. 48041 ( 25000)+ CHQ NO 61968 ( 700000) + utr 73656 ( 400000/-) + DD CASH 45000 + UPI/CR/410306496585 ( 11000/-)</t>
  </si>
  <si>
    <t>DINESH RATHORE S/O JAGDEESH RATHORE</t>
  </si>
  <si>
    <t>HARSUD, H.N 15, WARD NO 15, NAYA HARSUD, 450116</t>
  </si>
  <si>
    <t>CASH R.N 3014 ( 158000/-)</t>
  </si>
  <si>
    <t>KALIM KHAN S/O VAJIR KHAN</t>
  </si>
  <si>
    <t>KHARGONE, WARD NO 04, VATER VARKS ROAD SANAWAD ,451111</t>
  </si>
  <si>
    <t>MAHENDRA RAJPUT S/O SUBHASH RAJPUT</t>
  </si>
  <si>
    <t>HARDA, GRAM IKDALIYA POST BHUNNAS 461331</t>
  </si>
  <si>
    <t>DELTA +</t>
  </si>
  <si>
    <t>1000 DUE</t>
  </si>
  <si>
    <t>PRAVEEN S/O RAMESH</t>
  </si>
  <si>
    <t>KHARGONE, BEDIYA 451113</t>
  </si>
  <si>
    <t>SHIVAM &amp; MANIRUDRA WILL CONFIRM RTGS 20-04-24</t>
  </si>
  <si>
    <t>CASH MR NO1417 ( 157400 /-)</t>
  </si>
  <si>
    <t>RITIK GANGRADE S/O SANJAY GANGRADE</t>
  </si>
  <si>
    <t>BARWAHA 57, TRILOK MARG, BARWAHA, KHARGONE 451115</t>
  </si>
  <si>
    <t>SOURABH ATRE</t>
  </si>
  <si>
    <t>UR NO. 79078 ( 100000/-)</t>
  </si>
  <si>
    <t>SHIRISH RATHOD S/O SHIVCHARAN RATHOD</t>
  </si>
  <si>
    <t>MANDLESHWAR, 06, RAJENDRA BABU MARG 451221</t>
  </si>
  <si>
    <t>MANDLESHWAR</t>
  </si>
  <si>
    <t>JASPREET KAUR BHATIA W/O HARPREET BHATIA</t>
  </si>
  <si>
    <t>KHARGONE, VISHNUPURI COLONY, KHANDWA ROAD 451001</t>
  </si>
  <si>
    <t>INDIAN BANK</t>
  </si>
  <si>
    <t>HYUNDAI  I-20</t>
  </si>
  <si>
    <t>MP-10-CA-7257</t>
  </si>
  <si>
    <t>JITENDRA KUMAR YADAV S/O REVARAM YADAV</t>
  </si>
  <si>
    <t>PUNASA, H.N 654, WARD NO 14, SATI MATA MANDIR KE PASS 450114</t>
  </si>
  <si>
    <t>CASH R.N 3371 ( 5100/-) R.N 3373 (30000/-) + CHQ NO 541626 ( 3,00,000/-)</t>
  </si>
  <si>
    <t>SURAJ W/O BHARAT</t>
  </si>
  <si>
    <t>KHARGONE, LAV KUSH VIHAR, BISTAN ROAD 451001</t>
  </si>
  <si>
    <t>KHARGONE ( SME BR )</t>
  </si>
  <si>
    <t>CHATARU S/O DALLU</t>
  </si>
  <si>
    <t>..</t>
  </si>
  <si>
    <t>JAIDEO MAUJILAL MALVIYA S/O MAUJILAL MALVIYA</t>
  </si>
  <si>
    <t>AMRAWATI, 61 WARD NO 01, DAYARAM CHOUK, GADI - KARKHANA, JAVDILBAHG UTTAR BAGH 425001</t>
  </si>
  <si>
    <t>ZETA + ECVT</t>
  </si>
  <si>
    <t>NB94116</t>
  </si>
  <si>
    <t>EXCHANGE PAPER</t>
  </si>
  <si>
    <t>MH-27-BV-8374</t>
  </si>
  <si>
    <t>CASH RECEIPT RS 25000 PENDING FROM JOSHIJI</t>
  </si>
  <si>
    <t>ARIFA TAYYAB TADVI W/O TAIYYAB AMIR TADAVI</t>
  </si>
  <si>
    <t>JALGAON, 1140, TADAVI COLONY, SAVDA ROAD RAVER, 425508</t>
  </si>
  <si>
    <t>JITENDRA KAUL</t>
  </si>
  <si>
    <t>CASH R.N 3287 ( 100000/-) + CASH R.N 3289 ( 32000/-)</t>
  </si>
  <si>
    <t>SUNIL YADAV S/O UMESH SINGH YADAV</t>
  </si>
  <si>
    <t>KHARGONE, WARD NO 29, MOTIPURA, HANUMAN GALI KHARGONE, 451001</t>
  </si>
  <si>
    <t>250000 DD CASH IN HAND + CHQ NO 000014 ( 150000)</t>
  </si>
  <si>
    <t>MANORAMA MANDLOI W/O SANJAY MANDLOI</t>
  </si>
  <si>
    <t>BARWANI ( SAI NATH )</t>
  </si>
  <si>
    <t>AKSHAY PATWA</t>
  </si>
  <si>
    <t>DELIVERY  10-05-24</t>
  </si>
  <si>
    <t>AVINASH THAKUR S/O ASHOK SINGH THAKUR</t>
  </si>
  <si>
    <t>KHANDWA, HN 344, WARD NO 05, SECTOR NO 06, HARSUD,  450116</t>
  </si>
  <si>
    <t>ANSHINI SHARMA D/O PRAKASH SHARMA</t>
  </si>
  <si>
    <t>KHARGONE,01 MASTER COLONY, BISTAN ROAD, NEAR RUDRESHWAR MAHADEV MANDIR 451001</t>
  </si>
  <si>
    <t>ALPHA TURBO</t>
  </si>
  <si>
    <t>CHQ NO 000030 ( 370,000/-) + CHQ NO 167474 ( 100,000/-)</t>
  </si>
  <si>
    <t>VINOD MOHITE S/O SHYAMLAL MOHITE</t>
  </si>
  <si>
    <t>BURHANPUR, H.N 09, WARD NO 01, DALMAHU 450221</t>
  </si>
  <si>
    <t>GANESH RATHORE S/O SALAKRAM RATHORE</t>
  </si>
  <si>
    <t>BARWANI, HARANGAV 451556</t>
  </si>
  <si>
    <t>OMNI 2017</t>
  </si>
  <si>
    <t>MP-09-BD-7602</t>
  </si>
  <si>
    <t>CASH R.N 3435 ( 15000/-)</t>
  </si>
  <si>
    <t>RAJESH S/O NANNDU</t>
  </si>
  <si>
    <t>KHARGONE, GRAM NAGJHIRI 451001</t>
  </si>
  <si>
    <t>KHRGONE</t>
  </si>
  <si>
    <t>NAVEEN SINGH YADAV S/O NIRANJAN SINGH YADAV</t>
  </si>
  <si>
    <t>BHOPAL, A20, DWARKADHAM KHAROND, AIRPORT ROAD , NEAR NEW JAIL BADWAI WARD NO .06, HUZUR BHOPAL 462038</t>
  </si>
  <si>
    <t>ZETA + CVT</t>
  </si>
  <si>
    <t>NC11290</t>
  </si>
  <si>
    <t>AU BANK</t>
  </si>
  <si>
    <t>BHOPAL</t>
  </si>
  <si>
    <t>DINESH KUMAR SEN S/O BABULAL SEN</t>
  </si>
  <si>
    <t>KHARGONE. OFFICER CHAMELI KI BADI KE PAS KHARGONE, 451001</t>
  </si>
  <si>
    <t>ZETA TURBO</t>
  </si>
  <si>
    <t>VEHICLE KIT OFFER</t>
  </si>
  <si>
    <t>20 K CHQ IN HAND (DHARMENDRA ) + 51000 DD CASH IN HAND</t>
  </si>
  <si>
    <t>MAHESH RATHORE S/O POONAMCHAND RATHORE</t>
  </si>
  <si>
    <t>INDORE, BADEL WEST NIMAR 451115</t>
  </si>
  <si>
    <t>IGNIS</t>
  </si>
  <si>
    <t>SWIFT 2008</t>
  </si>
  <si>
    <t>MP-09-CC-8463</t>
  </si>
  <si>
    <t>1150 ACCESSORIES ADDED 15-05-24 ( LOKESH )</t>
  </si>
  <si>
    <t>NARENDRA S/O ANARSING</t>
  </si>
  <si>
    <t>KHARGONE, 279, SATVADA, 451331</t>
  </si>
  <si>
    <t>HARIRAM S/O NANDRAM</t>
  </si>
  <si>
    <t>KHARGONE, 56, KATKUT BARWAHA 451115</t>
  </si>
  <si>
    <t>KATKUT</t>
  </si>
  <si>
    <t>NARENDRA BHAGWAN SONAR S/O BHAGWAN SONAR</t>
  </si>
  <si>
    <t>JALGAON, RAJIV PATIL NAGAR, RAVER, JALGAON 425508</t>
  </si>
  <si>
    <t>JALGAON</t>
  </si>
  <si>
    <t>UPI/CR/413002401192 ( 25000/-)</t>
  </si>
  <si>
    <t>PRIYANSHU TIWARI S/O ARUN TIWARI</t>
  </si>
  <si>
    <t>DEWAS, WARD NO 06, GRAM SANDALPUR, TEHSIL KHATEGAON, DEWAS 455339</t>
  </si>
  <si>
    <t>APPLIED</t>
  </si>
  <si>
    <t>CASH R.N 3504 ( ARUN TIWARI BOOKING ( 10000/- + R.N 3020 ( 50000/-)</t>
  </si>
  <si>
    <t>PRADEEP YADAV S/O KADWA YADAV</t>
  </si>
  <si>
    <t>KHARGONE, A-34, AADARSH NAGAR JETAPUR KHANDWA ROAD, WARD NO 03, 451001</t>
  </si>
  <si>
    <t>OK ALL PAYMENT CONFIRMED DHARMENDRA</t>
  </si>
  <si>
    <t>NO ACCESSORIES DEAL</t>
  </si>
  <si>
    <t>SANDEEP GAUR S/O HARIKRISHNA GAUR</t>
  </si>
  <si>
    <t>MAHESHWAR, PLOT NO 95, SHRIOMKAR DUTT COLONY 451224</t>
  </si>
  <si>
    <t>MAHESHWAR</t>
  </si>
  <si>
    <t>HIRALAL KALME S/O MUNSHI KALME</t>
  </si>
  <si>
    <t>KHANDWA, M N 45 WARD NO 04,TEHSIL KHALWA ROSHNI 450117</t>
  </si>
  <si>
    <t>KHANDWA ( AANAND NAGAR )</t>
  </si>
  <si>
    <t>MAYURE PATIDAR S/O GAJENDRA PATIDAR</t>
  </si>
  <si>
    <t>DHAR, NISARPUR, KUKSHI 454335</t>
  </si>
  <si>
    <t>4900 DEBIT TO NILESH PATIDAR AS PER DEAL PAGE</t>
  </si>
  <si>
    <t>KAILASH DUBE S/O AANAND RAM DUBE</t>
  </si>
  <si>
    <t>SGIMA</t>
  </si>
  <si>
    <t>PATHAK SIR CASH IN HAND .. 5000/-</t>
  </si>
  <si>
    <t>SHERU S/O GENDALAL</t>
  </si>
  <si>
    <t>KHARGONE, 485, MOHAMMADPUR, GOGAWAN 451335</t>
  </si>
  <si>
    <t>BISTAN ROAD</t>
  </si>
  <si>
    <t>ATUL JINDAL S/O MOHANLAL JINDAL</t>
  </si>
  <si>
    <t>ANJAD, WARD NO 04, GANESH JINING KE SAMNE 451556</t>
  </si>
  <si>
    <t>BREEZA 2020</t>
  </si>
  <si>
    <t>MP-09-WM-4298</t>
  </si>
  <si>
    <t>FORCLOSE CONFIRMATIN PENDING</t>
  </si>
  <si>
    <t>CHANDRASHEKHAR S/O BANSHILAL</t>
  </si>
  <si>
    <t>ROMCHICHALI, KHARGONE 451001</t>
  </si>
  <si>
    <t>SUNIL GAYAKE</t>
  </si>
  <si>
    <t>MP-09-HE-2773</t>
  </si>
  <si>
    <t>ANKIT MUKATI  S/O BADRILAL MUKATI</t>
  </si>
  <si>
    <t>BARWANI , 08, BARWANI</t>
  </si>
  <si>
    <t>CASH RN 3438 ( 35000/-)</t>
  </si>
  <si>
    <t>SACHIN PATIDAR S/O THAKUR LAL PATIDAR</t>
  </si>
  <si>
    <t>KASRAWAD, H.S 06, GRAM KHEDI, POST CHANDANPURI 451001</t>
  </si>
  <si>
    <t>KASRAWAD</t>
  </si>
  <si>
    <t>ANIL KUMAR S/O BABULAL</t>
  </si>
  <si>
    <t>JHANSI, PRATAP PURA NAGAR , SIPRI BAZAR</t>
  </si>
  <si>
    <t>VIJAY KUMAR S/O ROOP SINGH RAGHUVANSHI</t>
  </si>
  <si>
    <t>KHARGONE, GRAM DEVALGAON, POST GHUGHRIYAKHEDI, 451335</t>
  </si>
  <si>
    <t>ALPHA + CVT</t>
  </si>
  <si>
    <t>NC25425</t>
  </si>
  <si>
    <t>BALENO ZETA</t>
  </si>
  <si>
    <t xml:space="preserve"> MP-68-C-9007</t>
  </si>
  <si>
    <t>DEAL NOT FINALISED ( DEEPAK UNCEL DEAL)</t>
  </si>
  <si>
    <t>RIZWAN KHAN S/O SHAMEEM FIRDOZ KHAN</t>
  </si>
  <si>
    <t>KHARGONE, 22/3 PATHAN BADI 451001</t>
  </si>
  <si>
    <t>KHARGONE ( JETAPUR ROAD)</t>
  </si>
  <si>
    <t>ECCO</t>
  </si>
  <si>
    <t>MP-09-ZJ-2589</t>
  </si>
  <si>
    <t>ATUL PATIL S/O MADHUKAR PATIL</t>
  </si>
  <si>
    <t>BURHANPUR, H.N 42, WARD NO N2, GORADIYA NAWRA 450221</t>
  </si>
  <si>
    <t>SARANG BAHUGUNA</t>
  </si>
  <si>
    <t>R.N 3551 ( 120360/-)</t>
  </si>
  <si>
    <t>SUBHASH BIRLA S/O KAMAL CHAND BIRLA</t>
  </si>
  <si>
    <t>KHARGONE, SALA, 451111</t>
  </si>
  <si>
    <t>SANAWAD</t>
  </si>
  <si>
    <t>SHUBHAM DUBLIYA</t>
  </si>
  <si>
    <t>CASH RECEIPT PENDING</t>
  </si>
  <si>
    <t>MOHAMMAD MOHSIN S/O MOHAMMAD FIROZ</t>
  </si>
  <si>
    <t>CASH DHARMENDRA CONFIRMED</t>
  </si>
  <si>
    <t>SHIVAM SONI S/O GOVIND SONI</t>
  </si>
  <si>
    <t>BURHANPUR, WARD PO DARIYAPUR 450331</t>
  </si>
  <si>
    <t>R.N 3293(11000)+ RN 3294(185000/-)</t>
  </si>
  <si>
    <t>SHRIRAM JAT S/O RANCHOD JAT</t>
  </si>
  <si>
    <t>KHARGONE, 15/1, KHANDWA ROAD NEAR KALASH HOTEL, JANAKI NAGAR, KHARGONE</t>
  </si>
  <si>
    <t>DELTA+</t>
  </si>
  <si>
    <t>CSD (SBI)</t>
  </si>
  <si>
    <t>VILAS AVSARMAL S/O RATILAL AVSARMAL</t>
  </si>
  <si>
    <t>BURHANPUR, GRAM SONPURA NANDKHEDA 450331</t>
  </si>
  <si>
    <t>CASH R.N 3291(59000)+ R.N 3292 ( 47500)</t>
  </si>
  <si>
    <t>YOGESH SHARMA S/O SHANTILAL SHARMA</t>
  </si>
  <si>
    <t>PALSUD, 06 MAIN ROAD 451447</t>
  </si>
  <si>
    <t>ERTIGA LDI</t>
  </si>
  <si>
    <t>MP-04-ZJ-0108</t>
  </si>
  <si>
    <t>RADHESHLAL KHANDERAY S/O CHAMANLAL KHANDERAY</t>
  </si>
  <si>
    <t>KHEDA, MAKAN NO.144, WARD NO 16. GRA, PANCHAYAT, SAWALI 450117</t>
  </si>
  <si>
    <t>KHALWA</t>
  </si>
  <si>
    <t>MR NO 3376 (2100/-)DT 20.05.24</t>
  </si>
  <si>
    <t>ABDUL KADIR BURHANI S/O SHAHID BURHANI</t>
  </si>
  <si>
    <t>PALSUD, WARD NO 02, INDIRA COLONY, RAJPUR</t>
  </si>
  <si>
    <t>WAGANOR</t>
  </si>
  <si>
    <t xml:space="preserve"> MP-09-DB-9520</t>
  </si>
  <si>
    <t>DUE TILL 15-06-24</t>
  </si>
  <si>
    <t>RAJNI KUSHWAHA S/O BALABHAOO KUSHWAHA</t>
  </si>
  <si>
    <t>HARDA, WARD NO 06, SARASWATI VIDYA MANDIR KE SAMNE , THAKUR BABA MOHALLA 461229</t>
  </si>
  <si>
    <t>NEPANAGAR</t>
  </si>
  <si>
    <t>SHRIKANT GEETE S/O GULABCHAND GEETE</t>
  </si>
  <si>
    <t>INDORE, SUDAMA NAGAR WEST RING ROAD</t>
  </si>
  <si>
    <t>DELTA + AGS</t>
  </si>
  <si>
    <t>CIAZ 2014</t>
  </si>
  <si>
    <t>MP-09-CQ-5375</t>
  </si>
  <si>
    <t>PAVAN BILVE S/O CHAMPALAL BILVE</t>
  </si>
  <si>
    <t>KHARGONE, 132, KANHA KUNJ, WARD NO 30 451001</t>
  </si>
  <si>
    <t>14000 * 4 MONTH TILL  SEPT 24</t>
  </si>
  <si>
    <t>NILESH MALAKAR S/O SANTOSH MALAKAR</t>
  </si>
  <si>
    <t>KHARGONE, MALI COLONY ,WARD NO 17, SANAWAD 451111</t>
  </si>
  <si>
    <t>CASH RN 349 (6000/-)</t>
  </si>
  <si>
    <t>NIMAR MOTORS PVT LTD</t>
  </si>
  <si>
    <t>NEXA CAR SHOWROOM SANAWAD ROAD JEITAPUR KHARGONE DIST KHARGONE</t>
  </si>
  <si>
    <t>NC30390</t>
  </si>
  <si>
    <t>DEALER</t>
  </si>
  <si>
    <t>SUNIL VERMA S/O SUNDERLAL VERMA</t>
  </si>
  <si>
    <t>KHARGONE, 320, DASHEHRA MAIDAN, BARWAHA 451115</t>
  </si>
  <si>
    <t>CHQ IN HAND 334000 + CASH RN 3522 ( 50,000/-)</t>
  </si>
  <si>
    <t>MOHSIN KHAN S/O MOHD RAFIQ</t>
  </si>
  <si>
    <t>BARWANI, WARD NO  12, NEW HOUSING BOARD 451551</t>
  </si>
  <si>
    <t>CASH Rn 3441 (190000/-)</t>
  </si>
  <si>
    <t>SYED MUSADDIQ ALI S/O SYED LIAQE ALI</t>
  </si>
  <si>
    <t>BURHANPUR, H.N 121 WARD NO 33, KHANKA BURHANPUR 450331</t>
  </si>
  <si>
    <t>CHQ IN HAND 36000/-</t>
  </si>
  <si>
    <t>BADRILAL BHAYAL S/O KANAJI BHAYAL</t>
  </si>
  <si>
    <t>JULWANIA</t>
  </si>
  <si>
    <t>JITENDRA GUPTA</t>
  </si>
  <si>
    <t>DUE  TILL 01-06-24</t>
  </si>
  <si>
    <t>RUPESH GANGAREKAR S/O DAYARAM</t>
  </si>
  <si>
    <t>BARWANI, HANUMAN MOHALLA, MANDAWALA, BARWANI</t>
  </si>
  <si>
    <t>CASH RECEIPT PENDING + CHQ NOT CLEARED 556470/-</t>
  </si>
  <si>
    <t>RANI HEERE D/O SHIVPRASAD HEERE</t>
  </si>
  <si>
    <t>HARSUD, H.N 137, WARD NO 01, SEC 2, SATIMATA WARD 450116</t>
  </si>
  <si>
    <t>SHRIRAM FIN</t>
  </si>
  <si>
    <t>LOKESH VARMA S/O KISHORSINGH VARMA</t>
  </si>
  <si>
    <t>BARWANI, WARD NO 01, DEVJHIRI COLONY BHAGWATI COLONY, SENDHWA 451666</t>
  </si>
  <si>
    <t>KHARGONE (SME)</t>
  </si>
  <si>
    <t xml:space="preserve">CHOICE NO </t>
  </si>
  <si>
    <t>DHARMENDRA CONFIRM ALL PAYMENT</t>
  </si>
  <si>
    <t>LEKHRAM PATIDAR S/O RADHESHYAM PATIDAR</t>
  </si>
  <si>
    <t>KHARGONE, 154, BITHER POST OJHAR, KASRAWAD 451228</t>
  </si>
  <si>
    <t>DD CASH</t>
  </si>
  <si>
    <t>535000 DD CASH IN HAND</t>
  </si>
  <si>
    <t>DHARAM SOLANKI S/O GYANSINGH SOLANKI</t>
  </si>
  <si>
    <t>KHARGONE, GRAM TEMLA, 451331</t>
  </si>
  <si>
    <t>MAD0001109047</t>
  </si>
  <si>
    <t>DUE 800 TILL 31-05-24</t>
  </si>
  <si>
    <t>OCEAN MOTORS INDORE (PRINCE THAKUR)</t>
  </si>
  <si>
    <t>HARISH CHOUHAN S/O DEEPAK SINGH CHOUHAN</t>
  </si>
  <si>
    <t>BARWANI, SEGAV ANJAD ROAD WARD NO 10, 451551</t>
  </si>
  <si>
    <t>EQ1151241022</t>
  </si>
  <si>
    <t>CASH R.N 3440 (5000/-) + E.N 3444(189000/-*)</t>
  </si>
  <si>
    <t>SHAILENDRA SINGH S/O PRATAP SINGH</t>
  </si>
  <si>
    <t>KHARGONE, NEAR RAM MANDIR GRAM POKHAR BUJURG, 451331</t>
  </si>
  <si>
    <t>DELIVERY  06-06-24</t>
  </si>
  <si>
    <t>NILESH KUMAR JAIN S/O TEJMAL</t>
  </si>
  <si>
    <t>KHARGONE, 335 PIPLIYA BUJURG 451225</t>
  </si>
  <si>
    <t>PIPLIYA</t>
  </si>
  <si>
    <t>TO BE REFUND</t>
  </si>
  <si>
    <t>MAHENDRA JAISWAL S/O CHAMPALAL JAISWAL</t>
  </si>
  <si>
    <t>ASHWIN S/O SHERU</t>
  </si>
  <si>
    <t>KHARGONE, 5 GRAM KHEDI KHAN PURA, WEST NIMAR 451001</t>
  </si>
  <si>
    <t>ABDUL MUTTALIB KHAN S/O MUKIM KHAN</t>
  </si>
  <si>
    <t>KHARGONE, MAHAMMADPUR, MUHAMMADPUR, WEST NIMAR 451335</t>
  </si>
  <si>
    <t>KHARGONE ( SPECIALISED BR)</t>
  </si>
  <si>
    <t>DHARMENDRA CONFIRMED ALL PYAMENT</t>
  </si>
  <si>
    <t>AKHILESH YADAV S/O RADHESHYAM YADAV</t>
  </si>
  <si>
    <t>BORLAY, 111/1, DHANORA BASAHAT, 451551</t>
  </si>
  <si>
    <t>DUE 04-06-24  DLEIVERY 06-06-24</t>
  </si>
  <si>
    <t>RTO HOLD</t>
  </si>
  <si>
    <t>AMAN LODHA S/O DILIP LODHA</t>
  </si>
  <si>
    <t>RATLAM, H.N D-6, WARD NO 09, SAGAR MOTI PARISAR RAMBAG, JAORA 457226</t>
  </si>
  <si>
    <t>RINGNOD</t>
  </si>
  <si>
    <t>RATLAM</t>
  </si>
  <si>
    <t>BARKA S/O MUNSING</t>
  </si>
  <si>
    <t>PANSAMEL, 121 RATDYA PHALYA , VILL NANDJYABAD 451770</t>
  </si>
  <si>
    <t>PAVAN YADAV</t>
  </si>
  <si>
    <t>RTO HOLD TILL 06-06 PAYMENT TO BE RECEIVED FROM CUSTOMER</t>
  </si>
  <si>
    <t>ASHOK KUMAR MAHAJAN S/O GOKUL DAS MAHAJAN</t>
  </si>
  <si>
    <t>KHARGONE, 31, BRAHMANPURI, BHAUANI MARG 451001</t>
  </si>
  <si>
    <t>ALPHA AT</t>
  </si>
  <si>
    <t>CHQ IN HAND</t>
  </si>
  <si>
    <t>OCEAN MOTORS INDORE</t>
  </si>
  <si>
    <t>SUSHMA W/O MOHIT SURJAN</t>
  </si>
  <si>
    <t>GUNA, K- COMFORTS HAAT ROAD 473001</t>
  </si>
  <si>
    <t>JIMNY</t>
  </si>
  <si>
    <t>K. YELLOW</t>
  </si>
  <si>
    <t>SHIVPURI</t>
  </si>
  <si>
    <t>GUNA</t>
  </si>
  <si>
    <t>IF ACCESSORIES ADDED DADU WILL BE DEBITED</t>
  </si>
  <si>
    <t>ANSH PATEL S/O DINESH KUMAR PATEL</t>
  </si>
  <si>
    <t>KHARGONE, 02, GURUDWARA ROAD, KHARGONE, TILAK PATH 451001</t>
  </si>
  <si>
    <t>SHEKH RIYAJ S/O SHEKH BHIKKU</t>
  </si>
  <si>
    <t>HARDA, LIG NEHAR KE BAJU ME, WARD NO 18, HARDA 461331</t>
  </si>
  <si>
    <t>CASH RN 3025 9 6800/-)</t>
  </si>
  <si>
    <t>ABHISHEK PAGARE S/O MAHENDRA KUMAR PAGARE</t>
  </si>
  <si>
    <t>HARSUD, WARD NO 08, BUS STAND KE PASS, PAGARE ADVOCATE CHHANERA 450116</t>
  </si>
  <si>
    <t>MAYANK CASH IN HAND 3 LAC RUPEES</t>
  </si>
  <si>
    <t>LALIT PRAJAPAT S/O KISHOR PRAPAT</t>
  </si>
  <si>
    <t>BHIKANGAON, 113/1, GRAM PANCHANMBHA 451331</t>
  </si>
  <si>
    <t xml:space="preserve">33840 DD CASH DHARMENDRA </t>
  </si>
  <si>
    <t>KOMAL MASANI S/O GIRDHARILAL MASANI</t>
  </si>
  <si>
    <t>KHANDWA, 62,SUBHASH NAGAR, 450001</t>
  </si>
  <si>
    <t>MATA CHOWK</t>
  </si>
  <si>
    <t>ALTO 800 Lxi</t>
  </si>
  <si>
    <t>MP-12-CA-5747</t>
  </si>
  <si>
    <t>TO BE REFUND TO CUSTOMER</t>
  </si>
  <si>
    <t>RAHUL DODWE S/O SHANTILAL DODWE</t>
  </si>
  <si>
    <t>BARWANI, 45,WARD NO 18, LONSARA BUZURG, 451556</t>
  </si>
  <si>
    <t>ABDUL AZIZ S/O ABDUL LATIF</t>
  </si>
  <si>
    <t>BARWANI, PANCHOTI HADI, RAJPUR 451447</t>
  </si>
  <si>
    <t>ALPHA+</t>
  </si>
  <si>
    <t>RAJPUR</t>
  </si>
  <si>
    <t>ANIL TAROLE S/O FAKIRA TAROLE</t>
  </si>
  <si>
    <t>BARWANI, UNCHIYA FALIYA, GRAM MATARKUND 451551</t>
  </si>
  <si>
    <t>2LAC CHQ IN HAND 20-06-24 (</t>
  </si>
  <si>
    <t>UMAKANT PANJRAYE S/O SHRIRAM PANJRAYE</t>
  </si>
  <si>
    <t xml:space="preserve">BURHANPUR, </t>
  </si>
  <si>
    <t>BORGAON</t>
  </si>
  <si>
    <t>ECO SPORTZ</t>
  </si>
  <si>
    <t>MP-68-C-2433</t>
  </si>
  <si>
    <t>CASH R.N 3377 (10,000/-)</t>
  </si>
  <si>
    <t xml:space="preserve">5 LAC CHQ IN HAND + 4.75 K VEHICLE EXCHANGE </t>
  </si>
  <si>
    <t>CHETAN CHOUHAN S/O NARENDRA CHOUHAN</t>
  </si>
  <si>
    <t>HARDA, JIJGAON KALAN, 461228</t>
  </si>
  <si>
    <t>MADHUMARK</t>
  </si>
  <si>
    <t>SWIFT VXI</t>
  </si>
  <si>
    <t>MP-13-CA-1581</t>
  </si>
  <si>
    <t>CASH R.N 3026 ( 10,000/-)</t>
  </si>
  <si>
    <t>BHAGIRATH S/O SHANKARLAL</t>
  </si>
  <si>
    <t>BARWANI, WARD NO 01, ANJAD ROAD, MANDWARA THIKRI</t>
  </si>
  <si>
    <t>CASH R.N   (93000/-) + DUE 32100 (11-06-24)</t>
  </si>
  <si>
    <t>POOJA PENDARE S/O SEVA SINGH</t>
  </si>
  <si>
    <t>KHARGONE, VILLAGE ANJANGAON 451113</t>
  </si>
  <si>
    <t>RAHUL BIRLA S/O DINESH BIRLA</t>
  </si>
  <si>
    <t>BARWAHA, BASWA 451111</t>
  </si>
  <si>
    <r>
      <t xml:space="preserve">OCEAN MOTORS INDORE ( </t>
    </r>
    <r>
      <rPr>
        <sz val="9"/>
        <color rgb="FFFF0000"/>
        <rFont val="Book Antiqua"/>
        <family val="1"/>
      </rPr>
      <t>RAHUL)</t>
    </r>
  </si>
  <si>
    <t>SUSHEEL KUMAR MISHRA S/O RADHE MURARI MISHRA</t>
  </si>
  <si>
    <t>INDORE, 38,JHIRNYA 451332</t>
  </si>
  <si>
    <t>ZHIRNYA</t>
  </si>
  <si>
    <t>S-CROSS TOTAL LOSS</t>
  </si>
  <si>
    <t>DEAL PENDING</t>
  </si>
  <si>
    <t>597000/- IDV AS PER INSURANCE OLD CAR(TOTAL LOSS) TO BE RECEIVED FROM INSURANCE COMPANY</t>
  </si>
  <si>
    <t>IDFC FIRST BANK LTD. C/O DINESH SHARMA</t>
  </si>
  <si>
    <t>INDORE, 3RD FLOOR, MEGAPOLIS SQUARE 579, MG RAOD SQUARE, 452001</t>
  </si>
  <si>
    <t>MAHENDRA PATIDAR S/O SUGANCHAND PATIDAR</t>
  </si>
  <si>
    <t>KARAHI, BILBAVADI 451221</t>
  </si>
  <si>
    <t xml:space="preserve">HYUNDAI  i-10  SPORTZ </t>
  </si>
  <si>
    <t>MP-.10-CB-0436</t>
  </si>
  <si>
    <t>VINAY KUMAR S/O VIPIN KUMAR JACOB</t>
  </si>
  <si>
    <t>BARWANI, SAI NATH COLONY 451551</t>
  </si>
  <si>
    <t>SAINATH COLONY</t>
  </si>
  <si>
    <t>ECCO 7 SEATER</t>
  </si>
  <si>
    <t>MP46C1560</t>
  </si>
  <si>
    <t>CASH R.N 3449(20000/-) CASH R.N 3450(10000/-)</t>
  </si>
  <si>
    <r>
      <t xml:space="preserve">RAJRUP MOTORS BHOPAL </t>
    </r>
    <r>
      <rPr>
        <sz val="9"/>
        <color rgb="FFFF0000"/>
        <rFont val="Book Antiqua"/>
        <family val="1"/>
      </rPr>
      <t>( MASTER STROKE TRAVELS)</t>
    </r>
  </si>
  <si>
    <t xml:space="preserve">INVICTO </t>
  </si>
  <si>
    <t>ALPHA + 7 SEATER</t>
  </si>
  <si>
    <t>NC10481</t>
  </si>
  <si>
    <t>SHAILENDRA SIMON S/O SMANUEL SIMON</t>
  </si>
  <si>
    <t>KHANDWA, SARVODAY COLONY, H.N 94, WARD NO 06, 450001</t>
  </si>
  <si>
    <t>LALCHOWKI</t>
  </si>
  <si>
    <t>EON SPORTZ</t>
  </si>
  <si>
    <t>MP-12-CA-2106</t>
  </si>
  <si>
    <t>CASH R,N 3380 (30000/-)</t>
  </si>
  <si>
    <t>RINKU SOLANKI S/O MANOHAR SINGH</t>
  </si>
  <si>
    <t>KHANDWA, PATAZAN 450117</t>
  </si>
  <si>
    <t>PATAZAN</t>
  </si>
  <si>
    <t>SANTOSH PATEL S/O ASHARAM PATEL</t>
  </si>
  <si>
    <t>PATHORA, WARD NO 09, HANUMAN MANDIR KE PAS PATHORA, BALKHAD 451228</t>
  </si>
  <si>
    <t>ALTO</t>
  </si>
  <si>
    <t>MP-10-CA-5504</t>
  </si>
  <si>
    <t>RIHSHIKESH RATHORE S/O SURENDRA RATHORE</t>
  </si>
  <si>
    <t>KHARGONE, VILL- BEDIYA THE. BARWAHA 451113</t>
  </si>
  <si>
    <t>SACHIN  PANCHOLE S/O  SHANTILAL PANCHOLE</t>
  </si>
  <si>
    <t>BARWANI, PARKOTA MOHALLA, RAJPUR 451447</t>
  </si>
  <si>
    <t>ASHVIN DIBE</t>
  </si>
  <si>
    <t>R.N 353291210000+ R.N 3530 (10000/-)+R.N 3531(20000/-)</t>
  </si>
  <si>
    <t>NIKUNJ GANGRADE S/O NARENDRA KUMAR</t>
  </si>
  <si>
    <t>KHARGONE, GRAM MITWAL 450661</t>
  </si>
  <si>
    <t>DINESH CHANDRA JAISWAL S/O HIRALAL JAISWAL</t>
  </si>
  <si>
    <t>BARWAHA, MAHESHWAR ROAD, DARGAH</t>
  </si>
  <si>
    <t>CASH R.N 3510 ( 5000/-)</t>
  </si>
  <si>
    <t>DEEPAK DHANGARJI S/O SALAKRAM DHANGAR JI</t>
  </si>
  <si>
    <t>BARWANI, CHOTA BADADA , WARD NO 12, ANJAD , REVENUE AREA 451556</t>
  </si>
  <si>
    <t>DELIVERY 19-06</t>
  </si>
  <si>
    <t>SHUBHAM S/O LALSING</t>
  </si>
  <si>
    <t>KHANDWA, 45 DARBAR MOHALLA SULGAON 450551</t>
  </si>
  <si>
    <t>PREETI SAWNER D/O RAJESH SAWNER</t>
  </si>
  <si>
    <t>KHANDWA, H.N 06, GRAM LONI, JAWAHAR NAVODYA VIDYALAY LONI 450331</t>
  </si>
  <si>
    <t>ALPHA AGS</t>
  </si>
  <si>
    <t>PATEL CHAMBER</t>
  </si>
  <si>
    <t>CASH R.N. DUE FROM BM</t>
  </si>
  <si>
    <t>SALITA BAI W/O ANOKHILAL</t>
  </si>
  <si>
    <t>KHANDWA, 131 GRAM BADGAV MALI 450001</t>
  </si>
  <si>
    <t>BOOKING SANDHYA MALAKAR</t>
  </si>
  <si>
    <t>SONI RAHUL PAWAR C/O RAHUL PAWAR</t>
  </si>
  <si>
    <t>BARWANI, 104, PATEL FALYA, KHUTAVADI 451551</t>
  </si>
  <si>
    <t>CASH R.N 3602 ( 100000/-)</t>
  </si>
  <si>
    <t>SANTOSH GOLE S/O DULICHAND GOLE</t>
  </si>
  <si>
    <t>PALSUD, WARD NO 03, RAJPUR CHAMUDAN MATA MOHALLA 451447</t>
  </si>
  <si>
    <t>I-20 MAGNA</t>
  </si>
  <si>
    <t>MP-46-C-0052</t>
  </si>
  <si>
    <t>PRIYANKA RATHORE W/O JAGDISH RATHORE</t>
  </si>
  <si>
    <t>BETUL, 39 AT POSTJEEN 460001</t>
  </si>
  <si>
    <t>KAMLESH PATEL S/O RAMLAL PATEL</t>
  </si>
  <si>
    <t>SIRRA, WARD NO 09 GANDHI CHOUK, GRAM SIRRA 450771</t>
  </si>
  <si>
    <t>KHADWA</t>
  </si>
  <si>
    <t>CASH RECEIPT 1.9 K DUE</t>
  </si>
  <si>
    <t>SHUBHAM GUPTA S/O KISHORE GUPTA</t>
  </si>
  <si>
    <t>KHARGONE, GRAM PANDHANYA, 451001</t>
  </si>
  <si>
    <t>DETLA CNG</t>
  </si>
  <si>
    <t>PRAKASH GOLE S/O KALU GOLE</t>
  </si>
  <si>
    <t>KHARGONE, DEVALGAON, GHUGRIYAKHEDI, 451001</t>
  </si>
  <si>
    <t>GHUGRIYAKHEDI</t>
  </si>
  <si>
    <t>KAILASH BHUSARE S/O JAGDISH BHUSARE</t>
  </si>
  <si>
    <t>HARDA, PLOT NO 107, SIDDHI VINAYAK REC, COLONY 461331</t>
  </si>
  <si>
    <t>CHQ NO 036731 IN HAND</t>
  </si>
  <si>
    <t>CASH R.N 3024 ( 5000/-)</t>
  </si>
  <si>
    <t>RAHUL JAISWAL S/O MOHANLAL JAISWAL</t>
  </si>
  <si>
    <t>BARWANI, THAN POST BAKWADI , THIKRI 451449</t>
  </si>
  <si>
    <t>PNB</t>
  </si>
  <si>
    <t>BARUFATAK</t>
  </si>
  <si>
    <t>SWIFT DEZIRE 2014-15</t>
  </si>
  <si>
    <t>MP-46-C-0746</t>
  </si>
  <si>
    <t>EXCESS AMT WILL BE REFUND TO CUSTOMER</t>
  </si>
  <si>
    <t>GANTANTRA JAIN S/O RAJMALJI JAIN</t>
  </si>
  <si>
    <t>BALAKWADA, JHANDWA CHOWK, 451001</t>
  </si>
  <si>
    <t>SME BR</t>
  </si>
  <si>
    <t>MP-10-CA-8695</t>
  </si>
  <si>
    <t>ANANT MAJUMDAR S/O LAXMAN MAJUMDAR</t>
  </si>
  <si>
    <t>DHAMNOD, NEW ONKAR  COLONY WARD NO 07, NEAR TELEPHONE OFFICE, 454554</t>
  </si>
  <si>
    <t>CHQ NO 457331 (289900 /- )+ CHQ NO 010646 (289900/-)</t>
  </si>
  <si>
    <t>KUNAL JAIN S/O MUKESH JAIN</t>
  </si>
  <si>
    <t>BURHANPUR,  28/8, PRATAP PUR NEAR MISHRA JI KI GALI 450331</t>
  </si>
  <si>
    <t>INDIRA NAGAR</t>
  </si>
  <si>
    <t>CASH R.N 3357 ( 82000/-)</t>
  </si>
  <si>
    <t>RAHIS KHAN S/O SHAHJAD KHAN</t>
  </si>
  <si>
    <t>KHARGONE, SANJAY NAGAR, JAKARIYA MASJID KE PASS, 451001</t>
  </si>
  <si>
    <t>10-07-24 DUE TILL</t>
  </si>
  <si>
    <t>CASH R.N 3536 ( 120000/-)+R.N 3535(5100/-)</t>
  </si>
  <si>
    <t>SANJAY CHOUHAN S/O RAMESH CHOUHAN</t>
  </si>
  <si>
    <t>DHAR, PIPLI</t>
  </si>
  <si>
    <t>Hyundai Santro</t>
  </si>
  <si>
    <t>MP-09-WH-4977</t>
  </si>
  <si>
    <t>ALL PAYMENT DETAILS VARIFIED BY DHARMENDRA</t>
  </si>
  <si>
    <t>RUSHIKESH KULKARNI S/O SRIPAD KULKARNI</t>
  </si>
  <si>
    <t>JALGAON, 537, MOTHE DATT MANDIR, RAVER 425508</t>
  </si>
  <si>
    <t>SACHENDRA SHAH S/O BHAGWANDAS SHAH</t>
  </si>
  <si>
    <t>BURHANPUR, H.N 09, WARD NO 01, CHHATRAWAS KE PASS POST SHEKHAPUR RAIYAT 450332</t>
  </si>
  <si>
    <t>KHAKNAR</t>
  </si>
  <si>
    <t>MP-12-CA-0309</t>
  </si>
  <si>
    <t>UPSANA DUBEY SHYAM SUNDAR DUBEY</t>
  </si>
  <si>
    <t>BARWAHA, 12 NARMADA MARG SHARMA COLONY 451115</t>
  </si>
  <si>
    <t>ONLY FOR INSURANCE</t>
  </si>
  <si>
    <t>LOKENDRA SINGH TOMAR S/O MANOHAR SING TOMAR</t>
  </si>
  <si>
    <t>BARWANI, MAIN ROAD, GRAM KASRAWAD 451551</t>
  </si>
  <si>
    <t>BALENO DELTA 2021</t>
  </si>
  <si>
    <t>MP-46-C-3733</t>
  </si>
  <si>
    <t>FORCLOSE 27-06-24 ( SIGNED )</t>
  </si>
  <si>
    <t>JUGAL KISHORE CHANDAK S/O RAM VALLABH CHANDAK</t>
  </si>
  <si>
    <t>BURHANPUR, LALBAGH ROAD OPP. TAPTI HOSPITAL 450331</t>
  </si>
  <si>
    <t>ZETA AGS</t>
  </si>
  <si>
    <t>HONDA AMAZE 1.5 CVT BS-4</t>
  </si>
  <si>
    <t>MP-68-C-2290</t>
  </si>
  <si>
    <t>AKASH LAD S/O SUNIL KUMAR LAD</t>
  </si>
  <si>
    <t>KHAGRONE, WARD NO 09 BAKI MATA MANDIR PATH, VIJAY KHODE KE MAKAN 451001</t>
  </si>
  <si>
    <t>SHREE DADAJI LOGISTICS PVT LTD.</t>
  </si>
  <si>
    <t>KHANDWA, 26, AKVN INDUSTRIAL AREA, RUDHI, BHAGWANSING PURA, HARSUD ROAD KHADNWA 450001</t>
  </si>
  <si>
    <t>ICICI</t>
  </si>
  <si>
    <t>WAGON R VXI</t>
  </si>
  <si>
    <t>MP-09-WF-4707</t>
  </si>
  <si>
    <t>NO EXCHANGE BONUS</t>
  </si>
  <si>
    <t>KAMAL SISODIYA S/O NATHHU SISODIYA</t>
  </si>
  <si>
    <t>BORLAY, H.N 255, WARD NO 09, HARIJAN MOHALLA 451551</t>
  </si>
  <si>
    <t>DELIVERY 08-07</t>
  </si>
  <si>
    <t>CHETAN KAG S/O LAKSHMAN KAG</t>
  </si>
  <si>
    <t>BARWANI, H.N 35, WARD NO 02, GRAM GANDHVAL, PATI 451551</t>
  </si>
  <si>
    <t>RAJA GOSWAMI S/O SHANKAR GOSWAMI</t>
  </si>
  <si>
    <t>PUNASA 176, HIGH SCHOOL KE PEECHE, PUNASA NARMADA NAGAR 450119</t>
  </si>
  <si>
    <t>NARMADA NAGAR</t>
  </si>
  <si>
    <t>CASH 50000+ 4500 UPI</t>
  </si>
  <si>
    <t>ANKUSH JAIN S/O MOHAN JAIN</t>
  </si>
  <si>
    <t>KHARGONE, 387, MAIN ROAD, KARAHI 451220</t>
  </si>
  <si>
    <t>DEZIRE</t>
  </si>
  <si>
    <t>MP-10-CA-1701</t>
  </si>
  <si>
    <t>KRISHNDAS MAHAJAN S/O AMRITLAL MAHAJAN</t>
  </si>
  <si>
    <t>KHARGONE, 153, GRAM BIRALI 451111</t>
  </si>
  <si>
    <t>GAJENDRA KUMAR BHAWSAR S/O CHANDRA KISHORE BHAWSAR</t>
  </si>
  <si>
    <t xml:space="preserve">KHANDWA, PANDHANA </t>
  </si>
  <si>
    <t>MP-11-CC-0614</t>
  </si>
  <si>
    <t>PRAVEEN NIGWAL S/O OMPRAKASH NIGWAL</t>
  </si>
  <si>
    <t>BARWAHA, A 08, TARA NAGAR, SIRLAY, NANDIYA 451115</t>
  </si>
  <si>
    <t>DELTA + TURBO</t>
  </si>
  <si>
    <t>NILESH KUMAR JAIN  S/O SURENDRA KUMAR JAIN</t>
  </si>
  <si>
    <t>MAHESHWAR, 195 BABLAI 451221</t>
  </si>
  <si>
    <t>SOMAKHEDI</t>
  </si>
  <si>
    <t>MP-10-CA-0636</t>
  </si>
  <si>
    <t>CHOICE NO PAYMENT DUE</t>
  </si>
  <si>
    <t>RADHA PATIDAR S/O  MADANLAL PATIDAR</t>
  </si>
  <si>
    <t>KHARGONE, BISTAN ROAD,</t>
  </si>
  <si>
    <t>SME BIRLA MARG</t>
  </si>
  <si>
    <t>RITZ VDI</t>
  </si>
  <si>
    <t>MP-09-CJ-5413</t>
  </si>
  <si>
    <t>AJAY AGRAWAL S/O SHANTILAL AGRAWAL</t>
  </si>
  <si>
    <t>BAMNALA,  JAYSWAL MOHALLA 451331</t>
  </si>
  <si>
    <t>YOGESH YADAV S/O GAJANAND YADAV</t>
  </si>
  <si>
    <t>BORLAY, H.N 121, WARD NO 11 SCHOOL KE SAMNE 451551</t>
  </si>
  <si>
    <t>WAGANOR VXI</t>
  </si>
  <si>
    <t>MP-09-WD-8183</t>
  </si>
  <si>
    <t>MANOJ RANE S/O JAVHERCHAND RANE</t>
  </si>
  <si>
    <t>BURHANPUR, H.N N339/1, WARD NO 09, SHAH BAZAR PANCH CHIJ MOHALLA 450331</t>
  </si>
  <si>
    <t>CASH R.N 3569 ( 70000/-)</t>
  </si>
  <si>
    <t>VAISHALI JOSHI D/O MAHESH JOSHI</t>
  </si>
  <si>
    <t>KHARGONE, TALAB CHOUK GADRIYA MANDIR KE SAMNE 451001</t>
  </si>
  <si>
    <t>CIAZ (2023)</t>
  </si>
  <si>
    <t>DELIVERY 07-07-24</t>
  </si>
  <si>
    <t>AABA NANA PATIL S/O NANA BHIKA PATIL</t>
  </si>
  <si>
    <t>JALGAON, MRUD KRUPA NIWAS, NEAS BUS STAND , POST TONDAPUR, TEHSIL JAMNER 424207</t>
  </si>
  <si>
    <t>IDBI</t>
  </si>
  <si>
    <t>CASH 3556 ( 11000/-)</t>
  </si>
  <si>
    <t>SANGRAM SINGH RATHORE S/O DAYAL SINGH RATHORE</t>
  </si>
  <si>
    <t>KASRAWAD, MULTHAND 451335</t>
  </si>
  <si>
    <t>XUV-500</t>
  </si>
  <si>
    <t>MP-10-CA-1975</t>
  </si>
  <si>
    <t>GINISH SHRIVAS S/O MUKESH SHRIVAS</t>
  </si>
  <si>
    <t>KHANDWA, H.N 09, PALIWAL GALI SARKARI NAL KE PAS WARD NO 38, 450001</t>
  </si>
  <si>
    <t>ANWAR SHAIKH</t>
  </si>
  <si>
    <t>ATIF MOHAMMAD S/O AJAJ SHEIKH</t>
  </si>
  <si>
    <t>BARWAHA, 50 MASJID MARG 451115</t>
  </si>
  <si>
    <t>AYUSH PARIHAR</t>
  </si>
  <si>
    <t>MEERA BAI GATHIYA W/O LALATI RAM GATHIYA</t>
  </si>
  <si>
    <t>KHANDWA, WARD NO 05, NEAR SCHOOL GALI, CHAGA KUND, HARSUD 450116</t>
  </si>
  <si>
    <t>ALFA</t>
  </si>
  <si>
    <t>IGNIS SIGMA 2023</t>
  </si>
  <si>
    <t>MP-12-ZB-6314</t>
  </si>
  <si>
    <t>CASH RECEIPT DUE</t>
  </si>
  <si>
    <t>JITENDRA S/O KAILASH</t>
  </si>
  <si>
    <t>F</t>
  </si>
  <si>
    <t>KHARGONE, BEDIYA 451001</t>
  </si>
  <si>
    <t>AMAN SHUKLA</t>
  </si>
  <si>
    <t>CASH R.N 3539 (50000/-)</t>
  </si>
  <si>
    <t>SHRICHAND PANJUMAL S/O PANJUMAL MALANI</t>
  </si>
  <si>
    <t>BURHANPUR, WARD NO 04, MATAPUR BAZAR, NEPANAGAR 450221</t>
  </si>
  <si>
    <t>BHUSHAN BUDADE S/O BHAGWAT BODADE</t>
  </si>
  <si>
    <t>BURHANPUR, HN 80/1 WARD NO 03, SHRI KRISHN WARD , SHAHPUR 450331</t>
  </si>
  <si>
    <t>HARDEEP SAINI S/O BALJEET SAINI</t>
  </si>
  <si>
    <t>SANAWAD, 34 GOSWAMI TULSI DAS MARG 431111</t>
  </si>
  <si>
    <t>DETLA +</t>
  </si>
  <si>
    <t>DEZIRE VDI</t>
  </si>
  <si>
    <t>MP-09-CQ-9822</t>
  </si>
  <si>
    <t>OTHER 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</si>
</sst>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 * #,##0.00_ ;_ * \-#,##0.00_ ;_ * &quot;-&quot;??_ ;_ @_ "/>
    <numFmt numFmtId="164" formatCode="[$-C09]dd/mmm/yy;@"/>
    <numFmt numFmtId="165" formatCode="_(* #,##0_);_(* \(#,##0\);_(* &quot;-&quot;??_);_(@_)"/>
    <numFmt numFmtId="166" formatCode="_ * #,##0_ ;_ * \-#,##0_ ;_ * &quot;-&quot;??_ ;_ @_ "/>
    <numFmt numFmtId="167" formatCode="[$-409]d/mmm/yy;@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Book Antiqua"/>
      <family val="1"/>
    </font>
    <font>
      <sz val="20"/>
      <name val="Book Antiqua"/>
      <family val="1"/>
    </font>
    <font>
      <sz val="12"/>
      <name val="Book Antiqua"/>
      <family val="1"/>
    </font>
    <font>
      <sz val="15"/>
      <color theme="1"/>
      <name val="Book Antiqua"/>
      <family val="1"/>
    </font>
    <font>
      <sz val="10"/>
      <name val="Book Antiqua"/>
      <family val="1"/>
    </font>
    <font>
      <sz val="13"/>
      <color theme="1"/>
      <name val="Book Antiqua"/>
      <family val="1"/>
    </font>
    <font>
      <sz val="12"/>
      <color rgb="FFFF0000"/>
      <name val="Book Antiqua"/>
      <family val="1"/>
    </font>
    <font>
      <sz val="12"/>
      <color theme="0"/>
      <name val="Book Antiqua"/>
      <family val="1"/>
    </font>
    <font>
      <b/>
      <sz val="10"/>
      <name val="Book Antiqua"/>
      <family val="1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b/>
      <sz val="13"/>
      <name val="Book Antiqua"/>
      <family val="1"/>
    </font>
    <font>
      <b/>
      <sz val="9"/>
      <color rgb="FFFF0000"/>
      <name val="Book Antiqua"/>
      <family val="1"/>
    </font>
    <font>
      <sz val="9"/>
      <color rgb="FFFF0000"/>
      <name val="Book Antiqua"/>
      <family val="1"/>
    </font>
    <font>
      <b/>
      <sz val="12"/>
      <color theme="0"/>
      <name val="Book Antiqua"/>
      <family val="1"/>
    </font>
    <font>
      <b/>
      <sz val="9"/>
      <name val="Book Antiqua"/>
      <family val="1"/>
    </font>
    <font>
      <sz val="9"/>
      <name val="Book Antiqua"/>
      <family val="1"/>
    </font>
    <font>
      <sz val="12"/>
      <color theme="1"/>
      <name val="Book Antiqua"/>
      <family val="1"/>
    </font>
    <font>
      <b/>
      <sz val="10"/>
      <color theme="1"/>
      <name val="Book Antiqua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CEE8B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indexed="64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1">
    <xf numFmtId="0" fontId="0" fillId="0" borderId="0" xfId="0"/>
    <xf numFmtId="0" fontId="0" fillId="0" borderId="1" xfId="0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vertical="center" wrapText="1"/>
    </xf>
    <xf numFmtId="0" fontId="8" fillId="0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17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164" fontId="11" fillId="0" borderId="1" xfId="0" applyNumberFormat="1" applyFont="1" applyFill="1" applyBorder="1" applyAlignment="1">
      <alignment horizontal="center"/>
    </xf>
    <xf numFmtId="0" fontId="14" fillId="0" borderId="1" xfId="0" applyNumberFormat="1" applyFont="1" applyFill="1" applyBorder="1" applyAlignment="1"/>
    <xf numFmtId="0" fontId="14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12" fillId="0" borderId="1" xfId="0" applyFont="1" applyFill="1" applyBorder="1" applyAlignment="1">
      <alignment horizontal="left"/>
    </xf>
    <xf numFmtId="165" fontId="17" fillId="0" borderId="1" xfId="0" applyNumberFormat="1" applyFont="1" applyFill="1" applyBorder="1" applyAlignment="1">
      <alignment horizontal="left"/>
    </xf>
    <xf numFmtId="0" fontId="0" fillId="0" borderId="1" xfId="0" applyBorder="1"/>
    <xf numFmtId="0" fontId="12" fillId="0" borderId="1" xfId="0" applyFont="1" applyFill="1" applyBorder="1" applyAlignment="1">
      <alignment horizontal="center"/>
    </xf>
    <xf numFmtId="0" fontId="11" fillId="0" borderId="1" xfId="0" applyFont="1" applyFill="1" applyBorder="1" applyAlignment="1"/>
    <xf numFmtId="0" fontId="11" fillId="0" borderId="1" xfId="0" applyFont="1" applyFill="1" applyBorder="1"/>
    <xf numFmtId="0" fontId="11" fillId="0" borderId="1" xfId="0" applyFont="1" applyFill="1" applyBorder="1" applyAlignment="1">
      <alignment horizontal="center"/>
    </xf>
    <xf numFmtId="16" fontId="11" fillId="0" borderId="1" xfId="0" applyNumberFormat="1" applyFont="1" applyFill="1" applyBorder="1" applyAlignment="1"/>
    <xf numFmtId="0" fontId="11" fillId="0" borderId="1" xfId="0" applyFont="1" applyFill="1" applyBorder="1" applyAlignment="1">
      <alignment horizontal="right"/>
    </xf>
    <xf numFmtId="0" fontId="11" fillId="0" borderId="1" xfId="0" applyFont="1" applyFill="1" applyBorder="1" applyAlignment="1">
      <alignment horizontal="left"/>
    </xf>
    <xf numFmtId="0" fontId="14" fillId="0" borderId="1" xfId="0" applyNumberFormat="1" applyFont="1" applyFill="1" applyBorder="1" applyAlignment="1">
      <alignment horizontal="left"/>
    </xf>
    <xf numFmtId="0" fontId="0" fillId="0" borderId="1" xfId="0" applyFill="1" applyBorder="1" applyAlignment="1" applyProtection="1">
      <alignment horizontal="left" vertical="top"/>
      <protection locked="0"/>
    </xf>
    <xf numFmtId="0" fontId="0" fillId="0" borderId="1" xfId="0" applyFill="1" applyBorder="1" applyAlignment="1" applyProtection="1">
      <alignment horizontal="center" vertical="top"/>
      <protection locked="0"/>
    </xf>
    <xf numFmtId="17" fontId="11" fillId="0" borderId="1" xfId="0" applyNumberFormat="1" applyFont="1" applyFill="1" applyBorder="1" applyAlignment="1" applyProtection="1">
      <alignment horizontal="center"/>
    </xf>
    <xf numFmtId="1" fontId="11" fillId="0" borderId="1" xfId="0" applyNumberFormat="1" applyFont="1" applyFill="1" applyBorder="1" applyAlignment="1" applyProtection="1">
      <alignment horizontal="center"/>
    </xf>
    <xf numFmtId="1" fontId="11" fillId="0" borderId="3" xfId="0" applyNumberFormat="1" applyFont="1" applyFill="1" applyBorder="1" applyAlignment="1" applyProtection="1">
      <alignment horizontal="center"/>
    </xf>
    <xf numFmtId="164" fontId="11" fillId="0" borderId="1" xfId="0" applyNumberFormat="1" applyFont="1" applyFill="1" applyBorder="1" applyAlignment="1" applyProtection="1">
      <alignment horizontal="center"/>
    </xf>
    <xf numFmtId="0" fontId="11" fillId="0" borderId="1" xfId="0" applyFont="1" applyFill="1" applyBorder="1" applyAlignment="1" applyProtection="1">
      <alignment horizontal="left" vertical="top"/>
    </xf>
    <xf numFmtId="0" fontId="11" fillId="0" borderId="1" xfId="0" applyFont="1" applyBorder="1" applyAlignment="1" applyProtection="1"/>
    <xf numFmtId="0" fontId="11" fillId="0" borderId="1" xfId="0" applyFont="1" applyBorder="1" applyAlignment="1" applyProtection="1">
      <alignment horizontal="center"/>
    </xf>
    <xf numFmtId="0" fontId="11" fillId="0" borderId="1" xfId="0" applyFont="1" applyBorder="1" applyAlignment="1" applyProtection="1">
      <alignment horizontal="right"/>
    </xf>
    <xf numFmtId="0" fontId="11" fillId="3" borderId="1" xfId="0" applyFont="1" applyFill="1" applyBorder="1" applyAlignment="1" applyProtection="1">
      <alignment horizontal="right"/>
    </xf>
    <xf numFmtId="0" fontId="11" fillId="0" borderId="1" xfId="0" applyFont="1" applyBorder="1" applyAlignment="1" applyProtection="1">
      <alignment horizontal="left"/>
    </xf>
    <xf numFmtId="0" fontId="19" fillId="4" borderId="1" xfId="0" applyFont="1" applyFill="1" applyBorder="1" applyAlignment="1" applyProtection="1"/>
    <xf numFmtId="0" fontId="11" fillId="0" borderId="1" xfId="0" applyFont="1" applyBorder="1" applyProtection="1"/>
    <xf numFmtId="0" fontId="11" fillId="8" borderId="1" xfId="0" applyFont="1" applyFill="1" applyBorder="1" applyAlignment="1" applyProtection="1">
      <alignment horizontal="right"/>
    </xf>
    <xf numFmtId="0" fontId="13" fillId="6" borderId="1" xfId="0" applyNumberFormat="1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/>
    <xf numFmtId="0" fontId="14" fillId="0" borderId="1" xfId="0" applyNumberFormat="1" applyFont="1" applyFill="1" applyBorder="1" applyAlignment="1" applyProtection="1">
      <alignment horizontal="left"/>
    </xf>
    <xf numFmtId="165" fontId="10" fillId="5" borderId="1" xfId="1" applyNumberFormat="1" applyFont="1" applyFill="1" applyBorder="1" applyAlignment="1" applyProtection="1">
      <alignment horizontal="center"/>
    </xf>
    <xf numFmtId="0" fontId="15" fillId="0" borderId="1" xfId="0" applyFont="1" applyBorder="1" applyAlignment="1" applyProtection="1">
      <alignment horizontal="right"/>
    </xf>
    <xf numFmtId="0" fontId="14" fillId="0" borderId="1" xfId="0" applyNumberFormat="1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left"/>
    </xf>
    <xf numFmtId="0" fontId="11" fillId="9" borderId="1" xfId="0" applyFont="1" applyFill="1" applyBorder="1" applyAlignment="1" applyProtection="1">
      <alignment horizontal="center"/>
    </xf>
    <xf numFmtId="0" fontId="11" fillId="9" borderId="4" xfId="0" applyFont="1" applyFill="1" applyBorder="1" applyAlignment="1" applyProtection="1">
      <alignment horizontal="center"/>
    </xf>
    <xf numFmtId="164" fontId="11" fillId="0" borderId="1" xfId="0" applyNumberFormat="1" applyFont="1" applyBorder="1" applyAlignment="1" applyProtection="1">
      <alignment horizontal="left"/>
    </xf>
    <xf numFmtId="164" fontId="11" fillId="0" borderId="1" xfId="0" applyNumberFormat="1" applyFont="1" applyBorder="1" applyAlignment="1" applyProtection="1">
      <alignment horizontal="center"/>
    </xf>
    <xf numFmtId="0" fontId="11" fillId="7" borderId="1" xfId="0" applyFont="1" applyFill="1" applyBorder="1" applyAlignment="1" applyProtection="1">
      <alignment horizontal="center"/>
    </xf>
    <xf numFmtId="165" fontId="17" fillId="0" borderId="1" xfId="0" applyNumberFormat="1" applyFont="1" applyFill="1" applyBorder="1" applyAlignment="1" applyProtection="1">
      <alignment horizontal="left"/>
    </xf>
    <xf numFmtId="0" fontId="11" fillId="0" borderId="1" xfId="0" applyFont="1" applyFill="1" applyBorder="1" applyProtection="1"/>
    <xf numFmtId="0" fontId="11" fillId="10" borderId="1" xfId="0" applyFont="1" applyFill="1" applyBorder="1" applyProtection="1"/>
    <xf numFmtId="0" fontId="11" fillId="2" borderId="1" xfId="0" applyFont="1" applyFill="1" applyBorder="1" applyAlignment="1" applyProtection="1">
      <alignment horizontal="center"/>
    </xf>
    <xf numFmtId="0" fontId="11" fillId="2" borderId="1" xfId="0" applyFont="1" applyFill="1" applyBorder="1" applyProtection="1"/>
    <xf numFmtId="0" fontId="11" fillId="0" borderId="1" xfId="0" applyFont="1" applyFill="1" applyBorder="1" applyAlignment="1" applyProtection="1">
      <alignment horizontal="left" vertical="top" wrapText="1"/>
    </xf>
    <xf numFmtId="167" fontId="11" fillId="0" borderId="1" xfId="0" applyNumberFormat="1" applyFont="1" applyFill="1" applyBorder="1" applyAlignment="1" applyProtection="1">
      <alignment horizontal="center" vertical="center"/>
    </xf>
    <xf numFmtId="0" fontId="11" fillId="0" borderId="4" xfId="0" applyFont="1" applyFill="1" applyBorder="1" applyAlignment="1" applyProtection="1">
      <alignment horizontal="left" vertical="top"/>
    </xf>
    <xf numFmtId="0" fontId="11" fillId="0" borderId="5" xfId="0" applyFont="1" applyFill="1" applyBorder="1" applyAlignment="1" applyProtection="1">
      <alignment horizontal="left" vertical="top"/>
    </xf>
    <xf numFmtId="0" fontId="11" fillId="0" borderId="1" xfId="0" applyFont="1" applyFill="1" applyBorder="1" applyAlignment="1" applyProtection="1">
      <alignment horizontal="right" vertical="top"/>
    </xf>
    <xf numFmtId="0" fontId="11" fillId="2" borderId="4" xfId="0" applyFont="1" applyFill="1" applyBorder="1" applyAlignment="1" applyProtection="1">
      <alignment horizontal="center"/>
    </xf>
    <xf numFmtId="16" fontId="11" fillId="2" borderId="1" xfId="0" applyNumberFormat="1" applyFont="1" applyFill="1" applyBorder="1" applyAlignment="1" applyProtection="1"/>
    <xf numFmtId="0" fontId="11" fillId="0" borderId="1" xfId="0" applyFont="1" applyFill="1" applyBorder="1" applyAlignment="1" applyProtection="1">
      <alignment horizontal="left"/>
    </xf>
    <xf numFmtId="0" fontId="11" fillId="0" borderId="1" xfId="0" applyFont="1" applyFill="1" applyBorder="1" applyAlignment="1" applyProtection="1">
      <alignment horizontal="center"/>
    </xf>
    <xf numFmtId="164" fontId="11" fillId="2" borderId="1" xfId="0" applyNumberFormat="1" applyFont="1" applyFill="1" applyBorder="1" applyAlignment="1" applyProtection="1">
      <alignment horizontal="left"/>
    </xf>
    <xf numFmtId="17" fontId="11" fillId="2" borderId="1" xfId="0" applyNumberFormat="1" applyFont="1" applyFill="1" applyBorder="1" applyAlignment="1" applyProtection="1">
      <alignment horizontal="center"/>
    </xf>
    <xf numFmtId="0" fontId="11" fillId="2" borderId="1" xfId="0" applyFont="1" applyFill="1" applyBorder="1" applyAlignment="1" applyProtection="1">
      <alignment horizontal="left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9" fillId="4" borderId="0" xfId="0" applyFont="1" applyFill="1" applyAlignment="1">
      <alignment horizontal="center"/>
    </xf>
    <xf numFmtId="0" fontId="6" fillId="0" borderId="1" xfId="0" applyNumberFormat="1" applyFont="1" applyFill="1" applyBorder="1" applyAlignment="1">
      <alignment horizontal="center" vertical="center" wrapText="1"/>
    </xf>
    <xf numFmtId="0" fontId="4" fillId="0" borderId="1" xfId="0" applyNumberFormat="1" applyFont="1" applyFill="1" applyBorder="1" applyAlignment="1">
      <alignment horizontal="right" vertical="center" wrapText="1"/>
    </xf>
    <xf numFmtId="0" fontId="4" fillId="0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left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 applyProtection="1">
      <alignment vertical="top"/>
      <protection locked="0"/>
    </xf>
    <xf numFmtId="0" fontId="13" fillId="0" borderId="1" xfId="0" applyNumberFormat="1" applyFont="1" applyFill="1" applyBorder="1" applyAlignment="1"/>
    <xf numFmtId="165" fontId="10" fillId="0" borderId="1" xfId="1" applyNumberFormat="1" applyFont="1" applyFill="1" applyBorder="1" applyAlignment="1"/>
    <xf numFmtId="0" fontId="15" fillId="0" borderId="1" xfId="0" applyFont="1" applyFill="1" applyBorder="1" applyAlignment="1"/>
    <xf numFmtId="164" fontId="11" fillId="0" borderId="1" xfId="0" applyNumberFormat="1" applyFont="1" applyFill="1" applyBorder="1" applyAlignment="1">
      <alignment horizontal="left"/>
    </xf>
    <xf numFmtId="0" fontId="18" fillId="0" borderId="1" xfId="0" applyFont="1" applyFill="1" applyBorder="1" applyAlignment="1">
      <alignment horizontal="left" vertical="top"/>
    </xf>
    <xf numFmtId="0" fontId="11" fillId="0" borderId="4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right"/>
    </xf>
    <xf numFmtId="0" fontId="15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center"/>
    </xf>
    <xf numFmtId="0" fontId="0" fillId="0" borderId="1" xfId="0" applyFill="1" applyBorder="1" applyAlignment="1" applyProtection="1">
      <alignment horizontal="center" vertical="top" wrapText="1"/>
      <protection locked="0"/>
    </xf>
    <xf numFmtId="0" fontId="15" fillId="0" borderId="1" xfId="0" applyFont="1" applyFill="1" applyBorder="1"/>
    <xf numFmtId="0" fontId="19" fillId="0" borderId="1" xfId="0" applyFont="1" applyFill="1" applyBorder="1" applyAlignment="1"/>
    <xf numFmtId="0" fontId="13" fillId="0" borderId="1" xfId="0" applyNumberFormat="1" applyFont="1" applyFill="1" applyBorder="1" applyAlignment="1">
      <alignment horizontal="left"/>
    </xf>
    <xf numFmtId="165" fontId="10" fillId="0" borderId="1" xfId="1" applyNumberFormat="1" applyFont="1" applyFill="1" applyBorder="1" applyAlignment="1">
      <alignment horizontal="center"/>
    </xf>
    <xf numFmtId="166" fontId="20" fillId="0" borderId="1" xfId="0" applyNumberFormat="1" applyFont="1" applyFill="1" applyBorder="1" applyAlignment="1">
      <alignment vertical="center"/>
    </xf>
    <xf numFmtId="0" fontId="15" fillId="0" borderId="1" xfId="0" applyFont="1" applyFill="1" applyBorder="1" applyAlignment="1">
      <alignment horizontal="left" vertical="top"/>
    </xf>
    <xf numFmtId="0" fontId="11" fillId="0" borderId="1" xfId="0" applyFont="1" applyFill="1" applyBorder="1" applyAlignment="1" applyProtection="1"/>
    <xf numFmtId="16" fontId="11" fillId="0" borderId="1" xfId="0" applyNumberFormat="1" applyFont="1" applyFill="1" applyBorder="1" applyAlignment="1" applyProtection="1"/>
    <xf numFmtId="0" fontId="11" fillId="0" borderId="1" xfId="0" applyFont="1" applyFill="1" applyBorder="1" applyAlignment="1" applyProtection="1">
      <alignment horizontal="right"/>
    </xf>
    <xf numFmtId="0" fontId="19" fillId="0" borderId="1" xfId="0" applyFont="1" applyFill="1" applyBorder="1" applyAlignment="1" applyProtection="1"/>
    <xf numFmtId="0" fontId="13" fillId="0" borderId="1" xfId="0" applyNumberFormat="1" applyFont="1" applyFill="1" applyBorder="1" applyAlignment="1" applyProtection="1">
      <alignment horizontal="left"/>
    </xf>
    <xf numFmtId="165" fontId="10" fillId="0" borderId="1" xfId="1" applyNumberFormat="1" applyFont="1" applyFill="1" applyBorder="1" applyAlignment="1" applyProtection="1">
      <alignment horizontal="center"/>
    </xf>
    <xf numFmtId="0" fontId="15" fillId="0" borderId="1" xfId="0" applyFont="1" applyFill="1" applyBorder="1" applyAlignment="1" applyProtection="1">
      <alignment horizontal="right"/>
    </xf>
    <xf numFmtId="0" fontId="11" fillId="0" borderId="4" xfId="0" applyFont="1" applyFill="1" applyBorder="1" applyAlignment="1" applyProtection="1">
      <alignment horizontal="center"/>
    </xf>
    <xf numFmtId="164" fontId="11" fillId="0" borderId="1" xfId="0" applyNumberFormat="1" applyFont="1" applyFill="1" applyBorder="1" applyAlignment="1" applyProtection="1">
      <alignment horizontal="left"/>
    </xf>
    <xf numFmtId="165" fontId="14" fillId="0" borderId="1" xfId="0" applyNumberFormat="1" applyFont="1" applyFill="1" applyBorder="1" applyAlignment="1" applyProtection="1">
      <alignment horizontal="left"/>
    </xf>
    <xf numFmtId="0" fontId="15" fillId="0" borderId="1" xfId="0" applyFont="1" applyFill="1" applyBorder="1" applyProtection="1"/>
    <xf numFmtId="0" fontId="15" fillId="0" borderId="1" xfId="0" applyFont="1" applyFill="1" applyBorder="1" applyAlignment="1" applyProtection="1">
      <alignment horizontal="left"/>
    </xf>
    <xf numFmtId="0" fontId="15" fillId="0" borderId="1" xfId="0" applyFont="1" applyFill="1" applyBorder="1" applyAlignment="1" applyProtection="1">
      <alignment horizontal="center"/>
    </xf>
    <xf numFmtId="165" fontId="11" fillId="0" borderId="1" xfId="0" applyNumberFormat="1" applyFont="1" applyFill="1" applyBorder="1" applyAlignment="1" applyProtection="1">
      <alignment horizontal="center"/>
    </xf>
    <xf numFmtId="16" fontId="15" fillId="0" borderId="1" xfId="0" applyNumberFormat="1" applyFont="1" applyFill="1" applyBorder="1" applyAlignment="1" applyProtection="1"/>
    <xf numFmtId="0" fontId="11" fillId="0" borderId="3" xfId="0" applyFont="1" applyFill="1" applyBorder="1" applyAlignment="1" applyProtection="1">
      <alignment horizontal="left"/>
    </xf>
    <xf numFmtId="0" fontId="11" fillId="0" borderId="3" xfId="0" applyFont="1" applyFill="1" applyBorder="1" applyAlignment="1" applyProtection="1">
      <alignment horizontal="center"/>
    </xf>
    <xf numFmtId="0" fontId="9" fillId="12" borderId="1" xfId="0" applyNumberFormat="1" applyFont="1" applyFill="1" applyBorder="1" applyAlignment="1">
      <alignment vertical="center" wrapText="1"/>
    </xf>
    <xf numFmtId="165" fontId="16" fillId="12" borderId="1" xfId="0" applyNumberFormat="1" applyFont="1" applyFill="1" applyBorder="1" applyAlignment="1">
      <alignment horizontal="left"/>
    </xf>
    <xf numFmtId="165" fontId="16" fillId="12" borderId="2" xfId="0" applyNumberFormat="1" applyFont="1" applyFill="1" applyBorder="1" applyAlignment="1">
      <alignment horizontal="left"/>
    </xf>
    <xf numFmtId="165" fontId="16" fillId="12" borderId="2" xfId="0" applyNumberFormat="1" applyFont="1" applyFill="1" applyBorder="1" applyAlignment="1" applyProtection="1">
      <alignment horizontal="left"/>
    </xf>
    <xf numFmtId="0" fontId="11" fillId="11" borderId="1" xfId="0" applyFont="1" applyFill="1" applyBorder="1" applyAlignment="1" applyProtection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SHOURYA%20E%20DRIVE\VISHAL%20OFFICE%20WORK\Daily%20Working\FROM%20APR%2024%20-%20MAR%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NEXA-03\Desktop\Daily%20Report%2026-05-23\JSON_preperation_FormD(version1.0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TYVYN OUT27.05 (2)"/>
      <sheetName val="IHM"/>
      <sheetName val="DEAL"/>
      <sheetName val="interest rates"/>
      <sheetName val="POLICY DETAILS"/>
      <sheetName val="AUTYVYN OUT27.05"/>
      <sheetName val="TA "/>
      <sheetName val="APR-MARCH24 (2)"/>
      <sheetName val="DC - 2025 (2)"/>
      <sheetName val="BOOKING"/>
      <sheetName val="till MARCH-25"/>
      <sheetName val="TA FINANCE DETAILS APR - JUN"/>
      <sheetName val="OUTTILL 22-11 "/>
      <sheetName val="TV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lcome"/>
      <sheetName val="Profile"/>
      <sheetName val="eInvoice"/>
      <sheetName val="Master Codes"/>
      <sheetName val="Sample Invoice"/>
      <sheetName val="Calculations"/>
      <sheetName val="Format A,B,C,D"/>
      <sheetName val="Schema"/>
      <sheetName val="Validation"/>
      <sheetName val="FAQ'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BP197"/>
  <sheetViews>
    <sheetView tabSelected="1" zoomScaleNormal="100" workbookViewId="0">
      <pane xSplit="5" ySplit="1" topLeftCell="F171" activePane="bottomRight" state="frozen"/>
      <selection pane="topRight" activeCell="G1" sqref="G1"/>
      <selection pane="bottomLeft" activeCell="A2" sqref="A2"/>
      <selection pane="bottomRight" activeCell="I190" sqref="I190"/>
    </sheetView>
  </sheetViews>
  <sheetFormatPr defaultRowHeight="15.75" x14ac:dyDescent="0.25"/>
  <cols>
    <col min="1" max="1" width="8.85546875" customWidth="1"/>
    <col min="2" max="2" width="6.140625" customWidth="1"/>
    <col min="3" max="3" width="5.140625" style="72" customWidth="1"/>
    <col min="4" max="4" width="13.85546875" customWidth="1"/>
    <col min="5" max="5" width="48.7109375" customWidth="1"/>
    <col min="6" max="6" width="18.7109375" style="72" customWidth="1"/>
    <col min="7" max="7" width="9.42578125" customWidth="1"/>
    <col min="8" max="8" width="17.28515625" customWidth="1"/>
    <col min="9" max="9" width="14.28515625" customWidth="1"/>
    <col min="10" max="12" width="9.140625" customWidth="1"/>
    <col min="13" max="14" width="9.140625" style="72" customWidth="1"/>
    <col min="15" max="15" width="11.7109375" customWidth="1"/>
    <col min="16" max="16" width="13.28515625" customWidth="1"/>
    <col min="17" max="17" width="10.42578125" customWidth="1"/>
    <col min="18" max="18" width="25.28515625" style="72" customWidth="1"/>
    <col min="19" max="19" width="17.5703125" style="73" customWidth="1"/>
    <col min="20" max="20" width="13.85546875" customWidth="1"/>
    <col min="21" max="21" width="27.140625" customWidth="1"/>
    <col min="22" max="22" width="9.7109375" style="74" customWidth="1"/>
    <col min="23" max="25" width="9.140625" customWidth="1"/>
    <col min="26" max="26" width="7.42578125" customWidth="1"/>
    <col min="27" max="28" width="9.140625" customWidth="1"/>
    <col min="29" max="29" width="9.5703125" style="72" customWidth="1"/>
    <col min="30" max="30" width="11.28515625" customWidth="1"/>
    <col min="31" max="31" width="13" style="72" customWidth="1"/>
    <col min="32" max="32" width="9.140625" style="72" customWidth="1"/>
    <col min="33" max="39" width="9.140625" customWidth="1"/>
    <col min="40" max="40" width="17" style="72" customWidth="1"/>
    <col min="41" max="41" width="17" customWidth="1"/>
    <col min="42" max="42" width="9.140625" customWidth="1"/>
    <col min="43" max="43" width="13.28515625" customWidth="1"/>
    <col min="45" max="45" width="11.7109375" customWidth="1"/>
    <col min="46" max="46" width="15.5703125" customWidth="1"/>
    <col min="47" max="47" width="13.42578125" customWidth="1"/>
    <col min="48" max="48" width="20.28515625" customWidth="1"/>
    <col min="49" max="49" width="12" hidden="1" customWidth="1"/>
    <col min="50" max="50" width="12.140625" hidden="1" customWidth="1"/>
    <col min="51" max="51" width="9.140625" hidden="1" customWidth="1"/>
    <col min="52" max="53" width="9.140625" customWidth="1"/>
    <col min="54" max="54" width="9.140625" hidden="1" customWidth="1"/>
    <col min="55" max="55" width="14" hidden="1" customWidth="1"/>
    <col min="56" max="56" width="14.140625" hidden="1" customWidth="1"/>
    <col min="57" max="57" width="14.5703125" hidden="1" customWidth="1"/>
    <col min="58" max="58" width="16.42578125" hidden="1" customWidth="1"/>
    <col min="59" max="59" width="11.42578125" hidden="1" customWidth="1"/>
    <col min="60" max="60" width="15.28515625" hidden="1" customWidth="1"/>
    <col min="61" max="61" width="35.7109375" hidden="1" customWidth="1"/>
    <col min="62" max="62" width="26.5703125" hidden="1" customWidth="1"/>
  </cols>
  <sheetData>
    <row r="1" spans="1:63" ht="96.7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6" t="s">
        <v>5</v>
      </c>
      <c r="G1" s="6" t="s">
        <v>6</v>
      </c>
      <c r="H1" s="6" t="s">
        <v>7</v>
      </c>
      <c r="I1" s="5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75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7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76" t="s">
        <v>27</v>
      </c>
      <c r="AC1" s="77" t="s">
        <v>28</v>
      </c>
      <c r="AD1" s="6" t="s">
        <v>29</v>
      </c>
      <c r="AE1" s="78" t="s">
        <v>30</v>
      </c>
      <c r="AF1" s="8" t="s">
        <v>31</v>
      </c>
      <c r="AG1" s="6" t="s">
        <v>32</v>
      </c>
      <c r="AH1" s="6" t="s">
        <v>33</v>
      </c>
      <c r="AI1" s="9" t="s">
        <v>34</v>
      </c>
      <c r="AJ1" s="9" t="s">
        <v>35</v>
      </c>
      <c r="AK1" s="6" t="s">
        <v>36</v>
      </c>
      <c r="AL1" s="6" t="s">
        <v>37</v>
      </c>
      <c r="AM1" s="6" t="s">
        <v>38</v>
      </c>
      <c r="AN1" s="9" t="s">
        <v>39</v>
      </c>
      <c r="AO1" s="6" t="s">
        <v>40</v>
      </c>
      <c r="AP1" s="76" t="s">
        <v>41</v>
      </c>
      <c r="AQ1" s="9" t="s">
        <v>42</v>
      </c>
      <c r="AR1" s="9" t="s">
        <v>43</v>
      </c>
      <c r="AS1" s="75" t="s">
        <v>44</v>
      </c>
      <c r="AT1" s="75" t="s">
        <v>45</v>
      </c>
      <c r="AU1" s="9" t="s">
        <v>46</v>
      </c>
      <c r="AV1" s="116" t="s">
        <v>47</v>
      </c>
      <c r="AW1" s="10" t="s">
        <v>48</v>
      </c>
      <c r="AX1" s="6" t="s">
        <v>49</v>
      </c>
      <c r="AY1" s="6" t="s">
        <v>50</v>
      </c>
      <c r="AZ1" s="79" t="s">
        <v>51</v>
      </c>
      <c r="BA1" s="80" t="s">
        <v>52</v>
      </c>
      <c r="BB1" s="6" t="s">
        <v>53</v>
      </c>
      <c r="BC1" s="6" t="s">
        <v>54</v>
      </c>
      <c r="BD1" s="6" t="s">
        <v>55</v>
      </c>
      <c r="BE1" s="6" t="s">
        <v>56</v>
      </c>
      <c r="BF1" s="6" t="s">
        <v>57</v>
      </c>
      <c r="BG1" s="6" t="s">
        <v>58</v>
      </c>
      <c r="BH1" s="6" t="s">
        <v>59</v>
      </c>
      <c r="BI1" s="6" t="s">
        <v>60</v>
      </c>
      <c r="BJ1" s="6" t="s">
        <v>61</v>
      </c>
      <c r="BK1" s="6" t="s">
        <v>850</v>
      </c>
    </row>
    <row r="2" spans="1:63" ht="17.25" x14ac:dyDescent="0.3">
      <c r="A2" s="11">
        <v>45383</v>
      </c>
      <c r="B2" s="12">
        <v>1</v>
      </c>
      <c r="C2" s="12">
        <v>1</v>
      </c>
      <c r="D2" s="13">
        <v>45385</v>
      </c>
      <c r="E2" s="81" t="s">
        <v>62</v>
      </c>
      <c r="F2" s="23">
        <v>7047444744</v>
      </c>
      <c r="G2" s="24">
        <v>45385</v>
      </c>
      <c r="H2" s="21" t="s">
        <v>63</v>
      </c>
      <c r="I2" s="23" t="s">
        <v>64</v>
      </c>
      <c r="J2" s="21" t="s">
        <v>65</v>
      </c>
      <c r="K2" s="21" t="s">
        <v>66</v>
      </c>
      <c r="L2" s="21">
        <v>7446686</v>
      </c>
      <c r="M2" s="21">
        <v>682770</v>
      </c>
      <c r="N2" s="21" t="s">
        <v>67</v>
      </c>
      <c r="O2" s="25">
        <v>260000</v>
      </c>
      <c r="P2" s="26" t="s">
        <v>68</v>
      </c>
      <c r="Q2" s="26" t="s">
        <v>69</v>
      </c>
      <c r="R2" s="23" t="s">
        <v>67</v>
      </c>
      <c r="S2" s="23" t="s">
        <v>67</v>
      </c>
      <c r="T2" s="23" t="s">
        <v>70</v>
      </c>
      <c r="U2" s="26" t="s">
        <v>71</v>
      </c>
      <c r="V2" s="82">
        <v>665742</v>
      </c>
      <c r="W2" s="82">
        <v>11328</v>
      </c>
      <c r="X2" s="82">
        <v>0</v>
      </c>
      <c r="Y2" s="82">
        <v>885</v>
      </c>
      <c r="Z2" s="82">
        <v>500</v>
      </c>
      <c r="AA2" s="82">
        <v>31730</v>
      </c>
      <c r="AB2" s="82">
        <v>0</v>
      </c>
      <c r="AC2" s="82">
        <v>0</v>
      </c>
      <c r="AD2" s="82">
        <v>25337</v>
      </c>
      <c r="AE2" s="83">
        <f t="shared" ref="AE2:AE65" si="0">SUM(V2:AD2)</f>
        <v>735522</v>
      </c>
      <c r="AF2" s="21">
        <v>10000</v>
      </c>
      <c r="AG2" s="21">
        <v>20000</v>
      </c>
      <c r="AH2" s="21">
        <v>15000</v>
      </c>
      <c r="AI2" s="21">
        <v>1</v>
      </c>
      <c r="AJ2" s="21">
        <v>0</v>
      </c>
      <c r="AK2" s="21">
        <v>0</v>
      </c>
      <c r="AL2" s="21"/>
      <c r="AM2" s="21">
        <v>15421</v>
      </c>
      <c r="AN2" s="14">
        <f t="shared" ref="AN2:AN65" si="1">SUM(AF2:AM2)</f>
        <v>60422</v>
      </c>
      <c r="AO2" s="84">
        <f t="shared" ref="AO2:AO65" si="2">+AE2-AN2</f>
        <v>675100</v>
      </c>
      <c r="AP2" s="21">
        <v>5000</v>
      </c>
      <c r="AQ2" s="85">
        <v>100</v>
      </c>
      <c r="AR2" s="21">
        <f t="shared" ref="AR2:AR65" si="3">AP2-AQ2</f>
        <v>4900</v>
      </c>
      <c r="AS2" s="22">
        <v>0</v>
      </c>
      <c r="AT2" s="22">
        <v>0</v>
      </c>
      <c r="AU2" s="15">
        <f t="shared" ref="AU2:AU65" si="4">+AN2+AQ2</f>
        <v>60522</v>
      </c>
      <c r="AV2" s="117">
        <f t="shared" ref="AV2:AV65" si="5">AO2+AR2+AS2+AT2</f>
        <v>680000</v>
      </c>
      <c r="AW2" s="16">
        <f t="shared" ref="AW2:AW32" si="6">O2-AX2</f>
        <v>0</v>
      </c>
      <c r="AX2" s="23">
        <v>260000</v>
      </c>
      <c r="AY2" s="23" t="str">
        <f t="shared" ref="AY2:AY32" si="7">Q2</f>
        <v>SUNDARAM</v>
      </c>
      <c r="AZ2" s="86">
        <v>45385</v>
      </c>
      <c r="BA2" s="13">
        <v>45391</v>
      </c>
      <c r="BB2" s="23">
        <v>0</v>
      </c>
      <c r="BC2" s="23">
        <v>0</v>
      </c>
      <c r="BD2" s="22" t="s">
        <v>73</v>
      </c>
      <c r="BE2" s="22" t="s">
        <v>74</v>
      </c>
      <c r="BF2" s="22">
        <v>420000</v>
      </c>
      <c r="BG2" s="22">
        <v>0</v>
      </c>
      <c r="BH2" s="18">
        <f>+AV2-AX2-BB2-BC2-BF2+BG2</f>
        <v>0</v>
      </c>
      <c r="BI2" s="22" t="s">
        <v>75</v>
      </c>
      <c r="BJ2" s="22"/>
      <c r="BK2" s="19"/>
    </row>
    <row r="3" spans="1:63" ht="17.25" x14ac:dyDescent="0.3">
      <c r="A3" s="11">
        <v>45383</v>
      </c>
      <c r="B3" s="12">
        <v>2</v>
      </c>
      <c r="C3" s="12">
        <v>2</v>
      </c>
      <c r="D3" s="13">
        <v>45386</v>
      </c>
      <c r="E3" s="87" t="s">
        <v>76</v>
      </c>
      <c r="F3" s="23">
        <v>7489068884</v>
      </c>
      <c r="G3" s="24">
        <v>45386</v>
      </c>
      <c r="H3" s="21" t="s">
        <v>77</v>
      </c>
      <c r="I3" s="23" t="s">
        <v>78</v>
      </c>
      <c r="J3" s="21" t="s">
        <v>79</v>
      </c>
      <c r="K3" s="21" t="s">
        <v>66</v>
      </c>
      <c r="L3" s="21">
        <v>7473413</v>
      </c>
      <c r="M3" s="21">
        <v>244850</v>
      </c>
      <c r="N3" s="21" t="s">
        <v>80</v>
      </c>
      <c r="O3" s="25">
        <v>700000</v>
      </c>
      <c r="P3" s="26" t="s">
        <v>81</v>
      </c>
      <c r="Q3" s="26" t="s">
        <v>82</v>
      </c>
      <c r="R3" s="23" t="s">
        <v>83</v>
      </c>
      <c r="S3" s="23" t="s">
        <v>83</v>
      </c>
      <c r="T3" s="23" t="s">
        <v>84</v>
      </c>
      <c r="U3" s="26" t="s">
        <v>85</v>
      </c>
      <c r="V3" s="82">
        <v>846242</v>
      </c>
      <c r="W3" s="82">
        <v>14384</v>
      </c>
      <c r="X3" s="82">
        <v>0</v>
      </c>
      <c r="Y3" s="82">
        <v>885</v>
      </c>
      <c r="Z3" s="82">
        <v>0</v>
      </c>
      <c r="AA3" s="82">
        <v>72903</v>
      </c>
      <c r="AB3" s="82">
        <v>0</v>
      </c>
      <c r="AC3" s="82">
        <v>0</v>
      </c>
      <c r="AD3" s="82">
        <v>26799</v>
      </c>
      <c r="AE3" s="83">
        <f t="shared" si="0"/>
        <v>961213</v>
      </c>
      <c r="AF3" s="21">
        <v>0</v>
      </c>
      <c r="AG3" s="21">
        <v>0</v>
      </c>
      <c r="AH3" s="21">
        <v>0</v>
      </c>
      <c r="AI3" s="21">
        <v>1</v>
      </c>
      <c r="AJ3" s="21">
        <v>0</v>
      </c>
      <c r="AK3" s="21">
        <v>0</v>
      </c>
      <c r="AL3" s="21"/>
      <c r="AM3" s="21">
        <v>11212</v>
      </c>
      <c r="AN3" s="14">
        <f t="shared" si="1"/>
        <v>11213</v>
      </c>
      <c r="AO3" s="84">
        <f t="shared" si="2"/>
        <v>950000</v>
      </c>
      <c r="AP3" s="21">
        <v>0</v>
      </c>
      <c r="AQ3" s="85">
        <v>0</v>
      </c>
      <c r="AR3" s="21">
        <f t="shared" si="3"/>
        <v>0</v>
      </c>
      <c r="AS3" s="22">
        <v>0</v>
      </c>
      <c r="AT3" s="22">
        <v>0</v>
      </c>
      <c r="AU3" s="15">
        <f t="shared" si="4"/>
        <v>11213</v>
      </c>
      <c r="AV3" s="117">
        <f t="shared" si="5"/>
        <v>950000</v>
      </c>
      <c r="AW3" s="16">
        <f t="shared" si="6"/>
        <v>-100000</v>
      </c>
      <c r="AX3" s="23">
        <v>800000</v>
      </c>
      <c r="AY3" s="23" t="str">
        <f t="shared" si="7"/>
        <v>BOB</v>
      </c>
      <c r="AZ3" s="13">
        <v>45385</v>
      </c>
      <c r="BA3" s="13">
        <v>45385</v>
      </c>
      <c r="BB3" s="23">
        <f>100000</f>
        <v>100000</v>
      </c>
      <c r="BC3" s="23">
        <f>5000+15000+30000</f>
        <v>50000</v>
      </c>
      <c r="BD3" s="22">
        <v>0</v>
      </c>
      <c r="BE3" s="22">
        <v>0</v>
      </c>
      <c r="BF3" s="22">
        <v>0</v>
      </c>
      <c r="BG3" s="22">
        <v>0</v>
      </c>
      <c r="BH3" s="18">
        <f>+AV3-AX3-BB3-BC3-BF3+BG3</f>
        <v>0</v>
      </c>
      <c r="BI3" s="22"/>
      <c r="BJ3" s="22"/>
      <c r="BK3" s="19"/>
    </row>
    <row r="4" spans="1:63" ht="17.25" x14ac:dyDescent="0.3">
      <c r="A4" s="11">
        <v>45383</v>
      </c>
      <c r="B4" s="12">
        <v>3</v>
      </c>
      <c r="C4" s="12">
        <v>3</v>
      </c>
      <c r="D4" s="13">
        <v>45386</v>
      </c>
      <c r="E4" s="81" t="s">
        <v>87</v>
      </c>
      <c r="F4" s="23">
        <v>9926461151</v>
      </c>
      <c r="G4" s="13">
        <v>45386</v>
      </c>
      <c r="H4" s="21" t="s">
        <v>88</v>
      </c>
      <c r="I4" s="23" t="s">
        <v>64</v>
      </c>
      <c r="J4" s="21" t="s">
        <v>89</v>
      </c>
      <c r="K4" s="21" t="s">
        <v>66</v>
      </c>
      <c r="L4" s="21">
        <v>1605867</v>
      </c>
      <c r="M4" s="21">
        <v>692549</v>
      </c>
      <c r="N4" s="21" t="s">
        <v>80</v>
      </c>
      <c r="O4" s="25">
        <v>600000</v>
      </c>
      <c r="P4" s="26" t="s">
        <v>81</v>
      </c>
      <c r="Q4" s="26" t="s">
        <v>90</v>
      </c>
      <c r="R4" s="23" t="s">
        <v>91</v>
      </c>
      <c r="S4" s="23" t="s">
        <v>80</v>
      </c>
      <c r="T4" s="23" t="s">
        <v>84</v>
      </c>
      <c r="U4" s="26" t="s">
        <v>92</v>
      </c>
      <c r="V4" s="82">
        <v>749742</v>
      </c>
      <c r="W4" s="82">
        <v>12744</v>
      </c>
      <c r="X4" s="82">
        <v>4850</v>
      </c>
      <c r="Y4" s="82">
        <v>885</v>
      </c>
      <c r="Z4" s="82">
        <v>0</v>
      </c>
      <c r="AA4" s="82">
        <v>35090</v>
      </c>
      <c r="AB4" s="82">
        <v>0</v>
      </c>
      <c r="AC4" s="82">
        <v>0</v>
      </c>
      <c r="AD4" s="82">
        <v>26747</v>
      </c>
      <c r="AE4" s="83">
        <f t="shared" si="0"/>
        <v>830058</v>
      </c>
      <c r="AF4" s="21">
        <v>10000</v>
      </c>
      <c r="AG4" s="21">
        <v>20000</v>
      </c>
      <c r="AH4" s="21">
        <v>0</v>
      </c>
      <c r="AI4" s="21">
        <v>0</v>
      </c>
      <c r="AJ4" s="21">
        <v>2100</v>
      </c>
      <c r="AK4" s="21">
        <v>0</v>
      </c>
      <c r="AL4" s="21"/>
      <c r="AM4" s="21">
        <v>16458</v>
      </c>
      <c r="AN4" s="14">
        <f t="shared" si="1"/>
        <v>48558</v>
      </c>
      <c r="AO4" s="84">
        <f t="shared" si="2"/>
        <v>781500</v>
      </c>
      <c r="AP4" s="21">
        <v>40000</v>
      </c>
      <c r="AQ4" s="85">
        <v>500</v>
      </c>
      <c r="AR4" s="21">
        <f t="shared" si="3"/>
        <v>39500</v>
      </c>
      <c r="AS4" s="22">
        <v>0</v>
      </c>
      <c r="AT4" s="22">
        <v>0</v>
      </c>
      <c r="AU4" s="15">
        <f t="shared" si="4"/>
        <v>49058</v>
      </c>
      <c r="AV4" s="117">
        <f t="shared" si="5"/>
        <v>821000</v>
      </c>
      <c r="AW4" s="16">
        <f t="shared" si="6"/>
        <v>-210000</v>
      </c>
      <c r="AX4" s="23">
        <v>810000</v>
      </c>
      <c r="AY4" s="23" t="str">
        <f t="shared" si="7"/>
        <v>MPGB</v>
      </c>
      <c r="AZ4" s="13">
        <v>45386</v>
      </c>
      <c r="BA4" s="13">
        <v>45386</v>
      </c>
      <c r="BB4" s="23">
        <v>0</v>
      </c>
      <c r="BC4" s="23">
        <f>6000+5000</f>
        <v>11000</v>
      </c>
      <c r="BD4" s="22">
        <v>0</v>
      </c>
      <c r="BE4" s="22">
        <v>0</v>
      </c>
      <c r="BF4" s="22">
        <v>0</v>
      </c>
      <c r="BG4" s="22">
        <v>0</v>
      </c>
      <c r="BH4" s="18">
        <f>+AV4-AX4-BB4-BC4-BF4+BG4</f>
        <v>0</v>
      </c>
      <c r="BI4" s="22" t="s">
        <v>94</v>
      </c>
      <c r="BJ4" s="22"/>
      <c r="BK4" s="19"/>
    </row>
    <row r="5" spans="1:63" ht="17.25" x14ac:dyDescent="0.3">
      <c r="A5" s="11">
        <v>45383</v>
      </c>
      <c r="B5" s="12">
        <v>4</v>
      </c>
      <c r="C5" s="12">
        <v>4</v>
      </c>
      <c r="D5" s="13">
        <v>45386</v>
      </c>
      <c r="E5" s="81" t="s">
        <v>95</v>
      </c>
      <c r="F5" s="23">
        <v>9009456176</v>
      </c>
      <c r="G5" s="24">
        <f t="shared" ref="G5:G18" si="8">D5</f>
        <v>45386</v>
      </c>
      <c r="H5" s="21" t="s">
        <v>96</v>
      </c>
      <c r="I5" s="23" t="s">
        <v>78</v>
      </c>
      <c r="J5" s="21" t="s">
        <v>79</v>
      </c>
      <c r="K5" s="21" t="s">
        <v>97</v>
      </c>
      <c r="L5" s="21">
        <v>7457478</v>
      </c>
      <c r="M5" s="21">
        <v>232837</v>
      </c>
      <c r="N5" s="21" t="s">
        <v>67</v>
      </c>
      <c r="O5" s="25">
        <v>750000</v>
      </c>
      <c r="P5" s="26" t="s">
        <v>81</v>
      </c>
      <c r="Q5" s="26" t="s">
        <v>90</v>
      </c>
      <c r="R5" s="23" t="s">
        <v>99</v>
      </c>
      <c r="S5" s="23" t="s">
        <v>80</v>
      </c>
      <c r="T5" s="23" t="s">
        <v>70</v>
      </c>
      <c r="U5" s="26" t="s">
        <v>100</v>
      </c>
      <c r="V5" s="82">
        <v>846242</v>
      </c>
      <c r="W5" s="82">
        <v>14384</v>
      </c>
      <c r="X5" s="82">
        <v>0</v>
      </c>
      <c r="Y5" s="82">
        <v>885</v>
      </c>
      <c r="Z5" s="82">
        <v>500</v>
      </c>
      <c r="AA5" s="82">
        <v>38950</v>
      </c>
      <c r="AB5" s="82">
        <v>2000</v>
      </c>
      <c r="AC5" s="82">
        <v>0</v>
      </c>
      <c r="AD5" s="82">
        <v>28163</v>
      </c>
      <c r="AE5" s="83">
        <f t="shared" si="0"/>
        <v>931124</v>
      </c>
      <c r="AF5" s="21">
        <v>0</v>
      </c>
      <c r="AG5" s="21">
        <v>0</v>
      </c>
      <c r="AH5" s="21">
        <v>0</v>
      </c>
      <c r="AI5" s="21">
        <v>1</v>
      </c>
      <c r="AJ5" s="21">
        <v>0</v>
      </c>
      <c r="AK5" s="21">
        <v>0</v>
      </c>
      <c r="AL5" s="21"/>
      <c r="AM5" s="21">
        <v>1123</v>
      </c>
      <c r="AN5" s="14">
        <f t="shared" si="1"/>
        <v>1124</v>
      </c>
      <c r="AO5" s="84">
        <f t="shared" si="2"/>
        <v>930000</v>
      </c>
      <c r="AP5" s="21">
        <v>0</v>
      </c>
      <c r="AQ5" s="85">
        <v>0</v>
      </c>
      <c r="AR5" s="21">
        <f t="shared" si="3"/>
        <v>0</v>
      </c>
      <c r="AS5" s="22">
        <v>0</v>
      </c>
      <c r="AT5" s="22">
        <v>0</v>
      </c>
      <c r="AU5" s="15">
        <f t="shared" si="4"/>
        <v>1124</v>
      </c>
      <c r="AV5" s="118">
        <f t="shared" si="5"/>
        <v>930000</v>
      </c>
      <c r="AW5" s="16">
        <f t="shared" si="6"/>
        <v>0</v>
      </c>
      <c r="AX5" s="23">
        <v>750000</v>
      </c>
      <c r="AY5" s="88" t="str">
        <f t="shared" si="7"/>
        <v>MPGB</v>
      </c>
      <c r="AZ5" s="13">
        <v>45386</v>
      </c>
      <c r="BA5" s="13">
        <v>45386</v>
      </c>
      <c r="BB5" s="23">
        <f>175000+5000</f>
        <v>180000</v>
      </c>
      <c r="BC5" s="23">
        <v>0</v>
      </c>
      <c r="BD5" s="22">
        <v>0</v>
      </c>
      <c r="BE5" s="22">
        <v>0</v>
      </c>
      <c r="BF5" s="22">
        <v>0</v>
      </c>
      <c r="BG5" s="22">
        <v>0</v>
      </c>
      <c r="BH5" s="18">
        <f>+AV5-AX5-BB5-BC5-BF5+BG5</f>
        <v>0</v>
      </c>
      <c r="BI5" s="22" t="s">
        <v>101</v>
      </c>
      <c r="BJ5" s="22"/>
      <c r="BK5" s="19"/>
    </row>
    <row r="6" spans="1:63" ht="17.25" x14ac:dyDescent="0.3">
      <c r="A6" s="11">
        <v>45383</v>
      </c>
      <c r="B6" s="12">
        <v>5</v>
      </c>
      <c r="C6" s="12">
        <v>5</v>
      </c>
      <c r="D6" s="13">
        <v>45386</v>
      </c>
      <c r="E6" s="81" t="s">
        <v>102</v>
      </c>
      <c r="F6" s="23">
        <v>9826388426</v>
      </c>
      <c r="G6" s="24">
        <f t="shared" si="8"/>
        <v>45386</v>
      </c>
      <c r="H6" s="21" t="s">
        <v>103</v>
      </c>
      <c r="I6" s="23" t="s">
        <v>64</v>
      </c>
      <c r="J6" s="21" t="s">
        <v>104</v>
      </c>
      <c r="K6" s="21" t="s">
        <v>66</v>
      </c>
      <c r="L6" s="21">
        <v>4442858</v>
      </c>
      <c r="M6" s="21">
        <v>721215</v>
      </c>
      <c r="N6" s="21" t="s">
        <v>105</v>
      </c>
      <c r="O6" s="25">
        <v>700000</v>
      </c>
      <c r="P6" s="26" t="s">
        <v>81</v>
      </c>
      <c r="Q6" s="26" t="s">
        <v>69</v>
      </c>
      <c r="R6" s="23" t="s">
        <v>106</v>
      </c>
      <c r="S6" s="23" t="s">
        <v>106</v>
      </c>
      <c r="T6" s="23" t="s">
        <v>107</v>
      </c>
      <c r="U6" s="26" t="s">
        <v>108</v>
      </c>
      <c r="V6" s="82">
        <v>839742</v>
      </c>
      <c r="W6" s="82">
        <v>14278</v>
      </c>
      <c r="X6" s="82">
        <v>5428</v>
      </c>
      <c r="Y6" s="82">
        <v>885</v>
      </c>
      <c r="Z6" s="82">
        <v>500</v>
      </c>
      <c r="AA6" s="82">
        <v>40742</v>
      </c>
      <c r="AB6" s="82">
        <v>0</v>
      </c>
      <c r="AC6" s="82">
        <v>0</v>
      </c>
      <c r="AD6" s="82">
        <v>31388</v>
      </c>
      <c r="AE6" s="83">
        <f t="shared" si="0"/>
        <v>932963</v>
      </c>
      <c r="AF6" s="21">
        <v>0</v>
      </c>
      <c r="AG6" s="21">
        <v>10000</v>
      </c>
      <c r="AH6" s="21">
        <v>0</v>
      </c>
      <c r="AI6" s="21">
        <v>1</v>
      </c>
      <c r="AJ6" s="21">
        <v>0</v>
      </c>
      <c r="AK6" s="21">
        <v>0</v>
      </c>
      <c r="AL6" s="21"/>
      <c r="AM6" s="21">
        <v>9562</v>
      </c>
      <c r="AN6" s="14">
        <f t="shared" si="1"/>
        <v>19563</v>
      </c>
      <c r="AO6" s="84">
        <f t="shared" si="2"/>
        <v>913400</v>
      </c>
      <c r="AP6" s="21">
        <v>10750</v>
      </c>
      <c r="AQ6" s="85">
        <v>150</v>
      </c>
      <c r="AR6" s="21">
        <f t="shared" si="3"/>
        <v>10600</v>
      </c>
      <c r="AS6" s="22">
        <v>0</v>
      </c>
      <c r="AT6" s="22">
        <v>0</v>
      </c>
      <c r="AU6" s="15">
        <f t="shared" si="4"/>
        <v>19713</v>
      </c>
      <c r="AV6" s="117">
        <f t="shared" si="5"/>
        <v>924000</v>
      </c>
      <c r="AW6" s="16">
        <f t="shared" si="6"/>
        <v>0</v>
      </c>
      <c r="AX6" s="23">
        <v>700000</v>
      </c>
      <c r="AY6" s="23" t="str">
        <f t="shared" si="7"/>
        <v>SUNDARAM</v>
      </c>
      <c r="AZ6" s="86">
        <v>45386</v>
      </c>
      <c r="BA6" s="13">
        <v>45391</v>
      </c>
      <c r="BB6" s="23">
        <f>195000</f>
        <v>195000</v>
      </c>
      <c r="BC6" s="23">
        <f>11000+20000</f>
        <v>31000</v>
      </c>
      <c r="BD6" s="22">
        <v>0</v>
      </c>
      <c r="BE6" s="22">
        <v>0</v>
      </c>
      <c r="BF6" s="22">
        <v>0</v>
      </c>
      <c r="BG6" s="22">
        <v>0</v>
      </c>
      <c r="BH6" s="18">
        <f>+AV6-AX6-BB6-BC6-BF6+BG6</f>
        <v>-2000</v>
      </c>
      <c r="BI6" s="22" t="s">
        <v>109</v>
      </c>
      <c r="BJ6" s="22"/>
      <c r="BK6" s="19"/>
    </row>
    <row r="7" spans="1:63" ht="17.25" x14ac:dyDescent="0.3">
      <c r="A7" s="11">
        <v>45383</v>
      </c>
      <c r="B7" s="12">
        <v>6</v>
      </c>
      <c r="C7" s="12">
        <v>6</v>
      </c>
      <c r="D7" s="13">
        <v>45386</v>
      </c>
      <c r="E7" s="81" t="s">
        <v>110</v>
      </c>
      <c r="F7" s="23">
        <v>9826151554</v>
      </c>
      <c r="G7" s="24">
        <f t="shared" si="8"/>
        <v>45386</v>
      </c>
      <c r="H7" s="21" t="s">
        <v>111</v>
      </c>
      <c r="I7" s="23" t="s">
        <v>112</v>
      </c>
      <c r="J7" s="21" t="s">
        <v>113</v>
      </c>
      <c r="K7" s="21" t="s">
        <v>66</v>
      </c>
      <c r="L7" s="21">
        <v>1426953</v>
      </c>
      <c r="M7" s="21">
        <v>496428</v>
      </c>
      <c r="N7" s="21" t="s">
        <v>67</v>
      </c>
      <c r="O7" s="25">
        <v>884000</v>
      </c>
      <c r="P7" s="26" t="s">
        <v>68</v>
      </c>
      <c r="Q7" s="26" t="s">
        <v>114</v>
      </c>
      <c r="R7" s="23" t="s">
        <v>67</v>
      </c>
      <c r="S7" s="23" t="s">
        <v>67</v>
      </c>
      <c r="T7" s="23" t="s">
        <v>115</v>
      </c>
      <c r="U7" s="26" t="s">
        <v>116</v>
      </c>
      <c r="V7" s="82">
        <v>1040000</v>
      </c>
      <c r="W7" s="82">
        <v>0</v>
      </c>
      <c r="X7" s="82">
        <v>0</v>
      </c>
      <c r="Y7" s="82">
        <v>885</v>
      </c>
      <c r="Z7" s="82">
        <v>500</v>
      </c>
      <c r="AA7" s="82">
        <v>57100</v>
      </c>
      <c r="AB7" s="82">
        <v>0</v>
      </c>
      <c r="AC7" s="82">
        <v>0</v>
      </c>
      <c r="AD7" s="82">
        <v>32235</v>
      </c>
      <c r="AE7" s="83">
        <f t="shared" si="0"/>
        <v>1130720</v>
      </c>
      <c r="AF7" s="21">
        <v>0</v>
      </c>
      <c r="AG7" s="21">
        <v>25000</v>
      </c>
      <c r="AH7" s="21">
        <v>0</v>
      </c>
      <c r="AI7" s="21">
        <v>0</v>
      </c>
      <c r="AJ7" s="21">
        <v>0</v>
      </c>
      <c r="AK7" s="21">
        <v>10000</v>
      </c>
      <c r="AL7" s="21"/>
      <c r="AM7" s="21">
        <v>95720</v>
      </c>
      <c r="AN7" s="14">
        <f t="shared" si="1"/>
        <v>130720</v>
      </c>
      <c r="AO7" s="84">
        <f t="shared" si="2"/>
        <v>1000000</v>
      </c>
      <c r="AP7" s="21">
        <v>0</v>
      </c>
      <c r="AQ7" s="85">
        <v>0</v>
      </c>
      <c r="AR7" s="21">
        <f t="shared" si="3"/>
        <v>0</v>
      </c>
      <c r="AS7" s="22">
        <v>0</v>
      </c>
      <c r="AT7" s="22">
        <v>0</v>
      </c>
      <c r="AU7" s="15">
        <f t="shared" si="4"/>
        <v>130720</v>
      </c>
      <c r="AV7" s="117">
        <f t="shared" si="5"/>
        <v>1000000</v>
      </c>
      <c r="AW7" s="16">
        <f t="shared" si="6"/>
        <v>11120</v>
      </c>
      <c r="AX7" s="23">
        <v>872880</v>
      </c>
      <c r="AY7" s="23" t="str">
        <f t="shared" si="7"/>
        <v>INDUSIND</v>
      </c>
      <c r="AZ7" s="86">
        <v>45386</v>
      </c>
      <c r="BA7" s="13">
        <v>45388</v>
      </c>
      <c r="BB7" s="23">
        <v>50000</v>
      </c>
      <c r="BC7" s="23">
        <f>5000+12120</f>
        <v>17120</v>
      </c>
      <c r="BD7" s="22">
        <v>0</v>
      </c>
      <c r="BE7" s="22">
        <v>0</v>
      </c>
      <c r="BF7" s="22">
        <v>0</v>
      </c>
      <c r="BG7" s="22">
        <v>0</v>
      </c>
      <c r="BH7" s="18">
        <f>+AV7-AX7-BB7-BC7-BF7+BG7</f>
        <v>60000</v>
      </c>
      <c r="BI7" s="22" t="s">
        <v>117</v>
      </c>
      <c r="BJ7" s="22" t="s">
        <v>118</v>
      </c>
      <c r="BK7" s="19"/>
    </row>
    <row r="8" spans="1:63" ht="17.25" x14ac:dyDescent="0.3">
      <c r="A8" s="11">
        <v>45383</v>
      </c>
      <c r="B8" s="12">
        <v>7</v>
      </c>
      <c r="C8" s="12">
        <v>7</v>
      </c>
      <c r="D8" s="13">
        <v>45386</v>
      </c>
      <c r="E8" s="81" t="s">
        <v>119</v>
      </c>
      <c r="F8" s="23">
        <v>9685224846</v>
      </c>
      <c r="G8" s="24">
        <f t="shared" si="8"/>
        <v>45386</v>
      </c>
      <c r="H8" s="21" t="s">
        <v>120</v>
      </c>
      <c r="I8" s="23" t="s">
        <v>121</v>
      </c>
      <c r="J8" s="21" t="s">
        <v>65</v>
      </c>
      <c r="K8" s="21" t="s">
        <v>66</v>
      </c>
      <c r="L8" s="21">
        <v>7381464</v>
      </c>
      <c r="M8" s="21">
        <v>224945</v>
      </c>
      <c r="N8" s="21" t="s">
        <v>106</v>
      </c>
      <c r="O8" s="25">
        <v>1000000</v>
      </c>
      <c r="P8" s="26" t="s">
        <v>81</v>
      </c>
      <c r="Q8" s="26" t="s">
        <v>122</v>
      </c>
      <c r="R8" s="23" t="s">
        <v>123</v>
      </c>
      <c r="S8" s="23" t="s">
        <v>123</v>
      </c>
      <c r="T8" s="23" t="s">
        <v>124</v>
      </c>
      <c r="U8" s="26" t="s">
        <v>125</v>
      </c>
      <c r="V8" s="82">
        <v>1079601</v>
      </c>
      <c r="W8" s="82">
        <v>18361</v>
      </c>
      <c r="X8" s="82">
        <v>6974</v>
      </c>
      <c r="Y8" s="82">
        <v>885</v>
      </c>
      <c r="Z8" s="82">
        <v>0</v>
      </c>
      <c r="AA8" s="82">
        <v>59080</v>
      </c>
      <c r="AB8" s="82">
        <v>0</v>
      </c>
      <c r="AC8" s="82">
        <v>10664</v>
      </c>
      <c r="AD8" s="82">
        <v>34855</v>
      </c>
      <c r="AE8" s="83">
        <f t="shared" si="0"/>
        <v>1210420</v>
      </c>
      <c r="AF8" s="21">
        <v>0</v>
      </c>
      <c r="AG8" s="21">
        <v>0</v>
      </c>
      <c r="AH8" s="21">
        <v>0</v>
      </c>
      <c r="AI8" s="21">
        <v>1</v>
      </c>
      <c r="AJ8" s="21">
        <v>0</v>
      </c>
      <c r="AK8" s="21">
        <v>0</v>
      </c>
      <c r="AL8" s="21"/>
      <c r="AM8" s="21">
        <v>13151</v>
      </c>
      <c r="AN8" s="14">
        <f t="shared" si="1"/>
        <v>13152</v>
      </c>
      <c r="AO8" s="84">
        <f t="shared" si="2"/>
        <v>1197268</v>
      </c>
      <c r="AP8" s="21">
        <v>2800</v>
      </c>
      <c r="AQ8" s="85">
        <v>68</v>
      </c>
      <c r="AR8" s="21">
        <f t="shared" si="3"/>
        <v>2732</v>
      </c>
      <c r="AS8" s="22">
        <v>0</v>
      </c>
      <c r="AT8" s="22">
        <v>0</v>
      </c>
      <c r="AU8" s="15">
        <f t="shared" si="4"/>
        <v>13220</v>
      </c>
      <c r="AV8" s="117">
        <f t="shared" si="5"/>
        <v>1200000</v>
      </c>
      <c r="AW8" s="16">
        <f t="shared" si="6"/>
        <v>0</v>
      </c>
      <c r="AX8" s="23">
        <v>1000000</v>
      </c>
      <c r="AY8" s="23" t="str">
        <f t="shared" si="7"/>
        <v>BOI</v>
      </c>
      <c r="AZ8" s="13">
        <v>45386</v>
      </c>
      <c r="BA8" s="13">
        <v>45386</v>
      </c>
      <c r="BB8" s="23">
        <f>188900</f>
        <v>188900</v>
      </c>
      <c r="BC8" s="23">
        <v>11100</v>
      </c>
      <c r="BD8" s="22">
        <v>0</v>
      </c>
      <c r="BE8" s="22">
        <v>0</v>
      </c>
      <c r="BF8" s="22">
        <v>0</v>
      </c>
      <c r="BG8" s="22">
        <v>0</v>
      </c>
      <c r="BH8" s="18">
        <f>+AV8-AX8-BB8-BC8-BF8+BG8</f>
        <v>0</v>
      </c>
      <c r="BI8" s="22" t="s">
        <v>126</v>
      </c>
      <c r="BJ8" s="22"/>
      <c r="BK8" s="19"/>
    </row>
    <row r="9" spans="1:63" ht="17.25" x14ac:dyDescent="0.3">
      <c r="A9" s="11">
        <v>45383</v>
      </c>
      <c r="B9" s="12">
        <v>8</v>
      </c>
      <c r="C9" s="12">
        <v>8</v>
      </c>
      <c r="D9" s="13">
        <v>45386</v>
      </c>
      <c r="E9" s="81" t="s">
        <v>127</v>
      </c>
      <c r="F9" s="23">
        <v>9424867482</v>
      </c>
      <c r="G9" s="24">
        <f t="shared" si="8"/>
        <v>45386</v>
      </c>
      <c r="H9" s="21" t="s">
        <v>128</v>
      </c>
      <c r="I9" s="23" t="s">
        <v>78</v>
      </c>
      <c r="J9" s="21" t="s">
        <v>65</v>
      </c>
      <c r="K9" s="21" t="s">
        <v>97</v>
      </c>
      <c r="L9" s="21">
        <v>7469607</v>
      </c>
      <c r="M9" s="21">
        <v>242142</v>
      </c>
      <c r="N9" s="21" t="s">
        <v>67</v>
      </c>
      <c r="O9" s="25">
        <v>679900</v>
      </c>
      <c r="P9" s="26" t="s">
        <v>68</v>
      </c>
      <c r="Q9" s="26" t="s">
        <v>90</v>
      </c>
      <c r="R9" s="23" t="s">
        <v>129</v>
      </c>
      <c r="S9" s="23" t="s">
        <v>67</v>
      </c>
      <c r="T9" s="23" t="s">
        <v>115</v>
      </c>
      <c r="U9" s="26" t="s">
        <v>130</v>
      </c>
      <c r="V9" s="82">
        <v>751242</v>
      </c>
      <c r="W9" s="82">
        <v>12779</v>
      </c>
      <c r="X9" s="82">
        <v>4862</v>
      </c>
      <c r="Y9" s="82">
        <v>885</v>
      </c>
      <c r="Z9" s="82">
        <v>500</v>
      </c>
      <c r="AA9" s="82">
        <v>35150</v>
      </c>
      <c r="AB9" s="82">
        <v>0</v>
      </c>
      <c r="AC9" s="82">
        <v>0</v>
      </c>
      <c r="AD9" s="82">
        <v>26983</v>
      </c>
      <c r="AE9" s="83">
        <f t="shared" si="0"/>
        <v>832401</v>
      </c>
      <c r="AF9" s="21">
        <v>0</v>
      </c>
      <c r="AG9" s="21">
        <v>10000</v>
      </c>
      <c r="AH9" s="21">
        <v>10000</v>
      </c>
      <c r="AI9" s="21">
        <v>1</v>
      </c>
      <c r="AJ9" s="21">
        <v>0</v>
      </c>
      <c r="AK9" s="21">
        <v>0</v>
      </c>
      <c r="AL9" s="21"/>
      <c r="AM9" s="21">
        <v>10400</v>
      </c>
      <c r="AN9" s="14">
        <f t="shared" si="1"/>
        <v>30401</v>
      </c>
      <c r="AO9" s="84">
        <f t="shared" si="2"/>
        <v>802000</v>
      </c>
      <c r="AP9" s="21">
        <v>60000</v>
      </c>
      <c r="AQ9" s="85">
        <v>1000</v>
      </c>
      <c r="AR9" s="21">
        <f t="shared" si="3"/>
        <v>59000</v>
      </c>
      <c r="AS9" s="22">
        <v>0</v>
      </c>
      <c r="AT9" s="22">
        <v>0</v>
      </c>
      <c r="AU9" s="15">
        <f t="shared" si="4"/>
        <v>31401</v>
      </c>
      <c r="AV9" s="117">
        <f t="shared" si="5"/>
        <v>861000</v>
      </c>
      <c r="AW9" s="16">
        <f t="shared" si="6"/>
        <v>0</v>
      </c>
      <c r="AX9" s="23">
        <v>679900</v>
      </c>
      <c r="AY9" s="23" t="str">
        <f t="shared" si="7"/>
        <v>MPGB</v>
      </c>
      <c r="AZ9" s="13">
        <v>45387</v>
      </c>
      <c r="BA9" s="13">
        <v>45387</v>
      </c>
      <c r="BB9" s="23">
        <v>0</v>
      </c>
      <c r="BC9" s="23">
        <f>5100</f>
        <v>5100</v>
      </c>
      <c r="BD9" s="22" t="s">
        <v>131</v>
      </c>
      <c r="BE9" s="22" t="s">
        <v>132</v>
      </c>
      <c r="BF9" s="22">
        <v>125000</v>
      </c>
      <c r="BG9" s="22">
        <v>0</v>
      </c>
      <c r="BH9" s="18">
        <f>+AV9-AX9-BB9-BC9-BF9+BG9</f>
        <v>51000</v>
      </c>
      <c r="BI9" s="22" t="s">
        <v>109</v>
      </c>
      <c r="BJ9" s="22"/>
      <c r="BK9" s="19"/>
    </row>
    <row r="10" spans="1:63" ht="17.25" x14ac:dyDescent="0.3">
      <c r="A10" s="11">
        <v>45383</v>
      </c>
      <c r="B10" s="12">
        <v>9</v>
      </c>
      <c r="C10" s="12">
        <v>9</v>
      </c>
      <c r="D10" s="13">
        <v>45387</v>
      </c>
      <c r="E10" s="81" t="s">
        <v>133</v>
      </c>
      <c r="F10" s="23">
        <v>6266235835</v>
      </c>
      <c r="G10" s="24">
        <f t="shared" si="8"/>
        <v>45387</v>
      </c>
      <c r="H10" s="21" t="s">
        <v>134</v>
      </c>
      <c r="I10" s="23" t="s">
        <v>64</v>
      </c>
      <c r="J10" s="21" t="s">
        <v>135</v>
      </c>
      <c r="K10" s="21" t="s">
        <v>66</v>
      </c>
      <c r="L10" s="22">
        <v>4444169</v>
      </c>
      <c r="M10" s="22">
        <v>723277</v>
      </c>
      <c r="N10" s="21" t="s">
        <v>67</v>
      </c>
      <c r="O10" s="25">
        <v>940000</v>
      </c>
      <c r="P10" s="26" t="s">
        <v>68</v>
      </c>
      <c r="Q10" s="26" t="s">
        <v>136</v>
      </c>
      <c r="R10" s="23" t="s">
        <v>67</v>
      </c>
      <c r="S10" s="23" t="s">
        <v>67</v>
      </c>
      <c r="T10" s="23" t="s">
        <v>115</v>
      </c>
      <c r="U10" s="26" t="s">
        <v>137</v>
      </c>
      <c r="V10" s="82">
        <v>932742</v>
      </c>
      <c r="W10" s="82">
        <v>15859</v>
      </c>
      <c r="X10" s="82">
        <v>6030</v>
      </c>
      <c r="Y10" s="82">
        <v>885</v>
      </c>
      <c r="Z10" s="82">
        <v>500</v>
      </c>
      <c r="AA10" s="82">
        <v>42410</v>
      </c>
      <c r="AB10" s="82">
        <v>0</v>
      </c>
      <c r="AC10" s="82">
        <v>0</v>
      </c>
      <c r="AD10" s="82">
        <v>30208</v>
      </c>
      <c r="AE10" s="83">
        <f t="shared" si="0"/>
        <v>1028634</v>
      </c>
      <c r="AF10" s="21">
        <v>0</v>
      </c>
      <c r="AG10" s="21">
        <v>10000</v>
      </c>
      <c r="AH10" s="21">
        <v>0</v>
      </c>
      <c r="AI10" s="21">
        <v>1</v>
      </c>
      <c r="AJ10" s="21">
        <v>0</v>
      </c>
      <c r="AK10" s="21">
        <v>0</v>
      </c>
      <c r="AL10" s="21"/>
      <c r="AM10" s="21">
        <v>2533</v>
      </c>
      <c r="AN10" s="14">
        <f t="shared" si="1"/>
        <v>12534</v>
      </c>
      <c r="AO10" s="84">
        <f t="shared" si="2"/>
        <v>1016100</v>
      </c>
      <c r="AP10" s="21">
        <v>3670</v>
      </c>
      <c r="AQ10" s="85">
        <v>170</v>
      </c>
      <c r="AR10" s="21">
        <f t="shared" si="3"/>
        <v>3500</v>
      </c>
      <c r="AS10" s="22">
        <v>0</v>
      </c>
      <c r="AT10" s="22">
        <v>0</v>
      </c>
      <c r="AU10" s="15">
        <f t="shared" si="4"/>
        <v>12704</v>
      </c>
      <c r="AV10" s="117">
        <f t="shared" si="5"/>
        <v>1019600</v>
      </c>
      <c r="AW10" s="16">
        <f t="shared" si="6"/>
        <v>23500</v>
      </c>
      <c r="AX10" s="23">
        <v>916500</v>
      </c>
      <c r="AY10" s="23" t="str">
        <f t="shared" si="7"/>
        <v>CHOLA</v>
      </c>
      <c r="AZ10" s="86">
        <v>45387</v>
      </c>
      <c r="BA10" s="13">
        <v>45388</v>
      </c>
      <c r="BB10" s="23">
        <v>0</v>
      </c>
      <c r="BC10" s="23">
        <f>5000+50000+48100</f>
        <v>103100</v>
      </c>
      <c r="BD10" s="22">
        <v>0</v>
      </c>
      <c r="BE10" s="22">
        <v>0</v>
      </c>
      <c r="BF10" s="22">
        <v>0</v>
      </c>
      <c r="BG10" s="22">
        <v>0</v>
      </c>
      <c r="BH10" s="18">
        <f>+AV10-AX10-BB10-BC10-BF10+BG10</f>
        <v>0</v>
      </c>
      <c r="BI10" s="22" t="s">
        <v>138</v>
      </c>
      <c r="BJ10" s="22" t="s">
        <v>139</v>
      </c>
      <c r="BK10" s="19"/>
    </row>
    <row r="11" spans="1:63" ht="17.25" x14ac:dyDescent="0.3">
      <c r="A11" s="11">
        <v>45383</v>
      </c>
      <c r="B11" s="12">
        <v>10</v>
      </c>
      <c r="C11" s="12">
        <v>10</v>
      </c>
      <c r="D11" s="13">
        <v>45387</v>
      </c>
      <c r="E11" s="81" t="s">
        <v>140</v>
      </c>
      <c r="F11" s="23">
        <v>6265530889</v>
      </c>
      <c r="G11" s="24">
        <f t="shared" si="8"/>
        <v>45387</v>
      </c>
      <c r="H11" s="21" t="s">
        <v>141</v>
      </c>
      <c r="I11" s="23" t="s">
        <v>78</v>
      </c>
      <c r="J11" s="21" t="s">
        <v>65</v>
      </c>
      <c r="K11" s="21" t="s">
        <v>66</v>
      </c>
      <c r="L11" s="21">
        <v>7467172</v>
      </c>
      <c r="M11" s="21">
        <v>240487</v>
      </c>
      <c r="N11" s="21" t="s">
        <v>106</v>
      </c>
      <c r="O11" s="25">
        <v>700000</v>
      </c>
      <c r="P11" s="26" t="s">
        <v>68</v>
      </c>
      <c r="Q11" s="26" t="s">
        <v>136</v>
      </c>
      <c r="R11" s="23" t="s">
        <v>106</v>
      </c>
      <c r="S11" s="23" t="s">
        <v>106</v>
      </c>
      <c r="T11" s="23" t="s">
        <v>124</v>
      </c>
      <c r="U11" s="26" t="s">
        <v>142</v>
      </c>
      <c r="V11" s="82">
        <v>751242</v>
      </c>
      <c r="W11" s="82">
        <v>12779</v>
      </c>
      <c r="X11" s="82">
        <v>4862</v>
      </c>
      <c r="Y11" s="82">
        <v>885</v>
      </c>
      <c r="Z11" s="82">
        <v>0</v>
      </c>
      <c r="AA11" s="82">
        <v>35150</v>
      </c>
      <c r="AB11" s="82">
        <v>0</v>
      </c>
      <c r="AC11" s="82">
        <v>0</v>
      </c>
      <c r="AD11" s="82">
        <v>27914</v>
      </c>
      <c r="AE11" s="83">
        <f t="shared" si="0"/>
        <v>832832</v>
      </c>
      <c r="AF11" s="21">
        <v>0</v>
      </c>
      <c r="AG11" s="21">
        <v>10000</v>
      </c>
      <c r="AH11" s="21">
        <v>10000</v>
      </c>
      <c r="AI11" s="21">
        <v>1</v>
      </c>
      <c r="AJ11" s="21">
        <v>0</v>
      </c>
      <c r="AK11" s="21">
        <v>0</v>
      </c>
      <c r="AL11" s="21"/>
      <c r="AM11" s="21">
        <v>4831</v>
      </c>
      <c r="AN11" s="14">
        <f t="shared" si="1"/>
        <v>24832</v>
      </c>
      <c r="AO11" s="84">
        <f t="shared" si="2"/>
        <v>808000</v>
      </c>
      <c r="AP11" s="21">
        <v>37170</v>
      </c>
      <c r="AQ11" s="85">
        <v>170</v>
      </c>
      <c r="AR11" s="21">
        <f t="shared" si="3"/>
        <v>37000</v>
      </c>
      <c r="AS11" s="22">
        <v>0</v>
      </c>
      <c r="AT11" s="22">
        <v>0</v>
      </c>
      <c r="AU11" s="15">
        <f t="shared" si="4"/>
        <v>25002</v>
      </c>
      <c r="AV11" s="117">
        <f t="shared" si="5"/>
        <v>845000</v>
      </c>
      <c r="AW11" s="16">
        <f t="shared" si="6"/>
        <v>25000</v>
      </c>
      <c r="AX11" s="23">
        <v>675000</v>
      </c>
      <c r="AY11" s="23" t="str">
        <f t="shared" si="7"/>
        <v>CHOLA</v>
      </c>
      <c r="AZ11" s="86">
        <v>45386</v>
      </c>
      <c r="BA11" s="13">
        <v>45390</v>
      </c>
      <c r="BB11" s="23">
        <v>0</v>
      </c>
      <c r="BC11" s="23">
        <f>51000+75000+4000</f>
        <v>130000</v>
      </c>
      <c r="BD11" s="22" t="s">
        <v>143</v>
      </c>
      <c r="BE11" s="22" t="s">
        <v>144</v>
      </c>
      <c r="BF11" s="22">
        <v>40000</v>
      </c>
      <c r="BG11" s="22">
        <v>0</v>
      </c>
      <c r="BH11" s="18">
        <f>+AV11-AX11-BB11-BC11-BF11+BG11</f>
        <v>0</v>
      </c>
      <c r="BI11" s="22" t="s">
        <v>109</v>
      </c>
      <c r="BJ11" s="22"/>
      <c r="BK11" s="19"/>
    </row>
    <row r="12" spans="1:63" ht="17.25" x14ac:dyDescent="0.3">
      <c r="A12" s="11">
        <v>45383</v>
      </c>
      <c r="B12" s="12">
        <v>11</v>
      </c>
      <c r="C12" s="12">
        <v>11</v>
      </c>
      <c r="D12" s="13">
        <v>45387</v>
      </c>
      <c r="E12" s="81" t="s">
        <v>145</v>
      </c>
      <c r="F12" s="23">
        <v>6264214428</v>
      </c>
      <c r="G12" s="24">
        <f t="shared" si="8"/>
        <v>45387</v>
      </c>
      <c r="H12" s="21" t="s">
        <v>146</v>
      </c>
      <c r="I12" s="23" t="s">
        <v>64</v>
      </c>
      <c r="J12" s="21" t="s">
        <v>65</v>
      </c>
      <c r="K12" s="21" t="s">
        <v>66</v>
      </c>
      <c r="L12" s="21">
        <v>1598112</v>
      </c>
      <c r="M12" s="21">
        <v>683249</v>
      </c>
      <c r="N12" s="21" t="s">
        <v>147</v>
      </c>
      <c r="O12" s="89">
        <v>0</v>
      </c>
      <c r="P12" s="90" t="s">
        <v>81</v>
      </c>
      <c r="Q12" s="90" t="s">
        <v>148</v>
      </c>
      <c r="R12" s="91" t="s">
        <v>149</v>
      </c>
      <c r="S12" s="91" t="s">
        <v>147</v>
      </c>
      <c r="T12" s="91" t="s">
        <v>150</v>
      </c>
      <c r="U12" s="90" t="s">
        <v>151</v>
      </c>
      <c r="V12" s="82">
        <v>665742</v>
      </c>
      <c r="W12" s="82">
        <v>11328</v>
      </c>
      <c r="X12" s="82">
        <v>4307</v>
      </c>
      <c r="Y12" s="82">
        <v>885</v>
      </c>
      <c r="Z12" s="82">
        <v>500</v>
      </c>
      <c r="AA12" s="82">
        <v>33782</v>
      </c>
      <c r="AB12" s="82">
        <v>0</v>
      </c>
      <c r="AC12" s="82">
        <v>0</v>
      </c>
      <c r="AD12" s="82">
        <v>25337</v>
      </c>
      <c r="AE12" s="83">
        <f t="shared" si="0"/>
        <v>741881</v>
      </c>
      <c r="AF12" s="21">
        <v>10000</v>
      </c>
      <c r="AG12" s="21">
        <v>20000</v>
      </c>
      <c r="AH12" s="21">
        <v>0</v>
      </c>
      <c r="AI12" s="21">
        <v>0</v>
      </c>
      <c r="AJ12" s="21">
        <v>2100</v>
      </c>
      <c r="AK12" s="21">
        <v>0</v>
      </c>
      <c r="AL12" s="21"/>
      <c r="AM12" s="21">
        <v>24781</v>
      </c>
      <c r="AN12" s="14">
        <f t="shared" si="1"/>
        <v>56881</v>
      </c>
      <c r="AO12" s="84">
        <f t="shared" si="2"/>
        <v>685000</v>
      </c>
      <c r="AP12" s="21">
        <v>0</v>
      </c>
      <c r="AQ12" s="85">
        <v>0</v>
      </c>
      <c r="AR12" s="21">
        <f t="shared" si="3"/>
        <v>0</v>
      </c>
      <c r="AS12" s="22">
        <v>0</v>
      </c>
      <c r="AT12" s="22">
        <v>0</v>
      </c>
      <c r="AU12" s="15">
        <f t="shared" si="4"/>
        <v>56881</v>
      </c>
      <c r="AV12" s="117">
        <f t="shared" si="5"/>
        <v>685000</v>
      </c>
      <c r="AW12" s="16">
        <f t="shared" si="6"/>
        <v>-250000</v>
      </c>
      <c r="AX12" s="23">
        <v>250000</v>
      </c>
      <c r="AY12" s="23" t="str">
        <f t="shared" si="7"/>
        <v>CHEQUE</v>
      </c>
      <c r="AZ12" s="86">
        <v>45387</v>
      </c>
      <c r="BA12" s="86">
        <v>45387</v>
      </c>
      <c r="BB12" s="23">
        <v>115000</v>
      </c>
      <c r="BC12" s="23">
        <f>100000+100000+20000+29000+1000+5000+65000</f>
        <v>320000</v>
      </c>
      <c r="BD12" s="22">
        <v>0</v>
      </c>
      <c r="BE12" s="22">
        <v>0</v>
      </c>
      <c r="BF12" s="22">
        <v>0</v>
      </c>
      <c r="BG12" s="22">
        <v>0</v>
      </c>
      <c r="BH12" s="18">
        <f>+AV12-AX12-BB12-BC12-BF12+BG12</f>
        <v>0</v>
      </c>
      <c r="BI12" s="22" t="s">
        <v>152</v>
      </c>
      <c r="BJ12" s="22"/>
      <c r="BK12" s="19"/>
    </row>
    <row r="13" spans="1:63" ht="17.25" x14ac:dyDescent="0.3">
      <c r="A13" s="11">
        <v>45383</v>
      </c>
      <c r="B13" s="12">
        <v>12</v>
      </c>
      <c r="C13" s="12">
        <v>12</v>
      </c>
      <c r="D13" s="13">
        <v>45387</v>
      </c>
      <c r="E13" s="81" t="s">
        <v>153</v>
      </c>
      <c r="F13" s="23">
        <v>9617127433</v>
      </c>
      <c r="G13" s="24">
        <f t="shared" si="8"/>
        <v>45387</v>
      </c>
      <c r="H13" s="21" t="s">
        <v>154</v>
      </c>
      <c r="I13" s="23" t="s">
        <v>64</v>
      </c>
      <c r="J13" s="21" t="s">
        <v>65</v>
      </c>
      <c r="K13" s="21" t="s">
        <v>97</v>
      </c>
      <c r="L13" s="21">
        <v>1616143</v>
      </c>
      <c r="M13" s="21">
        <v>706194</v>
      </c>
      <c r="N13" s="21" t="s">
        <v>155</v>
      </c>
      <c r="O13" s="25">
        <v>500000</v>
      </c>
      <c r="P13" s="26" t="s">
        <v>81</v>
      </c>
      <c r="Q13" s="26" t="s">
        <v>156</v>
      </c>
      <c r="R13" s="23" t="s">
        <v>106</v>
      </c>
      <c r="S13" s="23" t="s">
        <v>106</v>
      </c>
      <c r="T13" s="23" t="s">
        <v>157</v>
      </c>
      <c r="U13" s="26" t="s">
        <v>158</v>
      </c>
      <c r="V13" s="82">
        <v>665742</v>
      </c>
      <c r="W13" s="82">
        <v>11328</v>
      </c>
      <c r="X13" s="82">
        <v>4307</v>
      </c>
      <c r="Y13" s="82">
        <v>885</v>
      </c>
      <c r="Z13" s="82">
        <v>0</v>
      </c>
      <c r="AA13" s="82">
        <v>33782</v>
      </c>
      <c r="AB13" s="82">
        <v>0</v>
      </c>
      <c r="AC13" s="82">
        <v>0</v>
      </c>
      <c r="AD13" s="82">
        <v>26084</v>
      </c>
      <c r="AE13" s="83">
        <f t="shared" si="0"/>
        <v>742128</v>
      </c>
      <c r="AF13" s="21">
        <v>10000</v>
      </c>
      <c r="AG13" s="21">
        <v>20000</v>
      </c>
      <c r="AH13" s="21">
        <v>0</v>
      </c>
      <c r="AI13" s="21">
        <v>1</v>
      </c>
      <c r="AJ13" s="21">
        <v>0</v>
      </c>
      <c r="AK13" s="21">
        <v>0</v>
      </c>
      <c r="AL13" s="21"/>
      <c r="AM13" s="21">
        <v>27327</v>
      </c>
      <c r="AN13" s="14">
        <f t="shared" si="1"/>
        <v>57328</v>
      </c>
      <c r="AO13" s="84">
        <f t="shared" si="2"/>
        <v>684800</v>
      </c>
      <c r="AP13" s="21">
        <v>5300</v>
      </c>
      <c r="AQ13" s="85">
        <v>100</v>
      </c>
      <c r="AR13" s="21">
        <f t="shared" si="3"/>
        <v>5200</v>
      </c>
      <c r="AS13" s="22">
        <v>0</v>
      </c>
      <c r="AT13" s="22">
        <v>0</v>
      </c>
      <c r="AU13" s="15">
        <f t="shared" si="4"/>
        <v>57428</v>
      </c>
      <c r="AV13" s="117">
        <f t="shared" si="5"/>
        <v>690000</v>
      </c>
      <c r="AW13" s="16">
        <f t="shared" si="6"/>
        <v>2531</v>
      </c>
      <c r="AX13" s="23">
        <v>497469</v>
      </c>
      <c r="AY13" s="23" t="str">
        <f t="shared" si="7"/>
        <v>IDFC</v>
      </c>
      <c r="AZ13" s="86">
        <v>45387</v>
      </c>
      <c r="BA13" s="13">
        <v>45394</v>
      </c>
      <c r="BB13" s="23">
        <v>188900</v>
      </c>
      <c r="BC13" s="23">
        <f>2000+3450</f>
        <v>5450</v>
      </c>
      <c r="BD13" s="22">
        <v>0</v>
      </c>
      <c r="BE13" s="22">
        <v>0</v>
      </c>
      <c r="BF13" s="22">
        <v>0</v>
      </c>
      <c r="BG13" s="22">
        <v>0</v>
      </c>
      <c r="BH13" s="18">
        <f>+AV13-AX13-BB13-BC13-BF13+BG13</f>
        <v>-1819</v>
      </c>
      <c r="BI13" s="22" t="s">
        <v>159</v>
      </c>
      <c r="BJ13" s="22"/>
      <c r="BK13" s="19"/>
    </row>
    <row r="14" spans="1:63" ht="17.25" x14ac:dyDescent="0.3">
      <c r="A14" s="11">
        <v>45383</v>
      </c>
      <c r="B14" s="12">
        <v>13</v>
      </c>
      <c r="C14" s="12">
        <v>13</v>
      </c>
      <c r="D14" s="13">
        <v>45387</v>
      </c>
      <c r="E14" s="81" t="s">
        <v>160</v>
      </c>
      <c r="F14" s="23">
        <v>9131673013</v>
      </c>
      <c r="G14" s="24">
        <f t="shared" si="8"/>
        <v>45387</v>
      </c>
      <c r="H14" s="21" t="s">
        <v>161</v>
      </c>
      <c r="I14" s="23" t="s">
        <v>162</v>
      </c>
      <c r="J14" s="21" t="s">
        <v>135</v>
      </c>
      <c r="K14" s="21" t="s">
        <v>66</v>
      </c>
      <c r="L14" s="21">
        <v>9446486</v>
      </c>
      <c r="M14" s="21">
        <v>370306</v>
      </c>
      <c r="N14" s="21" t="s">
        <v>99</v>
      </c>
      <c r="O14" s="25">
        <v>1389000</v>
      </c>
      <c r="P14" s="26" t="s">
        <v>68</v>
      </c>
      <c r="Q14" s="26" t="s">
        <v>90</v>
      </c>
      <c r="R14" s="23" t="s">
        <v>163</v>
      </c>
      <c r="S14" s="23" t="s">
        <v>164</v>
      </c>
      <c r="T14" s="23" t="s">
        <v>165</v>
      </c>
      <c r="U14" s="26" t="s">
        <v>165</v>
      </c>
      <c r="V14" s="82">
        <v>1256000</v>
      </c>
      <c r="W14" s="82">
        <v>0</v>
      </c>
      <c r="X14" s="82">
        <v>0</v>
      </c>
      <c r="Y14" s="82">
        <v>885</v>
      </c>
      <c r="Z14" s="82">
        <v>0</v>
      </c>
      <c r="AA14" s="82">
        <v>69965</v>
      </c>
      <c r="AB14" s="82">
        <v>0</v>
      </c>
      <c r="AC14" s="82">
        <v>12471</v>
      </c>
      <c r="AD14" s="82">
        <v>35848</v>
      </c>
      <c r="AE14" s="83">
        <f t="shared" si="0"/>
        <v>1375169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/>
      <c r="AM14" s="21">
        <v>8858</v>
      </c>
      <c r="AN14" s="14">
        <f t="shared" si="1"/>
        <v>8858</v>
      </c>
      <c r="AO14" s="84">
        <f t="shared" si="2"/>
        <v>1366311</v>
      </c>
      <c r="AP14" s="21">
        <v>34097</v>
      </c>
      <c r="AQ14" s="85">
        <v>408</v>
      </c>
      <c r="AR14" s="21">
        <f t="shared" si="3"/>
        <v>33689</v>
      </c>
      <c r="AS14" s="22">
        <v>0</v>
      </c>
      <c r="AT14" s="22">
        <v>0</v>
      </c>
      <c r="AU14" s="15">
        <f t="shared" si="4"/>
        <v>9266</v>
      </c>
      <c r="AV14" s="117">
        <f t="shared" si="5"/>
        <v>1400000</v>
      </c>
      <c r="AW14" s="16">
        <f t="shared" si="6"/>
        <v>0</v>
      </c>
      <c r="AX14" s="23">
        <v>1389000</v>
      </c>
      <c r="AY14" s="23" t="str">
        <f t="shared" si="7"/>
        <v>MPGB</v>
      </c>
      <c r="AZ14" s="86">
        <v>45387</v>
      </c>
      <c r="BA14" s="86">
        <v>45387</v>
      </c>
      <c r="BB14" s="23">
        <v>0</v>
      </c>
      <c r="BC14" s="23">
        <v>11000</v>
      </c>
      <c r="BD14" s="22">
        <v>0</v>
      </c>
      <c r="BE14" s="22">
        <v>0</v>
      </c>
      <c r="BF14" s="22">
        <v>0</v>
      </c>
      <c r="BG14" s="22">
        <v>0</v>
      </c>
      <c r="BH14" s="18">
        <f>+AV14-AX14-BB14-BC14-BF14+BG14</f>
        <v>0</v>
      </c>
      <c r="BI14" s="22" t="s">
        <v>166</v>
      </c>
      <c r="BJ14" s="22"/>
      <c r="BK14" s="19"/>
    </row>
    <row r="15" spans="1:63" ht="17.25" x14ac:dyDescent="0.3">
      <c r="A15" s="11">
        <v>45383</v>
      </c>
      <c r="B15" s="12">
        <v>14</v>
      </c>
      <c r="C15" s="12">
        <v>14</v>
      </c>
      <c r="D15" s="13">
        <v>45387</v>
      </c>
      <c r="E15" s="81" t="s">
        <v>167</v>
      </c>
      <c r="F15" s="23">
        <v>9340252151</v>
      </c>
      <c r="G15" s="24">
        <f t="shared" si="8"/>
        <v>45387</v>
      </c>
      <c r="H15" s="21" t="s">
        <v>168</v>
      </c>
      <c r="I15" s="23" t="s">
        <v>121</v>
      </c>
      <c r="J15" s="21" t="s">
        <v>135</v>
      </c>
      <c r="K15" s="21" t="s">
        <v>66</v>
      </c>
      <c r="L15" s="21">
        <v>7379426</v>
      </c>
      <c r="M15" s="21">
        <v>118154</v>
      </c>
      <c r="N15" s="21" t="s">
        <v>80</v>
      </c>
      <c r="O15" s="25">
        <v>1600000</v>
      </c>
      <c r="P15" s="26" t="s">
        <v>68</v>
      </c>
      <c r="Q15" s="26" t="s">
        <v>90</v>
      </c>
      <c r="R15" s="23" t="s">
        <v>169</v>
      </c>
      <c r="S15" s="23" t="s">
        <v>80</v>
      </c>
      <c r="T15" s="23" t="s">
        <v>84</v>
      </c>
      <c r="U15" s="26" t="s">
        <v>170</v>
      </c>
      <c r="V15" s="82">
        <v>1495601</v>
      </c>
      <c r="W15" s="82">
        <v>25429</v>
      </c>
      <c r="X15" s="82">
        <v>0</v>
      </c>
      <c r="Y15" s="82">
        <v>885</v>
      </c>
      <c r="Z15" s="82">
        <v>0</v>
      </c>
      <c r="AA15" s="82">
        <v>79880</v>
      </c>
      <c r="AB15" s="82">
        <v>0</v>
      </c>
      <c r="AC15" s="82">
        <v>14731</v>
      </c>
      <c r="AD15" s="82">
        <v>39272</v>
      </c>
      <c r="AE15" s="83">
        <f t="shared" si="0"/>
        <v>1655798</v>
      </c>
      <c r="AF15" s="21">
        <v>0</v>
      </c>
      <c r="AG15" s="21">
        <v>0</v>
      </c>
      <c r="AH15" s="21">
        <v>0</v>
      </c>
      <c r="AI15" s="21">
        <v>1</v>
      </c>
      <c r="AJ15" s="21">
        <v>0</v>
      </c>
      <c r="AK15" s="21">
        <v>0</v>
      </c>
      <c r="AL15" s="21"/>
      <c r="AM15" s="21">
        <v>22522</v>
      </c>
      <c r="AN15" s="14">
        <f t="shared" si="1"/>
        <v>22523</v>
      </c>
      <c r="AO15" s="84">
        <f t="shared" si="2"/>
        <v>1633275</v>
      </c>
      <c r="AP15" s="21">
        <v>17000</v>
      </c>
      <c r="AQ15" s="85">
        <v>275</v>
      </c>
      <c r="AR15" s="21">
        <f t="shared" si="3"/>
        <v>16725</v>
      </c>
      <c r="AS15" s="22">
        <v>0</v>
      </c>
      <c r="AT15" s="22">
        <v>0</v>
      </c>
      <c r="AU15" s="15">
        <f t="shared" si="4"/>
        <v>22798</v>
      </c>
      <c r="AV15" s="117">
        <f t="shared" si="5"/>
        <v>1650000</v>
      </c>
      <c r="AW15" s="16">
        <f t="shared" si="6"/>
        <v>0</v>
      </c>
      <c r="AX15" s="23">
        <v>1600000</v>
      </c>
      <c r="AY15" s="23" t="str">
        <f t="shared" si="7"/>
        <v>MPGB</v>
      </c>
      <c r="AZ15" s="86">
        <v>45387</v>
      </c>
      <c r="BA15" s="13">
        <v>45387</v>
      </c>
      <c r="BB15" s="23">
        <v>0</v>
      </c>
      <c r="BC15" s="23">
        <v>50000</v>
      </c>
      <c r="BD15" s="22">
        <v>0</v>
      </c>
      <c r="BE15" s="22">
        <v>0</v>
      </c>
      <c r="BF15" s="22">
        <v>0</v>
      </c>
      <c r="BG15" s="22">
        <v>0</v>
      </c>
      <c r="BH15" s="18">
        <f>+AV15-AX15-BB15-BC15-BF15+BG15</f>
        <v>0</v>
      </c>
      <c r="BI15" s="22" t="s">
        <v>171</v>
      </c>
      <c r="BJ15" s="22"/>
      <c r="BK15" s="19"/>
    </row>
    <row r="16" spans="1:63" ht="17.25" x14ac:dyDescent="0.3">
      <c r="A16" s="11">
        <v>45383</v>
      </c>
      <c r="B16" s="12">
        <v>15</v>
      </c>
      <c r="C16" s="12">
        <v>15</v>
      </c>
      <c r="D16" s="13">
        <v>45388</v>
      </c>
      <c r="E16" s="81" t="s">
        <v>172</v>
      </c>
      <c r="F16" s="92">
        <v>9575448366</v>
      </c>
      <c r="G16" s="24">
        <f t="shared" si="8"/>
        <v>45388</v>
      </c>
      <c r="H16" s="21" t="s">
        <v>173</v>
      </c>
      <c r="I16" s="23" t="s">
        <v>78</v>
      </c>
      <c r="J16" s="21" t="s">
        <v>79</v>
      </c>
      <c r="K16" s="21" t="s">
        <v>66</v>
      </c>
      <c r="L16" s="21">
        <v>7481774</v>
      </c>
      <c r="M16" s="21">
        <v>250339</v>
      </c>
      <c r="N16" s="21" t="s">
        <v>67</v>
      </c>
      <c r="O16" s="25">
        <v>0</v>
      </c>
      <c r="P16" s="26" t="s">
        <v>81</v>
      </c>
      <c r="Q16" s="26" t="s">
        <v>175</v>
      </c>
      <c r="R16" s="23" t="s">
        <v>175</v>
      </c>
      <c r="S16" s="23" t="s">
        <v>67</v>
      </c>
      <c r="T16" s="23" t="s">
        <v>176</v>
      </c>
      <c r="U16" s="26" t="s">
        <v>176</v>
      </c>
      <c r="V16" s="82">
        <v>846242</v>
      </c>
      <c r="W16" s="82">
        <v>0</v>
      </c>
      <c r="X16" s="82">
        <v>0</v>
      </c>
      <c r="Y16" s="82">
        <v>0</v>
      </c>
      <c r="Z16" s="82">
        <v>0</v>
      </c>
      <c r="AA16" s="82">
        <v>0</v>
      </c>
      <c r="AB16" s="82">
        <v>0</v>
      </c>
      <c r="AC16" s="82">
        <v>0</v>
      </c>
      <c r="AD16" s="82">
        <v>0</v>
      </c>
      <c r="AE16" s="83">
        <f t="shared" si="0"/>
        <v>846242</v>
      </c>
      <c r="AF16" s="21">
        <v>0</v>
      </c>
      <c r="AG16" s="21">
        <v>0</v>
      </c>
      <c r="AH16" s="21">
        <v>0</v>
      </c>
      <c r="AI16" s="21">
        <v>1</v>
      </c>
      <c r="AJ16" s="21">
        <v>0</v>
      </c>
      <c r="AK16" s="21">
        <v>17399</v>
      </c>
      <c r="AL16" s="21"/>
      <c r="AM16" s="21">
        <v>0</v>
      </c>
      <c r="AN16" s="14">
        <f t="shared" si="1"/>
        <v>17400</v>
      </c>
      <c r="AO16" s="84">
        <f t="shared" si="2"/>
        <v>828842</v>
      </c>
      <c r="AP16" s="21">
        <v>0</v>
      </c>
      <c r="AQ16" s="85">
        <v>0</v>
      </c>
      <c r="AR16" s="21">
        <f t="shared" si="3"/>
        <v>0</v>
      </c>
      <c r="AS16" s="22">
        <v>0</v>
      </c>
      <c r="AT16" s="22">
        <v>0</v>
      </c>
      <c r="AU16" s="15">
        <f t="shared" si="4"/>
        <v>17400</v>
      </c>
      <c r="AV16" s="117">
        <f t="shared" si="5"/>
        <v>828842</v>
      </c>
      <c r="AW16" s="16">
        <f t="shared" si="6"/>
        <v>0</v>
      </c>
      <c r="AX16" s="23">
        <v>0</v>
      </c>
      <c r="AY16" s="23" t="str">
        <f t="shared" si="7"/>
        <v>NMPL</v>
      </c>
      <c r="AZ16" s="16">
        <v>0</v>
      </c>
      <c r="BA16" s="16">
        <v>0</v>
      </c>
      <c r="BB16" s="23">
        <v>0</v>
      </c>
      <c r="BC16" s="23">
        <v>0</v>
      </c>
      <c r="BD16" s="22">
        <v>0</v>
      </c>
      <c r="BE16" s="22">
        <v>0</v>
      </c>
      <c r="BF16" s="22">
        <v>0</v>
      </c>
      <c r="BG16" s="22">
        <v>0</v>
      </c>
      <c r="BH16" s="18">
        <f>+AV16-AX16-BB16-BC16-BF16+BG16</f>
        <v>828842</v>
      </c>
      <c r="BI16" s="22"/>
      <c r="BJ16" s="22"/>
      <c r="BK16" s="19"/>
    </row>
    <row r="17" spans="1:63" ht="17.25" x14ac:dyDescent="0.3">
      <c r="A17" s="11">
        <v>45383</v>
      </c>
      <c r="B17" s="12">
        <v>16</v>
      </c>
      <c r="C17" s="12">
        <v>16</v>
      </c>
      <c r="D17" s="13">
        <v>45388</v>
      </c>
      <c r="E17" s="81" t="s">
        <v>177</v>
      </c>
      <c r="F17" s="23">
        <v>9893754500</v>
      </c>
      <c r="G17" s="24">
        <f t="shared" si="8"/>
        <v>45388</v>
      </c>
      <c r="H17" s="21" t="s">
        <v>178</v>
      </c>
      <c r="I17" s="23" t="s">
        <v>162</v>
      </c>
      <c r="J17" s="21" t="s">
        <v>135</v>
      </c>
      <c r="K17" s="21" t="s">
        <v>66</v>
      </c>
      <c r="L17" s="21">
        <v>9450355</v>
      </c>
      <c r="M17" s="21">
        <v>370980</v>
      </c>
      <c r="N17" s="21" t="s">
        <v>80</v>
      </c>
      <c r="O17" s="25">
        <v>1000000</v>
      </c>
      <c r="P17" s="26" t="s">
        <v>68</v>
      </c>
      <c r="Q17" s="26" t="s">
        <v>179</v>
      </c>
      <c r="R17" s="23" t="s">
        <v>80</v>
      </c>
      <c r="S17" s="23" t="s">
        <v>80</v>
      </c>
      <c r="T17" s="23" t="s">
        <v>84</v>
      </c>
      <c r="U17" s="26" t="s">
        <v>92</v>
      </c>
      <c r="V17" s="82">
        <v>1256000</v>
      </c>
      <c r="W17" s="82">
        <v>21346</v>
      </c>
      <c r="X17" s="82">
        <v>8118</v>
      </c>
      <c r="Y17" s="82">
        <v>885</v>
      </c>
      <c r="Z17" s="82">
        <v>0</v>
      </c>
      <c r="AA17" s="82">
        <v>69965</v>
      </c>
      <c r="AB17" s="82">
        <v>0</v>
      </c>
      <c r="AC17" s="82">
        <v>12472</v>
      </c>
      <c r="AD17" s="82">
        <v>39978</v>
      </c>
      <c r="AE17" s="83">
        <f t="shared" si="0"/>
        <v>1408764</v>
      </c>
      <c r="AF17" s="21">
        <v>0</v>
      </c>
      <c r="AG17" s="21">
        <v>0</v>
      </c>
      <c r="AH17" s="21">
        <v>0</v>
      </c>
      <c r="AI17" s="21">
        <v>1</v>
      </c>
      <c r="AJ17" s="21">
        <v>0</v>
      </c>
      <c r="AK17" s="21">
        <v>0</v>
      </c>
      <c r="AL17" s="21"/>
      <c r="AM17" s="21">
        <v>8763</v>
      </c>
      <c r="AN17" s="14">
        <f t="shared" si="1"/>
        <v>8764</v>
      </c>
      <c r="AO17" s="84">
        <f t="shared" si="2"/>
        <v>1400000</v>
      </c>
      <c r="AP17" s="21">
        <v>0</v>
      </c>
      <c r="AQ17" s="85">
        <v>0</v>
      </c>
      <c r="AR17" s="21">
        <f t="shared" si="3"/>
        <v>0</v>
      </c>
      <c r="AS17" s="22">
        <v>0</v>
      </c>
      <c r="AT17" s="22">
        <v>0</v>
      </c>
      <c r="AU17" s="15">
        <f t="shared" si="4"/>
        <v>8764</v>
      </c>
      <c r="AV17" s="117">
        <f t="shared" si="5"/>
        <v>1400000</v>
      </c>
      <c r="AW17" s="16">
        <f t="shared" si="6"/>
        <v>-257300</v>
      </c>
      <c r="AX17" s="23">
        <v>1257300</v>
      </c>
      <c r="AY17" s="23" t="str">
        <f t="shared" si="7"/>
        <v>MAHINDRA</v>
      </c>
      <c r="AZ17" s="86">
        <v>45388</v>
      </c>
      <c r="BA17" s="13">
        <v>45391</v>
      </c>
      <c r="BB17" s="23">
        <f>51000+4100</f>
        <v>55100</v>
      </c>
      <c r="BC17" s="23">
        <v>354100</v>
      </c>
      <c r="BD17" s="22" t="s">
        <v>181</v>
      </c>
      <c r="BE17" s="22">
        <v>0</v>
      </c>
      <c r="BF17" s="22">
        <v>0</v>
      </c>
      <c r="BG17" s="22">
        <v>261400</v>
      </c>
      <c r="BH17" s="18">
        <f>+AV17-AX17-BB17-BC17-BF17+BG17</f>
        <v>-5100</v>
      </c>
      <c r="BI17" s="22" t="s">
        <v>182</v>
      </c>
      <c r="BJ17" s="22"/>
      <c r="BK17" s="19"/>
    </row>
    <row r="18" spans="1:63" ht="17.25" x14ac:dyDescent="0.3">
      <c r="A18" s="11">
        <v>45383</v>
      </c>
      <c r="B18" s="12">
        <v>17</v>
      </c>
      <c r="C18" s="12">
        <v>17</v>
      </c>
      <c r="D18" s="13">
        <v>45388</v>
      </c>
      <c r="E18" s="81" t="s">
        <v>183</v>
      </c>
      <c r="F18" s="23">
        <v>8518093520</v>
      </c>
      <c r="G18" s="24">
        <f t="shared" si="8"/>
        <v>45388</v>
      </c>
      <c r="H18" s="21" t="s">
        <v>184</v>
      </c>
      <c r="I18" s="23" t="s">
        <v>64</v>
      </c>
      <c r="J18" s="21" t="s">
        <v>65</v>
      </c>
      <c r="K18" s="21" t="s">
        <v>97</v>
      </c>
      <c r="L18" s="21">
        <v>4442376</v>
      </c>
      <c r="M18" s="21">
        <v>720432</v>
      </c>
      <c r="N18" s="21" t="s">
        <v>67</v>
      </c>
      <c r="O18" s="25">
        <v>620000</v>
      </c>
      <c r="P18" s="26" t="s">
        <v>81</v>
      </c>
      <c r="Q18" s="26" t="s">
        <v>185</v>
      </c>
      <c r="R18" s="23" t="s">
        <v>186</v>
      </c>
      <c r="S18" s="23" t="s">
        <v>67</v>
      </c>
      <c r="T18" s="23" t="s">
        <v>115</v>
      </c>
      <c r="U18" s="26" t="s">
        <v>187</v>
      </c>
      <c r="V18" s="82">
        <v>665742</v>
      </c>
      <c r="W18" s="82">
        <v>11328</v>
      </c>
      <c r="X18" s="82">
        <v>4307</v>
      </c>
      <c r="Y18" s="82">
        <v>885</v>
      </c>
      <c r="Z18" s="82">
        <v>500</v>
      </c>
      <c r="AA18" s="82">
        <v>33782</v>
      </c>
      <c r="AB18" s="82">
        <v>0</v>
      </c>
      <c r="AC18" s="82">
        <v>0</v>
      </c>
      <c r="AD18" s="82">
        <v>24983</v>
      </c>
      <c r="AE18" s="83">
        <f t="shared" si="0"/>
        <v>741527</v>
      </c>
      <c r="AF18" s="21">
        <v>10000</v>
      </c>
      <c r="AG18" s="21">
        <v>20000</v>
      </c>
      <c r="AH18" s="21">
        <v>0</v>
      </c>
      <c r="AI18" s="21">
        <v>1</v>
      </c>
      <c r="AJ18" s="21">
        <v>0</v>
      </c>
      <c r="AK18" s="21">
        <v>0</v>
      </c>
      <c r="AL18" s="21"/>
      <c r="AM18" s="21">
        <v>11526</v>
      </c>
      <c r="AN18" s="14">
        <f t="shared" si="1"/>
        <v>41527</v>
      </c>
      <c r="AO18" s="84">
        <f t="shared" si="2"/>
        <v>700000</v>
      </c>
      <c r="AP18" s="21">
        <v>29290</v>
      </c>
      <c r="AQ18" s="85">
        <v>290</v>
      </c>
      <c r="AR18" s="21">
        <f t="shared" si="3"/>
        <v>29000</v>
      </c>
      <c r="AS18" s="22">
        <v>0</v>
      </c>
      <c r="AT18" s="22">
        <v>0</v>
      </c>
      <c r="AU18" s="15">
        <f t="shared" si="4"/>
        <v>41817</v>
      </c>
      <c r="AV18" s="117">
        <f t="shared" si="5"/>
        <v>729000</v>
      </c>
      <c r="AW18" s="16">
        <f t="shared" si="6"/>
        <v>7471</v>
      </c>
      <c r="AX18" s="23">
        <v>612529</v>
      </c>
      <c r="AY18" s="23" t="str">
        <f t="shared" si="7"/>
        <v>HDFC</v>
      </c>
      <c r="AZ18" s="86">
        <v>45388</v>
      </c>
      <c r="BA18" s="13">
        <v>45401</v>
      </c>
      <c r="BB18" s="23">
        <v>39800</v>
      </c>
      <c r="BC18" s="23">
        <f>5000+20200+30000</f>
        <v>55200</v>
      </c>
      <c r="BD18" s="22">
        <v>0</v>
      </c>
      <c r="BE18" s="22">
        <v>0</v>
      </c>
      <c r="BF18" s="22">
        <v>0</v>
      </c>
      <c r="BG18" s="22">
        <v>0</v>
      </c>
      <c r="BH18" s="18">
        <f>+AV18-AX18-BB18-BC18-BF18+BG18</f>
        <v>21471</v>
      </c>
      <c r="BI18" s="22" t="s">
        <v>188</v>
      </c>
      <c r="BJ18" s="22"/>
      <c r="BK18" s="19"/>
    </row>
    <row r="19" spans="1:63" ht="17.25" x14ac:dyDescent="0.3">
      <c r="A19" s="11">
        <v>45383</v>
      </c>
      <c r="B19" s="12">
        <v>18</v>
      </c>
      <c r="C19" s="12">
        <v>18</v>
      </c>
      <c r="D19" s="13">
        <v>45388</v>
      </c>
      <c r="E19" s="81" t="s">
        <v>189</v>
      </c>
      <c r="F19" s="23">
        <v>9516457183</v>
      </c>
      <c r="G19" s="24">
        <v>45393</v>
      </c>
      <c r="H19" s="21" t="s">
        <v>190</v>
      </c>
      <c r="I19" s="23" t="s">
        <v>78</v>
      </c>
      <c r="J19" s="21" t="s">
        <v>79</v>
      </c>
      <c r="K19" s="21" t="s">
        <v>66</v>
      </c>
      <c r="L19" s="21">
        <v>7473900</v>
      </c>
      <c r="M19" s="21">
        <v>245192</v>
      </c>
      <c r="N19" s="21" t="s">
        <v>67</v>
      </c>
      <c r="O19" s="25">
        <v>800000</v>
      </c>
      <c r="P19" s="26" t="s">
        <v>81</v>
      </c>
      <c r="Q19" s="26" t="s">
        <v>191</v>
      </c>
      <c r="R19" s="23" t="s">
        <v>192</v>
      </c>
      <c r="S19" s="23" t="s">
        <v>67</v>
      </c>
      <c r="T19" s="23" t="s">
        <v>70</v>
      </c>
      <c r="U19" s="26" t="s">
        <v>71</v>
      </c>
      <c r="V19" s="82">
        <v>846242</v>
      </c>
      <c r="W19" s="82">
        <v>14384</v>
      </c>
      <c r="X19" s="82">
        <v>5475</v>
      </c>
      <c r="Y19" s="82">
        <v>885</v>
      </c>
      <c r="Z19" s="82">
        <v>500</v>
      </c>
      <c r="AA19" s="82">
        <v>41002</v>
      </c>
      <c r="AB19" s="82">
        <v>0</v>
      </c>
      <c r="AC19" s="82">
        <v>0</v>
      </c>
      <c r="AD19" s="82">
        <v>28163</v>
      </c>
      <c r="AE19" s="83">
        <f t="shared" si="0"/>
        <v>936651</v>
      </c>
      <c r="AF19" s="21">
        <v>0</v>
      </c>
      <c r="AG19" s="21">
        <v>0</v>
      </c>
      <c r="AH19" s="21">
        <v>10000</v>
      </c>
      <c r="AI19" s="21">
        <v>1</v>
      </c>
      <c r="AJ19" s="21">
        <v>0</v>
      </c>
      <c r="AK19" s="21">
        <v>0</v>
      </c>
      <c r="AL19" s="21"/>
      <c r="AM19" s="21">
        <v>1650</v>
      </c>
      <c r="AN19" s="14">
        <f t="shared" si="1"/>
        <v>11651</v>
      </c>
      <c r="AO19" s="84">
        <f t="shared" si="2"/>
        <v>925000</v>
      </c>
      <c r="AP19" s="21">
        <v>0</v>
      </c>
      <c r="AQ19" s="85">
        <v>0</v>
      </c>
      <c r="AR19" s="21">
        <f t="shared" si="3"/>
        <v>0</v>
      </c>
      <c r="AS19" s="22">
        <v>0</v>
      </c>
      <c r="AT19" s="22">
        <v>0</v>
      </c>
      <c r="AU19" s="15">
        <f t="shared" si="4"/>
        <v>11651</v>
      </c>
      <c r="AV19" s="117">
        <f t="shared" si="5"/>
        <v>925000</v>
      </c>
      <c r="AW19" s="16">
        <f t="shared" si="6"/>
        <v>0</v>
      </c>
      <c r="AX19" s="23">
        <v>800000</v>
      </c>
      <c r="AY19" s="23" t="str">
        <f t="shared" si="7"/>
        <v>SBI</v>
      </c>
      <c r="AZ19" s="86">
        <v>45388</v>
      </c>
      <c r="BA19" s="13">
        <v>45481</v>
      </c>
      <c r="BB19" s="23">
        <v>0</v>
      </c>
      <c r="BC19" s="23">
        <v>25000</v>
      </c>
      <c r="BD19" s="22" t="s">
        <v>193</v>
      </c>
      <c r="BE19" s="22" t="s">
        <v>194</v>
      </c>
      <c r="BF19" s="22">
        <v>100000</v>
      </c>
      <c r="BG19" s="22">
        <v>0</v>
      </c>
      <c r="BH19" s="18">
        <f>+AV19-AX19-BB19-BC19-BF19+BG19</f>
        <v>0</v>
      </c>
      <c r="BI19" s="22" t="s">
        <v>195</v>
      </c>
      <c r="BJ19" s="22" t="s">
        <v>196</v>
      </c>
      <c r="BK19" s="19"/>
    </row>
    <row r="20" spans="1:63" ht="17.25" x14ac:dyDescent="0.3">
      <c r="A20" s="11">
        <v>45383</v>
      </c>
      <c r="B20" s="12">
        <v>19</v>
      </c>
      <c r="C20" s="12">
        <v>19</v>
      </c>
      <c r="D20" s="13">
        <v>45388</v>
      </c>
      <c r="E20" s="81" t="s">
        <v>197</v>
      </c>
      <c r="F20" s="23">
        <v>7869724299</v>
      </c>
      <c r="G20" s="24">
        <f t="shared" ref="G20:G28" si="9">D20</f>
        <v>45388</v>
      </c>
      <c r="H20" s="21" t="s">
        <v>198</v>
      </c>
      <c r="I20" s="23" t="s">
        <v>121</v>
      </c>
      <c r="J20" s="21" t="s">
        <v>65</v>
      </c>
      <c r="K20" s="21" t="s">
        <v>199</v>
      </c>
      <c r="L20" s="21">
        <v>7396295</v>
      </c>
      <c r="M20" s="21">
        <v>230127</v>
      </c>
      <c r="N20" s="21" t="s">
        <v>67</v>
      </c>
      <c r="O20" s="25">
        <v>500000</v>
      </c>
      <c r="P20" s="26" t="s">
        <v>68</v>
      </c>
      <c r="Q20" s="26" t="s">
        <v>179</v>
      </c>
      <c r="R20" s="23" t="s">
        <v>80</v>
      </c>
      <c r="S20" s="23" t="s">
        <v>80</v>
      </c>
      <c r="T20" s="23" t="s">
        <v>70</v>
      </c>
      <c r="U20" s="26" t="s">
        <v>71</v>
      </c>
      <c r="V20" s="82">
        <v>1079601</v>
      </c>
      <c r="W20" s="82">
        <v>0</v>
      </c>
      <c r="X20" s="82">
        <v>0</v>
      </c>
      <c r="Y20" s="82">
        <v>885</v>
      </c>
      <c r="Z20" s="82">
        <v>0</v>
      </c>
      <c r="AA20" s="82">
        <v>59080</v>
      </c>
      <c r="AB20" s="82">
        <v>0</v>
      </c>
      <c r="AC20" s="82">
        <v>10534</v>
      </c>
      <c r="AD20" s="82">
        <v>31239</v>
      </c>
      <c r="AE20" s="83">
        <f t="shared" si="0"/>
        <v>1181339</v>
      </c>
      <c r="AF20" s="21">
        <v>0</v>
      </c>
      <c r="AG20" s="21">
        <v>0</v>
      </c>
      <c r="AH20" s="21">
        <v>0</v>
      </c>
      <c r="AI20" s="21">
        <v>3100</v>
      </c>
      <c r="AJ20" s="21">
        <v>0</v>
      </c>
      <c r="AK20" s="21">
        <v>0</v>
      </c>
      <c r="AL20" s="21"/>
      <c r="AM20" s="21">
        <v>23101</v>
      </c>
      <c r="AN20" s="14">
        <f t="shared" si="1"/>
        <v>26201</v>
      </c>
      <c r="AO20" s="84">
        <f t="shared" si="2"/>
        <v>1155138</v>
      </c>
      <c r="AP20" s="21">
        <v>42000</v>
      </c>
      <c r="AQ20" s="85">
        <v>138</v>
      </c>
      <c r="AR20" s="21">
        <f t="shared" si="3"/>
        <v>41862</v>
      </c>
      <c r="AS20" s="22">
        <v>0</v>
      </c>
      <c r="AT20" s="22">
        <v>0</v>
      </c>
      <c r="AU20" s="15">
        <f t="shared" si="4"/>
        <v>26339</v>
      </c>
      <c r="AV20" s="117">
        <f t="shared" si="5"/>
        <v>1197000</v>
      </c>
      <c r="AW20" s="16">
        <f t="shared" si="6"/>
        <v>-580901</v>
      </c>
      <c r="AX20" s="23">
        <f>495900+585001</f>
        <v>1080901</v>
      </c>
      <c r="AY20" s="23" t="str">
        <f t="shared" si="7"/>
        <v>MAHINDRA</v>
      </c>
      <c r="AZ20" s="86">
        <v>45388</v>
      </c>
      <c r="BA20" s="13">
        <v>45391</v>
      </c>
      <c r="BB20" s="23">
        <v>165000</v>
      </c>
      <c r="BC20" s="23">
        <f>21000+350000+24000+75000+29100</f>
        <v>499100</v>
      </c>
      <c r="BD20" s="22" t="s">
        <v>181</v>
      </c>
      <c r="BE20" s="22">
        <v>0</v>
      </c>
      <c r="BF20" s="22">
        <v>0</v>
      </c>
      <c r="BG20" s="22">
        <v>585001</v>
      </c>
      <c r="BH20" s="18">
        <f>+AV20-AX20-BB20-BC20-BF20+BG20</f>
        <v>37000</v>
      </c>
      <c r="BI20" s="22" t="s">
        <v>200</v>
      </c>
      <c r="BJ20" s="22"/>
      <c r="BK20" s="19"/>
    </row>
    <row r="21" spans="1:63" ht="17.25" x14ac:dyDescent="0.3">
      <c r="A21" s="11">
        <v>45383</v>
      </c>
      <c r="B21" s="12">
        <v>20</v>
      </c>
      <c r="C21" s="12">
        <v>20</v>
      </c>
      <c r="D21" s="13">
        <v>45388</v>
      </c>
      <c r="E21" s="81" t="s">
        <v>201</v>
      </c>
      <c r="F21" s="23">
        <v>797466266</v>
      </c>
      <c r="G21" s="24">
        <f t="shared" si="9"/>
        <v>45388</v>
      </c>
      <c r="H21" s="21" t="s">
        <v>202</v>
      </c>
      <c r="I21" s="23" t="s">
        <v>162</v>
      </c>
      <c r="J21" s="21" t="s">
        <v>135</v>
      </c>
      <c r="K21" s="21" t="s">
        <v>66</v>
      </c>
      <c r="L21" s="21">
        <v>9458130</v>
      </c>
      <c r="M21" s="21">
        <v>372197</v>
      </c>
      <c r="N21" s="21" t="s">
        <v>147</v>
      </c>
      <c r="O21" s="25">
        <v>1260000</v>
      </c>
      <c r="P21" s="26" t="s">
        <v>81</v>
      </c>
      <c r="Q21" s="26" t="s">
        <v>122</v>
      </c>
      <c r="R21" s="23" t="s">
        <v>203</v>
      </c>
      <c r="S21" s="23" t="s">
        <v>147</v>
      </c>
      <c r="T21" s="23" t="s">
        <v>150</v>
      </c>
      <c r="U21" s="26" t="s">
        <v>204</v>
      </c>
      <c r="V21" s="82">
        <v>1256000</v>
      </c>
      <c r="W21" s="82">
        <v>21346</v>
      </c>
      <c r="X21" s="82">
        <v>0</v>
      </c>
      <c r="Y21" s="82">
        <v>885</v>
      </c>
      <c r="Z21" s="82">
        <v>500</v>
      </c>
      <c r="AA21" s="82">
        <v>69965</v>
      </c>
      <c r="AB21" s="82">
        <v>0</v>
      </c>
      <c r="AC21" s="82">
        <v>12381</v>
      </c>
      <c r="AD21" s="82">
        <v>36179</v>
      </c>
      <c r="AE21" s="83">
        <f t="shared" si="0"/>
        <v>1397256</v>
      </c>
      <c r="AF21" s="21">
        <v>0</v>
      </c>
      <c r="AG21" s="21">
        <v>0</v>
      </c>
      <c r="AH21" s="21">
        <v>0</v>
      </c>
      <c r="AI21" s="21">
        <v>1</v>
      </c>
      <c r="AJ21" s="21">
        <v>0</v>
      </c>
      <c r="AK21" s="21">
        <v>0</v>
      </c>
      <c r="AL21" s="21"/>
      <c r="AM21" s="21">
        <v>17934</v>
      </c>
      <c r="AN21" s="14">
        <f t="shared" si="1"/>
        <v>17935</v>
      </c>
      <c r="AO21" s="84">
        <f t="shared" si="2"/>
        <v>1379321</v>
      </c>
      <c r="AP21" s="21">
        <v>30550</v>
      </c>
      <c r="AQ21" s="85">
        <v>371</v>
      </c>
      <c r="AR21" s="21">
        <f t="shared" si="3"/>
        <v>30179</v>
      </c>
      <c r="AS21" s="22">
        <v>0</v>
      </c>
      <c r="AT21" s="22">
        <v>0</v>
      </c>
      <c r="AU21" s="15">
        <f t="shared" si="4"/>
        <v>18306</v>
      </c>
      <c r="AV21" s="117">
        <f t="shared" si="5"/>
        <v>1409500</v>
      </c>
      <c r="AW21" s="16">
        <f t="shared" si="6"/>
        <v>0</v>
      </c>
      <c r="AX21" s="23">
        <v>1260000</v>
      </c>
      <c r="AY21" s="23" t="str">
        <f t="shared" si="7"/>
        <v>BOI</v>
      </c>
      <c r="AZ21" s="86">
        <v>45388</v>
      </c>
      <c r="BA21" s="13">
        <v>45397</v>
      </c>
      <c r="BB21" s="23">
        <f>19500+130000</f>
        <v>149500</v>
      </c>
      <c r="BC21" s="23">
        <v>0</v>
      </c>
      <c r="BD21" s="22">
        <v>0</v>
      </c>
      <c r="BE21" s="22">
        <v>0</v>
      </c>
      <c r="BF21" s="22">
        <v>0</v>
      </c>
      <c r="BG21" s="22">
        <v>0</v>
      </c>
      <c r="BH21" s="18">
        <f>+AV21-AX21-BB21-BC21-BF21+BG21</f>
        <v>0</v>
      </c>
      <c r="BI21" s="22" t="s">
        <v>109</v>
      </c>
      <c r="BJ21" s="22"/>
      <c r="BK21" s="19"/>
    </row>
    <row r="22" spans="1:63" ht="17.25" x14ac:dyDescent="0.3">
      <c r="A22" s="11">
        <v>45383</v>
      </c>
      <c r="B22" s="12">
        <v>21</v>
      </c>
      <c r="C22" s="12">
        <v>21</v>
      </c>
      <c r="D22" s="13">
        <v>45388</v>
      </c>
      <c r="E22" s="81" t="s">
        <v>205</v>
      </c>
      <c r="F22" s="23">
        <v>9575817173</v>
      </c>
      <c r="G22" s="24">
        <f t="shared" si="9"/>
        <v>45388</v>
      </c>
      <c r="H22" s="21" t="s">
        <v>206</v>
      </c>
      <c r="I22" s="23" t="s">
        <v>112</v>
      </c>
      <c r="J22" s="21" t="s">
        <v>113</v>
      </c>
      <c r="K22" s="21" t="s">
        <v>199</v>
      </c>
      <c r="L22" s="21">
        <v>1404458</v>
      </c>
      <c r="M22" s="21">
        <v>489935</v>
      </c>
      <c r="N22" s="21" t="s">
        <v>67</v>
      </c>
      <c r="O22" s="25">
        <v>1000000</v>
      </c>
      <c r="P22" s="26" t="s">
        <v>68</v>
      </c>
      <c r="Q22" s="26" t="s">
        <v>179</v>
      </c>
      <c r="R22" s="23" t="s">
        <v>67</v>
      </c>
      <c r="S22" s="23" t="s">
        <v>67</v>
      </c>
      <c r="T22" s="23" t="s">
        <v>70</v>
      </c>
      <c r="U22" s="26" t="s">
        <v>100</v>
      </c>
      <c r="V22" s="82">
        <v>1030000</v>
      </c>
      <c r="W22" s="82">
        <v>0</v>
      </c>
      <c r="X22" s="82">
        <v>0</v>
      </c>
      <c r="Y22" s="82" t="s">
        <v>180</v>
      </c>
      <c r="Z22" s="82">
        <v>500</v>
      </c>
      <c r="AA22" s="82">
        <v>59165</v>
      </c>
      <c r="AB22" s="82">
        <v>0</v>
      </c>
      <c r="AC22" s="82">
        <v>0</v>
      </c>
      <c r="AD22" s="82">
        <v>32345</v>
      </c>
      <c r="AE22" s="83">
        <f t="shared" si="0"/>
        <v>1122010</v>
      </c>
      <c r="AF22" s="21">
        <v>0</v>
      </c>
      <c r="AG22" s="21">
        <v>25000</v>
      </c>
      <c r="AH22" s="21">
        <v>25000</v>
      </c>
      <c r="AI22" s="21">
        <v>3000</v>
      </c>
      <c r="AJ22" s="21">
        <v>0</v>
      </c>
      <c r="AK22" s="21">
        <v>10000</v>
      </c>
      <c r="AL22" s="21"/>
      <c r="AM22" s="21">
        <v>28810</v>
      </c>
      <c r="AN22" s="14">
        <f t="shared" si="1"/>
        <v>91810</v>
      </c>
      <c r="AO22" s="84">
        <f t="shared" si="2"/>
        <v>1030200</v>
      </c>
      <c r="AP22" s="21">
        <v>23230</v>
      </c>
      <c r="AQ22" s="85">
        <v>0</v>
      </c>
      <c r="AR22" s="21">
        <f t="shared" si="3"/>
        <v>23230</v>
      </c>
      <c r="AS22" s="22">
        <v>0</v>
      </c>
      <c r="AT22" s="22">
        <v>0</v>
      </c>
      <c r="AU22" s="15">
        <f t="shared" si="4"/>
        <v>91810</v>
      </c>
      <c r="AV22" s="117">
        <f t="shared" si="5"/>
        <v>1053430</v>
      </c>
      <c r="AW22" s="16">
        <f t="shared" si="6"/>
        <v>-30000</v>
      </c>
      <c r="AX22" s="23">
        <v>1030000</v>
      </c>
      <c r="AY22" s="23" t="str">
        <f t="shared" si="7"/>
        <v>MAHINDRA</v>
      </c>
      <c r="AZ22" s="86">
        <v>45388</v>
      </c>
      <c r="BA22" s="13">
        <v>45397</v>
      </c>
      <c r="BB22" s="23">
        <v>0</v>
      </c>
      <c r="BC22" s="23">
        <f>25100</f>
        <v>25100</v>
      </c>
      <c r="BD22" s="22" t="s">
        <v>207</v>
      </c>
      <c r="BE22" s="22" t="s">
        <v>208</v>
      </c>
      <c r="BF22" s="22">
        <v>750000</v>
      </c>
      <c r="BG22" s="22">
        <f>758980+46400</f>
        <v>805380</v>
      </c>
      <c r="BH22" s="18">
        <f>+AV22-AX22-BB22-BC22-BF22+BG22</f>
        <v>53710</v>
      </c>
      <c r="BI22" s="22" t="s">
        <v>209</v>
      </c>
      <c r="BJ22" s="22" t="s">
        <v>210</v>
      </c>
      <c r="BK22" s="19"/>
    </row>
    <row r="23" spans="1:63" ht="17.25" x14ac:dyDescent="0.3">
      <c r="A23" s="11">
        <v>45383</v>
      </c>
      <c r="B23" s="12">
        <v>22</v>
      </c>
      <c r="C23" s="12">
        <v>22</v>
      </c>
      <c r="D23" s="13">
        <v>45388</v>
      </c>
      <c r="E23" s="81" t="s">
        <v>211</v>
      </c>
      <c r="F23" s="23">
        <v>9926930521</v>
      </c>
      <c r="G23" s="24">
        <f t="shared" si="9"/>
        <v>45388</v>
      </c>
      <c r="H23" s="21" t="s">
        <v>212</v>
      </c>
      <c r="I23" s="23" t="s">
        <v>64</v>
      </c>
      <c r="J23" s="21" t="s">
        <v>65</v>
      </c>
      <c r="K23" s="21" t="s">
        <v>213</v>
      </c>
      <c r="L23" s="21">
        <v>1611607</v>
      </c>
      <c r="M23" s="21">
        <v>700436</v>
      </c>
      <c r="N23" s="21" t="s">
        <v>155</v>
      </c>
      <c r="O23" s="25">
        <v>650000</v>
      </c>
      <c r="P23" s="26" t="s">
        <v>81</v>
      </c>
      <c r="Q23" s="26" t="s">
        <v>90</v>
      </c>
      <c r="R23" s="23" t="s">
        <v>214</v>
      </c>
      <c r="S23" s="23" t="s">
        <v>155</v>
      </c>
      <c r="T23" s="23" t="s">
        <v>157</v>
      </c>
      <c r="U23" s="26" t="s">
        <v>215</v>
      </c>
      <c r="V23" s="82">
        <v>665742</v>
      </c>
      <c r="W23" s="82">
        <v>11328</v>
      </c>
      <c r="X23" s="82">
        <v>0</v>
      </c>
      <c r="Y23" s="82" t="s">
        <v>180</v>
      </c>
      <c r="Z23" s="82">
        <v>0</v>
      </c>
      <c r="AA23" s="82">
        <v>33782</v>
      </c>
      <c r="AB23" s="82">
        <v>0</v>
      </c>
      <c r="AC23" s="82">
        <v>0</v>
      </c>
      <c r="AD23" s="82">
        <v>25337</v>
      </c>
      <c r="AE23" s="83">
        <f t="shared" si="0"/>
        <v>736189</v>
      </c>
      <c r="AF23" s="21">
        <v>10000</v>
      </c>
      <c r="AG23" s="21">
        <v>20000</v>
      </c>
      <c r="AH23" s="21">
        <v>0</v>
      </c>
      <c r="AI23" s="21">
        <v>1</v>
      </c>
      <c r="AJ23" s="21">
        <v>0</v>
      </c>
      <c r="AK23" s="21">
        <v>0</v>
      </c>
      <c r="AL23" s="21"/>
      <c r="AM23" s="21">
        <v>23388</v>
      </c>
      <c r="AN23" s="14">
        <f t="shared" si="1"/>
        <v>53389</v>
      </c>
      <c r="AO23" s="84">
        <f t="shared" si="2"/>
        <v>682800</v>
      </c>
      <c r="AP23" s="21">
        <v>17300</v>
      </c>
      <c r="AQ23" s="85">
        <v>100</v>
      </c>
      <c r="AR23" s="21">
        <f t="shared" si="3"/>
        <v>17200</v>
      </c>
      <c r="AS23" s="22">
        <v>0</v>
      </c>
      <c r="AT23" s="22">
        <v>0</v>
      </c>
      <c r="AU23" s="15">
        <f t="shared" si="4"/>
        <v>53489</v>
      </c>
      <c r="AV23" s="117">
        <f t="shared" si="5"/>
        <v>700000</v>
      </c>
      <c r="AW23" s="16">
        <f t="shared" si="6"/>
        <v>0</v>
      </c>
      <c r="AX23" s="23">
        <v>650000</v>
      </c>
      <c r="AY23" s="23" t="str">
        <f t="shared" si="7"/>
        <v>MPGB</v>
      </c>
      <c r="AZ23" s="86">
        <v>45388</v>
      </c>
      <c r="BA23" s="13">
        <v>45388</v>
      </c>
      <c r="BB23" s="23">
        <v>0</v>
      </c>
      <c r="BC23" s="23">
        <f>2000+48000</f>
        <v>50000</v>
      </c>
      <c r="BD23" s="22">
        <v>0</v>
      </c>
      <c r="BE23" s="22">
        <v>0</v>
      </c>
      <c r="BF23" s="22">
        <v>0</v>
      </c>
      <c r="BG23" s="22">
        <v>0</v>
      </c>
      <c r="BH23" s="18">
        <f>+AV23-AX23-BB23-BC23-BF23+BG23</f>
        <v>0</v>
      </c>
      <c r="BI23" s="22" t="s">
        <v>109</v>
      </c>
      <c r="BJ23" s="22"/>
      <c r="BK23" s="19"/>
    </row>
    <row r="24" spans="1:63" ht="17.25" x14ac:dyDescent="0.3">
      <c r="A24" s="11">
        <v>45383</v>
      </c>
      <c r="B24" s="12">
        <v>23</v>
      </c>
      <c r="C24" s="12">
        <v>23</v>
      </c>
      <c r="D24" s="13">
        <v>45388</v>
      </c>
      <c r="E24" s="81" t="s">
        <v>216</v>
      </c>
      <c r="F24" s="23">
        <v>9685405014</v>
      </c>
      <c r="G24" s="24">
        <f t="shared" si="9"/>
        <v>45388</v>
      </c>
      <c r="H24" s="21" t="s">
        <v>217</v>
      </c>
      <c r="I24" s="23" t="s">
        <v>162</v>
      </c>
      <c r="J24" s="21" t="s">
        <v>135</v>
      </c>
      <c r="K24" s="21" t="s">
        <v>66</v>
      </c>
      <c r="L24" s="21">
        <v>9458403</v>
      </c>
      <c r="M24" s="21">
        <v>372230</v>
      </c>
      <c r="N24" s="21" t="s">
        <v>80</v>
      </c>
      <c r="O24" s="25">
        <v>710000</v>
      </c>
      <c r="P24" s="26" t="s">
        <v>68</v>
      </c>
      <c r="Q24" s="26" t="s">
        <v>69</v>
      </c>
      <c r="R24" s="23" t="s">
        <v>83</v>
      </c>
      <c r="S24" s="23" t="s">
        <v>80</v>
      </c>
      <c r="T24" s="23" t="s">
        <v>84</v>
      </c>
      <c r="U24" s="26" t="s">
        <v>85</v>
      </c>
      <c r="V24" s="82">
        <v>1256000</v>
      </c>
      <c r="W24" s="82">
        <v>21346</v>
      </c>
      <c r="X24" s="82">
        <v>8118</v>
      </c>
      <c r="Y24" s="82">
        <v>885</v>
      </c>
      <c r="Z24" s="82">
        <v>0</v>
      </c>
      <c r="AA24" s="82">
        <v>66415</v>
      </c>
      <c r="AB24" s="82">
        <v>0</v>
      </c>
      <c r="AC24" s="82">
        <v>12511</v>
      </c>
      <c r="AD24" s="82">
        <v>39952</v>
      </c>
      <c r="AE24" s="83">
        <f t="shared" si="0"/>
        <v>1405227</v>
      </c>
      <c r="AF24" s="21">
        <v>0</v>
      </c>
      <c r="AG24" s="21">
        <v>0</v>
      </c>
      <c r="AH24" s="21">
        <v>0</v>
      </c>
      <c r="AI24" s="21">
        <v>1</v>
      </c>
      <c r="AJ24" s="21">
        <v>0</v>
      </c>
      <c r="AK24" s="21">
        <v>0</v>
      </c>
      <c r="AL24" s="21"/>
      <c r="AM24" s="21">
        <v>4875</v>
      </c>
      <c r="AN24" s="14">
        <f t="shared" si="1"/>
        <v>4876</v>
      </c>
      <c r="AO24" s="84">
        <f t="shared" si="2"/>
        <v>1400351</v>
      </c>
      <c r="AP24" s="21">
        <v>33000</v>
      </c>
      <c r="AQ24" s="85">
        <v>351</v>
      </c>
      <c r="AR24" s="21">
        <f t="shared" si="3"/>
        <v>32649</v>
      </c>
      <c r="AS24" s="22">
        <v>0</v>
      </c>
      <c r="AT24" s="22">
        <v>0</v>
      </c>
      <c r="AU24" s="15">
        <f t="shared" si="4"/>
        <v>5227</v>
      </c>
      <c r="AV24" s="117">
        <f t="shared" si="5"/>
        <v>1433000</v>
      </c>
      <c r="AW24" s="16">
        <f t="shared" si="6"/>
        <v>0</v>
      </c>
      <c r="AX24" s="23">
        <v>710000</v>
      </c>
      <c r="AY24" s="23" t="str">
        <f t="shared" si="7"/>
        <v>SUNDARAM</v>
      </c>
      <c r="AZ24" s="86">
        <v>45388</v>
      </c>
      <c r="BA24" s="13">
        <v>45394</v>
      </c>
      <c r="BB24" s="23">
        <v>0</v>
      </c>
      <c r="BC24" s="23">
        <f>230000+33000</f>
        <v>263000</v>
      </c>
      <c r="BD24" s="22">
        <v>0</v>
      </c>
      <c r="BE24" s="22">
        <v>0</v>
      </c>
      <c r="BF24" s="22">
        <v>460000</v>
      </c>
      <c r="BG24" s="22">
        <v>0</v>
      </c>
      <c r="BH24" s="18">
        <f>+AV24-AX24-BB24-BC24-BF24+BG24</f>
        <v>0</v>
      </c>
      <c r="BI24" s="22" t="s">
        <v>109</v>
      </c>
      <c r="BJ24" s="22"/>
      <c r="BK24" s="19"/>
    </row>
    <row r="25" spans="1:63" ht="17.25" x14ac:dyDescent="0.3">
      <c r="A25" s="11">
        <v>45383</v>
      </c>
      <c r="B25" s="12">
        <v>24</v>
      </c>
      <c r="C25" s="12">
        <v>24</v>
      </c>
      <c r="D25" s="13">
        <v>45388</v>
      </c>
      <c r="E25" s="81" t="s">
        <v>218</v>
      </c>
      <c r="F25" s="23">
        <v>9752003339</v>
      </c>
      <c r="G25" s="24">
        <f t="shared" si="9"/>
        <v>45388</v>
      </c>
      <c r="H25" s="21" t="s">
        <v>219</v>
      </c>
      <c r="I25" s="23" t="s">
        <v>64</v>
      </c>
      <c r="J25" s="21" t="s">
        <v>65</v>
      </c>
      <c r="K25" s="21" t="s">
        <v>97</v>
      </c>
      <c r="L25" s="21">
        <v>443777</v>
      </c>
      <c r="M25" s="21">
        <v>712959</v>
      </c>
      <c r="N25" s="21" t="s">
        <v>80</v>
      </c>
      <c r="O25" s="25">
        <v>200000</v>
      </c>
      <c r="P25" s="26" t="s">
        <v>68</v>
      </c>
      <c r="Q25" s="26" t="s">
        <v>69</v>
      </c>
      <c r="R25" s="23" t="s">
        <v>80</v>
      </c>
      <c r="S25" s="23" t="s">
        <v>80</v>
      </c>
      <c r="T25" s="23" t="s">
        <v>84</v>
      </c>
      <c r="U25" s="26" t="s">
        <v>170</v>
      </c>
      <c r="V25" s="82">
        <v>665742</v>
      </c>
      <c r="W25" s="82">
        <v>11328</v>
      </c>
      <c r="X25" s="82">
        <v>4307</v>
      </c>
      <c r="Y25" s="82">
        <v>885</v>
      </c>
      <c r="Z25" s="82">
        <v>0</v>
      </c>
      <c r="AA25" s="82">
        <v>33782</v>
      </c>
      <c r="AB25" s="82">
        <v>0</v>
      </c>
      <c r="AC25" s="82">
        <v>0</v>
      </c>
      <c r="AD25" s="82">
        <v>25337</v>
      </c>
      <c r="AE25" s="83">
        <f t="shared" si="0"/>
        <v>741381</v>
      </c>
      <c r="AF25" s="21">
        <v>10000</v>
      </c>
      <c r="AG25" s="21">
        <v>20000</v>
      </c>
      <c r="AH25" s="21">
        <v>0</v>
      </c>
      <c r="AI25" s="21">
        <v>1</v>
      </c>
      <c r="AJ25" s="21">
        <v>0</v>
      </c>
      <c r="AK25" s="21">
        <v>0</v>
      </c>
      <c r="AL25" s="21"/>
      <c r="AM25" s="21">
        <v>12780</v>
      </c>
      <c r="AN25" s="14">
        <f t="shared" si="1"/>
        <v>42781</v>
      </c>
      <c r="AO25" s="84">
        <f t="shared" si="2"/>
        <v>698600</v>
      </c>
      <c r="AP25" s="21">
        <v>19000</v>
      </c>
      <c r="AQ25" s="85">
        <v>200</v>
      </c>
      <c r="AR25" s="21">
        <f t="shared" si="3"/>
        <v>18800</v>
      </c>
      <c r="AS25" s="22">
        <v>0</v>
      </c>
      <c r="AT25" s="22">
        <v>0</v>
      </c>
      <c r="AU25" s="15">
        <f t="shared" si="4"/>
        <v>42981</v>
      </c>
      <c r="AV25" s="117">
        <f t="shared" si="5"/>
        <v>717400</v>
      </c>
      <c r="AW25" s="16">
        <f t="shared" si="6"/>
        <v>0</v>
      </c>
      <c r="AX25" s="23">
        <v>200000</v>
      </c>
      <c r="AY25" s="23" t="str">
        <f t="shared" si="7"/>
        <v>SUNDARAM</v>
      </c>
      <c r="AZ25" s="86">
        <v>45388</v>
      </c>
      <c r="BA25" s="13">
        <v>45394</v>
      </c>
      <c r="BB25" s="23">
        <f>5100+7400</f>
        <v>12500</v>
      </c>
      <c r="BC25" s="23">
        <f>50000+300000+144900+2000+8000</f>
        <v>504900</v>
      </c>
      <c r="BD25" s="22">
        <v>0</v>
      </c>
      <c r="BE25" s="22">
        <v>0</v>
      </c>
      <c r="BF25" s="22">
        <v>0</v>
      </c>
      <c r="BG25" s="22">
        <v>0</v>
      </c>
      <c r="BH25" s="18">
        <f>+AV25-AX25-BB25-BC25-BF25+BG25</f>
        <v>0</v>
      </c>
      <c r="BI25" s="22" t="s">
        <v>220</v>
      </c>
      <c r="BJ25" s="22" t="s">
        <v>221</v>
      </c>
      <c r="BK25" s="19"/>
    </row>
    <row r="26" spans="1:63" ht="17.25" x14ac:dyDescent="0.3">
      <c r="A26" s="11">
        <v>45383</v>
      </c>
      <c r="B26" s="12">
        <v>25</v>
      </c>
      <c r="C26" s="12">
        <v>25</v>
      </c>
      <c r="D26" s="13">
        <v>45389</v>
      </c>
      <c r="E26" s="81" t="s">
        <v>222</v>
      </c>
      <c r="F26" s="23">
        <v>9893326827</v>
      </c>
      <c r="G26" s="24">
        <f t="shared" si="9"/>
        <v>45389</v>
      </c>
      <c r="H26" s="21" t="s">
        <v>223</v>
      </c>
      <c r="I26" s="23" t="s">
        <v>78</v>
      </c>
      <c r="J26" s="21" t="s">
        <v>79</v>
      </c>
      <c r="K26" s="21" t="s">
        <v>66</v>
      </c>
      <c r="L26" s="21">
        <v>7473873</v>
      </c>
      <c r="M26" s="21">
        <v>245199</v>
      </c>
      <c r="N26" s="21" t="s">
        <v>67</v>
      </c>
      <c r="O26" s="25">
        <v>841000</v>
      </c>
      <c r="P26" s="26" t="s">
        <v>81</v>
      </c>
      <c r="Q26" s="26" t="s">
        <v>185</v>
      </c>
      <c r="R26" s="23" t="s">
        <v>186</v>
      </c>
      <c r="S26" s="23" t="s">
        <v>67</v>
      </c>
      <c r="T26" s="23" t="s">
        <v>115</v>
      </c>
      <c r="U26" s="26" t="s">
        <v>224</v>
      </c>
      <c r="V26" s="82">
        <v>846242</v>
      </c>
      <c r="W26" s="82">
        <v>14384</v>
      </c>
      <c r="X26" s="82">
        <v>5475</v>
      </c>
      <c r="Y26" s="82">
        <v>885</v>
      </c>
      <c r="Z26" s="82">
        <v>500</v>
      </c>
      <c r="AA26" s="82">
        <v>41002</v>
      </c>
      <c r="AB26" s="82">
        <v>0</v>
      </c>
      <c r="AC26" s="82">
        <v>0</v>
      </c>
      <c r="AD26" s="82">
        <v>27721</v>
      </c>
      <c r="AE26" s="83">
        <f t="shared" si="0"/>
        <v>936209</v>
      </c>
      <c r="AF26" s="21">
        <v>0</v>
      </c>
      <c r="AG26" s="21">
        <v>0</v>
      </c>
      <c r="AH26" s="21">
        <v>0</v>
      </c>
      <c r="AI26" s="21">
        <v>1</v>
      </c>
      <c r="AJ26" s="21">
        <v>0</v>
      </c>
      <c r="AK26" s="21">
        <v>0</v>
      </c>
      <c r="AL26" s="21"/>
      <c r="AM26" s="21">
        <v>8208</v>
      </c>
      <c r="AN26" s="14">
        <f t="shared" si="1"/>
        <v>8209</v>
      </c>
      <c r="AO26" s="84">
        <f t="shared" si="2"/>
        <v>928000</v>
      </c>
      <c r="AP26" s="21">
        <v>0</v>
      </c>
      <c r="AQ26" s="85">
        <v>0</v>
      </c>
      <c r="AR26" s="21">
        <f t="shared" si="3"/>
        <v>0</v>
      </c>
      <c r="AS26" s="22">
        <v>0</v>
      </c>
      <c r="AT26" s="22">
        <v>0</v>
      </c>
      <c r="AU26" s="15">
        <f t="shared" si="4"/>
        <v>8209</v>
      </c>
      <c r="AV26" s="117">
        <f t="shared" si="5"/>
        <v>928000</v>
      </c>
      <c r="AW26" s="16">
        <f t="shared" si="6"/>
        <v>9424</v>
      </c>
      <c r="AX26" s="23">
        <v>831576</v>
      </c>
      <c r="AY26" s="23" t="str">
        <f t="shared" si="7"/>
        <v>HDFC</v>
      </c>
      <c r="AZ26" s="86">
        <v>45388</v>
      </c>
      <c r="BA26" s="13">
        <v>45399</v>
      </c>
      <c r="BB26" s="23">
        <v>0</v>
      </c>
      <c r="BC26" s="23">
        <f>31200+5100</f>
        <v>36300</v>
      </c>
      <c r="BD26" s="22">
        <v>0</v>
      </c>
      <c r="BE26" s="22">
        <v>0</v>
      </c>
      <c r="BF26" s="22">
        <v>0</v>
      </c>
      <c r="BG26" s="22">
        <v>0</v>
      </c>
      <c r="BH26" s="18">
        <f>+AV26-AX26-BB26-BC26-BF26+BG26</f>
        <v>60124</v>
      </c>
      <c r="BI26" s="22" t="s">
        <v>109</v>
      </c>
      <c r="BJ26" s="22"/>
      <c r="BK26" s="19"/>
    </row>
    <row r="27" spans="1:63" ht="17.25" x14ac:dyDescent="0.3">
      <c r="A27" s="11">
        <v>45383</v>
      </c>
      <c r="B27" s="12">
        <v>26</v>
      </c>
      <c r="C27" s="12">
        <v>26</v>
      </c>
      <c r="D27" s="13">
        <v>45389</v>
      </c>
      <c r="E27" s="81" t="s">
        <v>225</v>
      </c>
      <c r="F27" s="23">
        <v>9425087331</v>
      </c>
      <c r="G27" s="24">
        <f t="shared" si="9"/>
        <v>45389</v>
      </c>
      <c r="H27" s="21" t="s">
        <v>226</v>
      </c>
      <c r="I27" s="23" t="s">
        <v>121</v>
      </c>
      <c r="J27" s="21" t="s">
        <v>89</v>
      </c>
      <c r="K27" s="21" t="s">
        <v>66</v>
      </c>
      <c r="L27" s="21">
        <v>7372843</v>
      </c>
      <c r="M27" s="21">
        <v>117440</v>
      </c>
      <c r="N27" s="21" t="s">
        <v>99</v>
      </c>
      <c r="O27" s="25">
        <v>1170000</v>
      </c>
      <c r="P27" s="26" t="s">
        <v>68</v>
      </c>
      <c r="Q27" s="26" t="s">
        <v>69</v>
      </c>
      <c r="R27" s="23" t="s">
        <v>83</v>
      </c>
      <c r="S27" s="23" t="s">
        <v>83</v>
      </c>
      <c r="T27" s="23" t="s">
        <v>165</v>
      </c>
      <c r="U27" s="26" t="s">
        <v>227</v>
      </c>
      <c r="V27" s="82">
        <v>1314601</v>
      </c>
      <c r="W27" s="82">
        <v>22349</v>
      </c>
      <c r="X27" s="82">
        <v>8496</v>
      </c>
      <c r="Y27" s="82" t="s">
        <v>180</v>
      </c>
      <c r="Z27" s="82">
        <v>500</v>
      </c>
      <c r="AA27" s="82">
        <v>72895</v>
      </c>
      <c r="AB27" s="82">
        <v>0</v>
      </c>
      <c r="AC27" s="82">
        <v>13115</v>
      </c>
      <c r="AD27" s="82">
        <v>35538</v>
      </c>
      <c r="AE27" s="83">
        <f t="shared" si="0"/>
        <v>1467494</v>
      </c>
      <c r="AF27" s="21">
        <v>0</v>
      </c>
      <c r="AG27" s="21">
        <v>0</v>
      </c>
      <c r="AH27" s="21">
        <v>0</v>
      </c>
      <c r="AI27" s="21">
        <v>0</v>
      </c>
      <c r="AJ27" s="21">
        <v>3100</v>
      </c>
      <c r="AK27" s="21">
        <v>0</v>
      </c>
      <c r="AL27" s="21"/>
      <c r="AM27" s="21">
        <v>0</v>
      </c>
      <c r="AN27" s="14">
        <f t="shared" si="1"/>
        <v>3100</v>
      </c>
      <c r="AO27" s="84">
        <f t="shared" si="2"/>
        <v>1464394</v>
      </c>
      <c r="AP27" s="21">
        <v>0</v>
      </c>
      <c r="AQ27" s="85">
        <v>0</v>
      </c>
      <c r="AR27" s="21">
        <f t="shared" si="3"/>
        <v>0</v>
      </c>
      <c r="AS27" s="22">
        <v>0</v>
      </c>
      <c r="AT27" s="22">
        <v>0</v>
      </c>
      <c r="AU27" s="15">
        <f t="shared" si="4"/>
        <v>3100</v>
      </c>
      <c r="AV27" s="117">
        <f t="shared" si="5"/>
        <v>1464394</v>
      </c>
      <c r="AW27" s="16">
        <f t="shared" si="6"/>
        <v>0</v>
      </c>
      <c r="AX27" s="23">
        <v>1170000</v>
      </c>
      <c r="AY27" s="23" t="str">
        <f t="shared" si="7"/>
        <v>SUNDARAM</v>
      </c>
      <c r="AZ27" s="86">
        <v>45389</v>
      </c>
      <c r="BA27" s="13">
        <v>45394</v>
      </c>
      <c r="BB27" s="23">
        <v>0</v>
      </c>
      <c r="BC27" s="23">
        <f>5100+15000</f>
        <v>20100</v>
      </c>
      <c r="BD27" s="22" t="s">
        <v>228</v>
      </c>
      <c r="BE27" s="22" t="s">
        <v>229</v>
      </c>
      <c r="BF27" s="22">
        <v>525000</v>
      </c>
      <c r="BG27" s="22">
        <v>0</v>
      </c>
      <c r="BH27" s="18">
        <f>+AV27-AX27-BB27-BC27-BF27+BG27</f>
        <v>-250706</v>
      </c>
      <c r="BI27" s="22" t="s">
        <v>230</v>
      </c>
      <c r="BJ27" s="22"/>
      <c r="BK27" s="19"/>
    </row>
    <row r="28" spans="1:63" ht="17.25" x14ac:dyDescent="0.3">
      <c r="A28" s="11">
        <v>45383</v>
      </c>
      <c r="B28" s="12">
        <v>27</v>
      </c>
      <c r="C28" s="12">
        <v>27</v>
      </c>
      <c r="D28" s="13">
        <v>45389</v>
      </c>
      <c r="E28" s="81" t="s">
        <v>231</v>
      </c>
      <c r="F28" s="23">
        <v>9575037799</v>
      </c>
      <c r="G28" s="24">
        <f t="shared" si="9"/>
        <v>45389</v>
      </c>
      <c r="H28" s="21" t="s">
        <v>232</v>
      </c>
      <c r="I28" s="23" t="s">
        <v>121</v>
      </c>
      <c r="J28" s="21" t="s">
        <v>113</v>
      </c>
      <c r="K28" s="21" t="s">
        <v>66</v>
      </c>
      <c r="L28" s="21">
        <v>7351697</v>
      </c>
      <c r="M28" s="21">
        <v>215881</v>
      </c>
      <c r="N28" s="21" t="s">
        <v>67</v>
      </c>
      <c r="O28" s="25">
        <v>1000000</v>
      </c>
      <c r="P28" s="26" t="s">
        <v>68</v>
      </c>
      <c r="Q28" s="26" t="s">
        <v>191</v>
      </c>
      <c r="R28" s="23" t="s">
        <v>233</v>
      </c>
      <c r="S28" s="23" t="s">
        <v>233</v>
      </c>
      <c r="T28" s="23" t="s">
        <v>70</v>
      </c>
      <c r="U28" s="26" t="s">
        <v>234</v>
      </c>
      <c r="V28" s="82">
        <v>1400601</v>
      </c>
      <c r="W28" s="82">
        <v>23812</v>
      </c>
      <c r="X28" s="82">
        <v>9051</v>
      </c>
      <c r="Y28" s="82">
        <v>885</v>
      </c>
      <c r="Z28" s="82">
        <v>500</v>
      </c>
      <c r="AA28" s="82">
        <v>77195</v>
      </c>
      <c r="AB28" s="82">
        <v>0</v>
      </c>
      <c r="AC28" s="82">
        <v>13716</v>
      </c>
      <c r="AD28" s="82">
        <v>36178</v>
      </c>
      <c r="AE28" s="83">
        <f t="shared" si="0"/>
        <v>1561938</v>
      </c>
      <c r="AF28" s="21">
        <v>0</v>
      </c>
      <c r="AG28" s="21">
        <v>25000</v>
      </c>
      <c r="AH28" s="21">
        <v>0</v>
      </c>
      <c r="AI28" s="21">
        <v>4000</v>
      </c>
      <c r="AJ28" s="21" t="s">
        <v>235</v>
      </c>
      <c r="AK28" s="21">
        <v>0</v>
      </c>
      <c r="AL28" s="21"/>
      <c r="AM28" s="21">
        <v>0</v>
      </c>
      <c r="AN28" s="14">
        <f t="shared" si="1"/>
        <v>29000</v>
      </c>
      <c r="AO28" s="84">
        <f t="shared" si="2"/>
        <v>1532938</v>
      </c>
      <c r="AP28" s="21">
        <v>0</v>
      </c>
      <c r="AQ28" s="85">
        <v>0</v>
      </c>
      <c r="AR28" s="21">
        <f t="shared" si="3"/>
        <v>0</v>
      </c>
      <c r="AS28" s="22">
        <v>0</v>
      </c>
      <c r="AT28" s="22">
        <v>0</v>
      </c>
      <c r="AU28" s="15">
        <f t="shared" si="4"/>
        <v>29000</v>
      </c>
      <c r="AV28" s="117">
        <f t="shared" si="5"/>
        <v>1532938</v>
      </c>
      <c r="AW28" s="16">
        <f t="shared" si="6"/>
        <v>0</v>
      </c>
      <c r="AX28" s="23">
        <v>1000000</v>
      </c>
      <c r="AY28" s="23" t="str">
        <f t="shared" si="7"/>
        <v>SBI</v>
      </c>
      <c r="AZ28" s="86">
        <v>45388</v>
      </c>
      <c r="BA28" s="13">
        <v>45391</v>
      </c>
      <c r="BB28" s="23">
        <f>195000</f>
        <v>195000</v>
      </c>
      <c r="BC28" s="23">
        <f>11000+99000+50000+25000+155000</f>
        <v>340000</v>
      </c>
      <c r="BD28" s="22">
        <v>0</v>
      </c>
      <c r="BE28" s="22">
        <v>0</v>
      </c>
      <c r="BF28" s="22">
        <v>0</v>
      </c>
      <c r="BG28" s="22">
        <v>0</v>
      </c>
      <c r="BH28" s="18">
        <f>+AV28-AX28-BB28-BC28-BF28+BG28</f>
        <v>-2062</v>
      </c>
      <c r="BI28" s="22" t="s">
        <v>236</v>
      </c>
      <c r="BJ28" s="22"/>
      <c r="BK28" s="19"/>
    </row>
    <row r="29" spans="1:63" ht="17.25" x14ac:dyDescent="0.3">
      <c r="A29" s="11">
        <v>45383</v>
      </c>
      <c r="B29" s="12">
        <v>28</v>
      </c>
      <c r="C29" s="12">
        <v>28</v>
      </c>
      <c r="D29" s="13">
        <v>45389</v>
      </c>
      <c r="E29" s="81" t="s">
        <v>237</v>
      </c>
      <c r="F29" s="23">
        <v>7722898967</v>
      </c>
      <c r="G29" s="24">
        <v>45391</v>
      </c>
      <c r="H29" s="21" t="s">
        <v>238</v>
      </c>
      <c r="I29" s="23" t="s">
        <v>64</v>
      </c>
      <c r="J29" s="21" t="s">
        <v>89</v>
      </c>
      <c r="K29" s="21" t="s">
        <v>97</v>
      </c>
      <c r="L29" s="21">
        <v>1609917</v>
      </c>
      <c r="M29" s="21">
        <v>697340</v>
      </c>
      <c r="N29" s="21" t="s">
        <v>99</v>
      </c>
      <c r="O29" s="25">
        <v>650000</v>
      </c>
      <c r="P29" s="26" t="s">
        <v>68</v>
      </c>
      <c r="Q29" s="26" t="s">
        <v>90</v>
      </c>
      <c r="R29" s="23" t="s">
        <v>99</v>
      </c>
      <c r="S29" s="23" t="s">
        <v>80</v>
      </c>
      <c r="T29" s="23" t="s">
        <v>165</v>
      </c>
      <c r="U29" s="26" t="s">
        <v>165</v>
      </c>
      <c r="V29" s="82">
        <v>749742</v>
      </c>
      <c r="W29" s="82">
        <v>0</v>
      </c>
      <c r="X29" s="82">
        <v>0</v>
      </c>
      <c r="Y29" s="82">
        <v>885</v>
      </c>
      <c r="Z29" s="82">
        <v>0</v>
      </c>
      <c r="AA29" s="82">
        <v>35090</v>
      </c>
      <c r="AB29" s="82">
        <v>0</v>
      </c>
      <c r="AC29" s="82">
        <v>0</v>
      </c>
      <c r="AD29" s="82">
        <v>26688</v>
      </c>
      <c r="AE29" s="83">
        <f t="shared" si="0"/>
        <v>812405</v>
      </c>
      <c r="AF29" s="21">
        <v>10000</v>
      </c>
      <c r="AG29" s="21">
        <v>20000</v>
      </c>
      <c r="AH29" s="21">
        <v>0</v>
      </c>
      <c r="AI29" s="21">
        <v>1</v>
      </c>
      <c r="AJ29" s="21">
        <v>0</v>
      </c>
      <c r="AK29" s="21">
        <v>0</v>
      </c>
      <c r="AL29" s="21"/>
      <c r="AM29" s="21">
        <v>12104</v>
      </c>
      <c r="AN29" s="14">
        <f t="shared" si="1"/>
        <v>42105</v>
      </c>
      <c r="AO29" s="84">
        <f t="shared" si="2"/>
        <v>770300</v>
      </c>
      <c r="AP29" s="21">
        <v>35000</v>
      </c>
      <c r="AQ29" s="85">
        <v>300</v>
      </c>
      <c r="AR29" s="21">
        <f t="shared" si="3"/>
        <v>34700</v>
      </c>
      <c r="AS29" s="22">
        <v>0</v>
      </c>
      <c r="AT29" s="22">
        <v>0</v>
      </c>
      <c r="AU29" s="15">
        <f t="shared" si="4"/>
        <v>42405</v>
      </c>
      <c r="AV29" s="117">
        <f t="shared" si="5"/>
        <v>805000</v>
      </c>
      <c r="AW29" s="16">
        <f t="shared" si="6"/>
        <v>0</v>
      </c>
      <c r="AX29" s="23">
        <v>650000</v>
      </c>
      <c r="AY29" s="23" t="str">
        <f t="shared" si="7"/>
        <v>MPGB</v>
      </c>
      <c r="AZ29" s="86">
        <v>45388</v>
      </c>
      <c r="BA29" s="86">
        <v>45388</v>
      </c>
      <c r="BB29" s="23">
        <v>44000</v>
      </c>
      <c r="BC29" s="23">
        <f>75000</f>
        <v>75000</v>
      </c>
      <c r="BD29" s="22">
        <v>0</v>
      </c>
      <c r="BE29" s="22">
        <v>0</v>
      </c>
      <c r="BF29" s="22">
        <v>0</v>
      </c>
      <c r="BG29" s="22">
        <v>0</v>
      </c>
      <c r="BH29" s="18">
        <f>+AV29-AX29-BB29-BC29-BF29+BG29</f>
        <v>36000</v>
      </c>
      <c r="BI29" s="22" t="s">
        <v>239</v>
      </c>
      <c r="BJ29" s="22"/>
      <c r="BK29" s="19"/>
    </row>
    <row r="30" spans="1:63" ht="17.25" x14ac:dyDescent="0.3">
      <c r="A30" s="11">
        <v>45383</v>
      </c>
      <c r="B30" s="12">
        <v>29</v>
      </c>
      <c r="C30" s="12">
        <v>29</v>
      </c>
      <c r="D30" s="13">
        <v>45389</v>
      </c>
      <c r="E30" s="81" t="s">
        <v>240</v>
      </c>
      <c r="F30" s="23">
        <v>911118264</v>
      </c>
      <c r="G30" s="24">
        <f t="shared" ref="G30:G62" si="10">D30</f>
        <v>45389</v>
      </c>
      <c r="H30" s="21" t="s">
        <v>241</v>
      </c>
      <c r="I30" s="23" t="s">
        <v>78</v>
      </c>
      <c r="J30" s="21" t="s">
        <v>104</v>
      </c>
      <c r="K30" s="21" t="s">
        <v>66</v>
      </c>
      <c r="L30" s="21">
        <v>7479764</v>
      </c>
      <c r="M30" s="21">
        <v>249086</v>
      </c>
      <c r="N30" s="21" t="s">
        <v>67</v>
      </c>
      <c r="O30" s="25">
        <v>885000</v>
      </c>
      <c r="P30" s="26" t="s">
        <v>68</v>
      </c>
      <c r="Q30" s="26" t="s">
        <v>69</v>
      </c>
      <c r="R30" s="23" t="s">
        <v>242</v>
      </c>
      <c r="S30" s="23" t="s">
        <v>164</v>
      </c>
      <c r="T30" s="23" t="s">
        <v>115</v>
      </c>
      <c r="U30" s="26" t="s">
        <v>243</v>
      </c>
      <c r="V30" s="82">
        <v>932242</v>
      </c>
      <c r="W30" s="82">
        <v>15847</v>
      </c>
      <c r="X30" s="82">
        <v>0</v>
      </c>
      <c r="Y30" s="82">
        <v>885</v>
      </c>
      <c r="Z30" s="82">
        <v>500</v>
      </c>
      <c r="AA30" s="82">
        <v>44442</v>
      </c>
      <c r="AB30" s="82">
        <v>0</v>
      </c>
      <c r="AC30" s="82">
        <v>0</v>
      </c>
      <c r="AD30" s="82">
        <v>31448</v>
      </c>
      <c r="AE30" s="83">
        <f t="shared" si="0"/>
        <v>1025364</v>
      </c>
      <c r="AF30" s="21">
        <v>0</v>
      </c>
      <c r="AG30" s="21">
        <v>0</v>
      </c>
      <c r="AH30" s="21">
        <v>0</v>
      </c>
      <c r="AI30" s="21">
        <v>1</v>
      </c>
      <c r="AJ30" s="21">
        <v>0</v>
      </c>
      <c r="AK30" s="21">
        <v>0</v>
      </c>
      <c r="AL30" s="21"/>
      <c r="AM30" s="21">
        <v>4363</v>
      </c>
      <c r="AN30" s="14">
        <f t="shared" si="1"/>
        <v>4364</v>
      </c>
      <c r="AO30" s="84">
        <f t="shared" si="2"/>
        <v>1021000</v>
      </c>
      <c r="AP30" s="21">
        <v>0</v>
      </c>
      <c r="AQ30" s="85">
        <v>0</v>
      </c>
      <c r="AR30" s="21">
        <f t="shared" si="3"/>
        <v>0</v>
      </c>
      <c r="AS30" s="22">
        <v>0</v>
      </c>
      <c r="AT30" s="22">
        <v>0</v>
      </c>
      <c r="AU30" s="15">
        <f t="shared" si="4"/>
        <v>4364</v>
      </c>
      <c r="AV30" s="117">
        <f t="shared" si="5"/>
        <v>1021000</v>
      </c>
      <c r="AW30" s="16">
        <f t="shared" si="6"/>
        <v>0</v>
      </c>
      <c r="AX30" s="23">
        <v>885000</v>
      </c>
      <c r="AY30" s="23" t="str">
        <f t="shared" si="7"/>
        <v>SUNDARAM</v>
      </c>
      <c r="AZ30" s="86">
        <v>45388</v>
      </c>
      <c r="BA30" s="13">
        <v>45393</v>
      </c>
      <c r="BB30" s="23">
        <v>0</v>
      </c>
      <c r="BC30" s="23">
        <f>11000+25000+50000+50000</f>
        <v>136000</v>
      </c>
      <c r="BD30" s="22">
        <v>0</v>
      </c>
      <c r="BE30" s="22">
        <v>0</v>
      </c>
      <c r="BF30" s="22">
        <v>0</v>
      </c>
      <c r="BG30" s="22">
        <v>0</v>
      </c>
      <c r="BH30" s="18">
        <f>+AV30-AX30-BB30-BC30-BF30+BG30</f>
        <v>0</v>
      </c>
      <c r="BI30" s="22" t="s">
        <v>109</v>
      </c>
      <c r="BJ30" s="22"/>
      <c r="BK30" s="19"/>
    </row>
    <row r="31" spans="1:63" ht="17.25" x14ac:dyDescent="0.3">
      <c r="A31" s="11">
        <v>45383</v>
      </c>
      <c r="B31" s="12">
        <v>30</v>
      </c>
      <c r="C31" s="12">
        <v>30</v>
      </c>
      <c r="D31" s="13">
        <v>45389</v>
      </c>
      <c r="E31" s="81" t="s">
        <v>244</v>
      </c>
      <c r="F31" s="23">
        <v>9907233200</v>
      </c>
      <c r="G31" s="24">
        <f t="shared" si="10"/>
        <v>45389</v>
      </c>
      <c r="H31" s="21" t="s">
        <v>245</v>
      </c>
      <c r="I31" s="23" t="s">
        <v>162</v>
      </c>
      <c r="J31" s="21" t="s">
        <v>113</v>
      </c>
      <c r="K31" s="21" t="s">
        <v>66</v>
      </c>
      <c r="L31" s="21">
        <v>7378594</v>
      </c>
      <c r="M31" s="21">
        <v>371126</v>
      </c>
      <c r="N31" s="21" t="s">
        <v>106</v>
      </c>
      <c r="O31" s="25">
        <v>700000</v>
      </c>
      <c r="P31" s="26" t="s">
        <v>68</v>
      </c>
      <c r="Q31" s="26" t="s">
        <v>191</v>
      </c>
      <c r="R31" s="26" t="s">
        <v>246</v>
      </c>
      <c r="S31" s="23" t="s">
        <v>106</v>
      </c>
      <c r="T31" s="23" t="s">
        <v>124</v>
      </c>
      <c r="U31" s="26" t="s">
        <v>142</v>
      </c>
      <c r="V31" s="82">
        <v>1161000</v>
      </c>
      <c r="W31" s="82">
        <v>19730</v>
      </c>
      <c r="X31" s="82">
        <v>0</v>
      </c>
      <c r="Y31" s="82">
        <v>885</v>
      </c>
      <c r="Z31" s="82">
        <v>500</v>
      </c>
      <c r="AA31" s="82">
        <v>65215</v>
      </c>
      <c r="AB31" s="82">
        <v>0</v>
      </c>
      <c r="AC31" s="82">
        <v>11572</v>
      </c>
      <c r="AD31" s="82">
        <v>34849</v>
      </c>
      <c r="AE31" s="83">
        <f t="shared" si="0"/>
        <v>1293751</v>
      </c>
      <c r="AF31" s="21">
        <v>0</v>
      </c>
      <c r="AG31" s="21">
        <v>0</v>
      </c>
      <c r="AH31" s="21">
        <v>0</v>
      </c>
      <c r="AI31" s="21">
        <v>1</v>
      </c>
      <c r="AJ31" s="21">
        <v>0</v>
      </c>
      <c r="AK31" s="21">
        <v>0</v>
      </c>
      <c r="AL31" s="21"/>
      <c r="AM31" s="21">
        <v>3750</v>
      </c>
      <c r="AN31" s="14">
        <f t="shared" si="1"/>
        <v>3751</v>
      </c>
      <c r="AO31" s="84">
        <f t="shared" si="2"/>
        <v>1290000</v>
      </c>
      <c r="AP31" s="21">
        <v>0</v>
      </c>
      <c r="AQ31" s="85">
        <v>0</v>
      </c>
      <c r="AR31" s="21">
        <f t="shared" si="3"/>
        <v>0</v>
      </c>
      <c r="AS31" s="22">
        <v>0</v>
      </c>
      <c r="AT31" s="22">
        <v>0</v>
      </c>
      <c r="AU31" s="15">
        <f t="shared" si="4"/>
        <v>3751</v>
      </c>
      <c r="AV31" s="117">
        <f t="shared" si="5"/>
        <v>1290000</v>
      </c>
      <c r="AW31" s="16">
        <f t="shared" si="6"/>
        <v>0</v>
      </c>
      <c r="AX31" s="23">
        <v>700000</v>
      </c>
      <c r="AY31" s="23" t="str">
        <f t="shared" si="7"/>
        <v>SBI</v>
      </c>
      <c r="AZ31" s="86">
        <v>45389</v>
      </c>
      <c r="BA31" s="13">
        <v>45392</v>
      </c>
      <c r="BB31" s="23">
        <f>190000</f>
        <v>190000</v>
      </c>
      <c r="BC31" s="23">
        <f>400000</f>
        <v>400000</v>
      </c>
      <c r="BD31" s="22">
        <v>0</v>
      </c>
      <c r="BE31" s="22">
        <v>0</v>
      </c>
      <c r="BF31" s="22">
        <v>0</v>
      </c>
      <c r="BG31" s="22">
        <v>0</v>
      </c>
      <c r="BH31" s="18">
        <f>+AV31-AX31-BB31-BC31-BF31+BG31</f>
        <v>0</v>
      </c>
      <c r="BI31" s="22" t="s">
        <v>109</v>
      </c>
      <c r="BJ31" s="22" t="s">
        <v>247</v>
      </c>
      <c r="BK31" s="19"/>
    </row>
    <row r="32" spans="1:63" ht="17.25" x14ac:dyDescent="0.3">
      <c r="A32" s="11">
        <v>45383</v>
      </c>
      <c r="B32" s="12">
        <v>31</v>
      </c>
      <c r="C32" s="12">
        <v>31</v>
      </c>
      <c r="D32" s="13">
        <v>45390</v>
      </c>
      <c r="E32" s="81" t="s">
        <v>248</v>
      </c>
      <c r="F32" s="23">
        <v>7441110567</v>
      </c>
      <c r="G32" s="24">
        <f t="shared" si="10"/>
        <v>45390</v>
      </c>
      <c r="H32" s="21" t="s">
        <v>249</v>
      </c>
      <c r="I32" s="23" t="s">
        <v>64</v>
      </c>
      <c r="J32" s="21" t="s">
        <v>89</v>
      </c>
      <c r="K32" s="21" t="s">
        <v>199</v>
      </c>
      <c r="L32" s="21">
        <v>4427289</v>
      </c>
      <c r="M32" s="21">
        <v>692735</v>
      </c>
      <c r="N32" s="21" t="s">
        <v>80</v>
      </c>
      <c r="O32" s="25">
        <v>675000</v>
      </c>
      <c r="P32" s="26" t="s">
        <v>68</v>
      </c>
      <c r="Q32" s="26" t="s">
        <v>179</v>
      </c>
      <c r="R32" s="23" t="s">
        <v>186</v>
      </c>
      <c r="S32" s="23" t="s">
        <v>186</v>
      </c>
      <c r="T32" s="23" t="s">
        <v>84</v>
      </c>
      <c r="U32" s="26" t="s">
        <v>170</v>
      </c>
      <c r="V32" s="82">
        <v>749742</v>
      </c>
      <c r="W32" s="82">
        <v>12744</v>
      </c>
      <c r="X32" s="82">
        <v>4850</v>
      </c>
      <c r="Y32" s="82">
        <v>885</v>
      </c>
      <c r="Z32" s="82">
        <v>0</v>
      </c>
      <c r="AA32" s="82">
        <v>37142</v>
      </c>
      <c r="AB32" s="82">
        <v>0</v>
      </c>
      <c r="AC32" s="82">
        <v>0</v>
      </c>
      <c r="AD32" s="82">
        <v>26688</v>
      </c>
      <c r="AE32" s="83">
        <f t="shared" si="0"/>
        <v>832051</v>
      </c>
      <c r="AF32" s="21">
        <v>10000</v>
      </c>
      <c r="AG32" s="21">
        <v>20000</v>
      </c>
      <c r="AH32" s="21">
        <v>0</v>
      </c>
      <c r="AI32" s="21">
        <v>1</v>
      </c>
      <c r="AJ32" s="21">
        <v>0</v>
      </c>
      <c r="AK32" s="21">
        <v>0</v>
      </c>
      <c r="AL32" s="21"/>
      <c r="AM32" s="21">
        <v>34350</v>
      </c>
      <c r="AN32" s="14">
        <f t="shared" si="1"/>
        <v>64351</v>
      </c>
      <c r="AO32" s="84">
        <f t="shared" si="2"/>
        <v>767700</v>
      </c>
      <c r="AP32" s="21">
        <v>2350</v>
      </c>
      <c r="AQ32" s="85">
        <v>50</v>
      </c>
      <c r="AR32" s="21">
        <f t="shared" si="3"/>
        <v>2300</v>
      </c>
      <c r="AS32" s="22">
        <v>0</v>
      </c>
      <c r="AT32" s="22">
        <v>0</v>
      </c>
      <c r="AU32" s="15">
        <f t="shared" si="4"/>
        <v>64401</v>
      </c>
      <c r="AV32" s="117">
        <f t="shared" si="5"/>
        <v>770000</v>
      </c>
      <c r="AW32" s="16">
        <f t="shared" si="6"/>
        <v>-75000</v>
      </c>
      <c r="AX32" s="23">
        <v>750000</v>
      </c>
      <c r="AY32" s="23" t="str">
        <f t="shared" si="7"/>
        <v>MAHINDRA</v>
      </c>
      <c r="AZ32" s="86">
        <v>45390</v>
      </c>
      <c r="BA32" s="13">
        <v>45394</v>
      </c>
      <c r="BB32" s="23">
        <v>0</v>
      </c>
      <c r="BC32" s="23">
        <f>50000+45000+17000</f>
        <v>112000</v>
      </c>
      <c r="BD32" s="22" t="s">
        <v>181</v>
      </c>
      <c r="BE32" s="22">
        <v>0</v>
      </c>
      <c r="BF32" s="22">
        <v>0</v>
      </c>
      <c r="BG32" s="22">
        <v>91955</v>
      </c>
      <c r="BH32" s="18">
        <f>+AV32-AX32-BB32-BC32-BF32+BG32</f>
        <v>-45</v>
      </c>
      <c r="BI32" s="22" t="s">
        <v>109</v>
      </c>
      <c r="BJ32" s="22" t="s">
        <v>250</v>
      </c>
      <c r="BK32" s="19"/>
    </row>
    <row r="33" spans="1:63" ht="17.25" x14ac:dyDescent="0.3">
      <c r="A33" s="11">
        <v>45383</v>
      </c>
      <c r="B33" s="12">
        <v>32</v>
      </c>
      <c r="C33" s="12">
        <v>32</v>
      </c>
      <c r="D33" s="13">
        <v>45390</v>
      </c>
      <c r="E33" s="81" t="s">
        <v>251</v>
      </c>
      <c r="F33" s="92">
        <v>9977885465</v>
      </c>
      <c r="G33" s="24">
        <f t="shared" si="10"/>
        <v>45390</v>
      </c>
      <c r="H33" s="21" t="s">
        <v>186</v>
      </c>
      <c r="I33" s="23" t="s">
        <v>78</v>
      </c>
      <c r="J33" s="21" t="s">
        <v>79</v>
      </c>
      <c r="K33" s="21" t="s">
        <v>66</v>
      </c>
      <c r="L33" s="21">
        <v>7479754</v>
      </c>
      <c r="M33" s="21">
        <v>249094</v>
      </c>
      <c r="N33" s="21" t="s">
        <v>67</v>
      </c>
      <c r="O33" s="25">
        <v>0</v>
      </c>
      <c r="P33" s="26" t="s">
        <v>81</v>
      </c>
      <c r="Q33" s="26" t="s">
        <v>175</v>
      </c>
      <c r="R33" s="23" t="s">
        <v>67</v>
      </c>
      <c r="S33" s="23" t="s">
        <v>67</v>
      </c>
      <c r="T33" s="23" t="s">
        <v>176</v>
      </c>
      <c r="U33" s="26" t="s">
        <v>176</v>
      </c>
      <c r="V33" s="82">
        <v>846242</v>
      </c>
      <c r="W33" s="82">
        <v>0</v>
      </c>
      <c r="X33" s="82">
        <v>0</v>
      </c>
      <c r="Y33" s="82">
        <v>0</v>
      </c>
      <c r="Z33" s="82">
        <v>0</v>
      </c>
      <c r="AA33" s="82">
        <v>0</v>
      </c>
      <c r="AB33" s="82">
        <v>0</v>
      </c>
      <c r="AC33" s="82">
        <v>0</v>
      </c>
      <c r="AD33" s="82">
        <v>0</v>
      </c>
      <c r="AE33" s="83">
        <f t="shared" si="0"/>
        <v>846242</v>
      </c>
      <c r="AF33" s="21">
        <v>0</v>
      </c>
      <c r="AG33" s="21">
        <v>0</v>
      </c>
      <c r="AH33" s="21">
        <v>0</v>
      </c>
      <c r="AI33" s="21">
        <v>1</v>
      </c>
      <c r="AJ33" s="21">
        <v>0</v>
      </c>
      <c r="AK33" s="21">
        <v>17399</v>
      </c>
      <c r="AL33" s="21"/>
      <c r="AM33" s="21">
        <v>0</v>
      </c>
      <c r="AN33" s="14">
        <f t="shared" si="1"/>
        <v>17400</v>
      </c>
      <c r="AO33" s="84">
        <f t="shared" si="2"/>
        <v>828842</v>
      </c>
      <c r="AP33" s="21">
        <v>0</v>
      </c>
      <c r="AQ33" s="85">
        <v>0</v>
      </c>
      <c r="AR33" s="21">
        <f t="shared" si="3"/>
        <v>0</v>
      </c>
      <c r="AS33" s="22">
        <v>0</v>
      </c>
      <c r="AT33" s="22">
        <v>0</v>
      </c>
      <c r="AU33" s="15">
        <f t="shared" si="4"/>
        <v>17400</v>
      </c>
      <c r="AV33" s="118">
        <f t="shared" si="5"/>
        <v>828842</v>
      </c>
      <c r="AW33" s="88" t="str">
        <f>Q33</f>
        <v>NMPL</v>
      </c>
      <c r="AX33" s="23">
        <v>0</v>
      </c>
      <c r="AY33" s="23" t="e">
        <f>#REF!</f>
        <v>#REF!</v>
      </c>
      <c r="AZ33" s="16" t="e">
        <f>#REF!-BA33</f>
        <v>#REF!</v>
      </c>
      <c r="BA33" s="16" t="e">
        <f>#REF!-BB33</f>
        <v>#REF!</v>
      </c>
      <c r="BB33" s="23">
        <v>0</v>
      </c>
      <c r="BC33" s="23">
        <v>0</v>
      </c>
      <c r="BD33" s="22">
        <v>0</v>
      </c>
      <c r="BE33" s="22">
        <v>0</v>
      </c>
      <c r="BF33" s="22">
        <v>0</v>
      </c>
      <c r="BG33" s="22">
        <v>0</v>
      </c>
      <c r="BH33" s="18" t="e">
        <f>+#REF!-AX33-BB33-BC33-BF33+BG33</f>
        <v>#REF!</v>
      </c>
      <c r="BI33" s="22"/>
      <c r="BJ33" s="22"/>
      <c r="BK33" s="19"/>
    </row>
    <row r="34" spans="1:63" ht="17.25" x14ac:dyDescent="0.3">
      <c r="A34" s="11">
        <v>45383</v>
      </c>
      <c r="B34" s="12">
        <v>33</v>
      </c>
      <c r="C34" s="12">
        <v>33</v>
      </c>
      <c r="D34" s="13">
        <v>45390</v>
      </c>
      <c r="E34" s="81" t="s">
        <v>252</v>
      </c>
      <c r="F34" s="23">
        <v>8000104713</v>
      </c>
      <c r="G34" s="24">
        <f t="shared" si="10"/>
        <v>45390</v>
      </c>
      <c r="H34" s="21" t="s">
        <v>253</v>
      </c>
      <c r="I34" s="23" t="s">
        <v>78</v>
      </c>
      <c r="J34" s="21" t="s">
        <v>79</v>
      </c>
      <c r="K34" s="21" t="s">
        <v>66</v>
      </c>
      <c r="L34" s="21">
        <v>7464093</v>
      </c>
      <c r="M34" s="21">
        <v>238318</v>
      </c>
      <c r="N34" s="21" t="s">
        <v>67</v>
      </c>
      <c r="O34" s="25">
        <v>870000</v>
      </c>
      <c r="P34" s="26" t="s">
        <v>81</v>
      </c>
      <c r="Q34" s="26" t="s">
        <v>254</v>
      </c>
      <c r="R34" s="23" t="s">
        <v>67</v>
      </c>
      <c r="S34" s="23" t="s">
        <v>67</v>
      </c>
      <c r="T34" s="23" t="s">
        <v>70</v>
      </c>
      <c r="U34" s="26" t="s">
        <v>234</v>
      </c>
      <c r="V34" s="82">
        <v>846242</v>
      </c>
      <c r="W34" s="82">
        <v>14384</v>
      </c>
      <c r="X34" s="82">
        <v>5475</v>
      </c>
      <c r="Y34" s="82">
        <v>885</v>
      </c>
      <c r="Z34" s="82">
        <v>500</v>
      </c>
      <c r="AA34" s="82">
        <v>74903</v>
      </c>
      <c r="AB34" s="82">
        <v>0</v>
      </c>
      <c r="AC34" s="82">
        <v>0</v>
      </c>
      <c r="AD34" s="82">
        <v>28163</v>
      </c>
      <c r="AE34" s="83">
        <f t="shared" si="0"/>
        <v>970552</v>
      </c>
      <c r="AF34" s="21">
        <v>0</v>
      </c>
      <c r="AG34" s="21">
        <v>0</v>
      </c>
      <c r="AH34" s="21">
        <v>0</v>
      </c>
      <c r="AI34" s="21">
        <v>1</v>
      </c>
      <c r="AJ34" s="21">
        <v>0</v>
      </c>
      <c r="AK34" s="21">
        <v>0</v>
      </c>
      <c r="AL34" s="21"/>
      <c r="AM34" s="21">
        <v>2051</v>
      </c>
      <c r="AN34" s="14">
        <f t="shared" si="1"/>
        <v>2052</v>
      </c>
      <c r="AO34" s="84">
        <f t="shared" si="2"/>
        <v>968500</v>
      </c>
      <c r="AP34" s="21">
        <f>51000+1650</f>
        <v>52650</v>
      </c>
      <c r="AQ34" s="85">
        <v>150</v>
      </c>
      <c r="AR34" s="21">
        <f t="shared" si="3"/>
        <v>52500</v>
      </c>
      <c r="AS34" s="22">
        <v>0</v>
      </c>
      <c r="AT34" s="22">
        <v>0</v>
      </c>
      <c r="AU34" s="15">
        <f t="shared" si="4"/>
        <v>2202</v>
      </c>
      <c r="AV34" s="117">
        <f t="shared" si="5"/>
        <v>1021000</v>
      </c>
      <c r="AW34" s="16">
        <f t="shared" ref="AW34:AW97" si="11">O34-AX34</f>
        <v>0</v>
      </c>
      <c r="AX34" s="23">
        <v>870000</v>
      </c>
      <c r="AY34" s="23" t="str">
        <f t="shared" ref="AY34:AY97" si="12">Q34</f>
        <v>BANK OF BARODA</v>
      </c>
      <c r="AZ34" s="86">
        <v>45390</v>
      </c>
      <c r="BA34" s="86">
        <v>45390</v>
      </c>
      <c r="BB34" s="23">
        <v>0</v>
      </c>
      <c r="BC34" s="23">
        <f>45000+50000+50000+1000+5000</f>
        <v>151000</v>
      </c>
      <c r="BD34" s="22">
        <v>0</v>
      </c>
      <c r="BE34" s="22">
        <v>0</v>
      </c>
      <c r="BF34" s="22">
        <v>0</v>
      </c>
      <c r="BG34" s="22">
        <v>0</v>
      </c>
      <c r="BH34" s="18">
        <f>+AV34-AX34-BB34-BC34-BF34+BG34</f>
        <v>0</v>
      </c>
      <c r="BI34" s="22"/>
      <c r="BJ34" s="22"/>
      <c r="BK34" s="19"/>
    </row>
    <row r="35" spans="1:63" ht="17.25" x14ac:dyDescent="0.3">
      <c r="A35" s="11">
        <v>45383</v>
      </c>
      <c r="B35" s="12">
        <v>34</v>
      </c>
      <c r="C35" s="12">
        <v>34</v>
      </c>
      <c r="D35" s="13">
        <v>45390</v>
      </c>
      <c r="E35" s="81" t="s">
        <v>255</v>
      </c>
      <c r="F35" s="23">
        <v>9977251655</v>
      </c>
      <c r="G35" s="24">
        <f t="shared" si="10"/>
        <v>45390</v>
      </c>
      <c r="H35" s="21" t="s">
        <v>256</v>
      </c>
      <c r="I35" s="23" t="s">
        <v>78</v>
      </c>
      <c r="J35" s="21" t="s">
        <v>65</v>
      </c>
      <c r="K35" s="21" t="s">
        <v>66</v>
      </c>
      <c r="L35" s="21">
        <v>7469526</v>
      </c>
      <c r="M35" s="21">
        <v>242102</v>
      </c>
      <c r="N35" s="21" t="s">
        <v>147</v>
      </c>
      <c r="O35" s="25">
        <v>550000</v>
      </c>
      <c r="P35" s="26" t="s">
        <v>68</v>
      </c>
      <c r="Q35" s="26" t="s">
        <v>114</v>
      </c>
      <c r="R35" s="23" t="s">
        <v>67</v>
      </c>
      <c r="S35" s="23" t="s">
        <v>67</v>
      </c>
      <c r="T35" s="23" t="s">
        <v>150</v>
      </c>
      <c r="U35" s="26" t="s">
        <v>151</v>
      </c>
      <c r="V35" s="82">
        <v>751242</v>
      </c>
      <c r="W35" s="82">
        <v>0</v>
      </c>
      <c r="X35" s="82">
        <v>0</v>
      </c>
      <c r="Y35" s="82">
        <v>885</v>
      </c>
      <c r="Z35" s="82">
        <v>0</v>
      </c>
      <c r="AA35" s="82">
        <v>37202</v>
      </c>
      <c r="AB35" s="82">
        <v>0</v>
      </c>
      <c r="AC35" s="82">
        <v>0</v>
      </c>
      <c r="AD35" s="82">
        <v>26983</v>
      </c>
      <c r="AE35" s="83">
        <f t="shared" si="0"/>
        <v>816312</v>
      </c>
      <c r="AF35" s="21">
        <v>0</v>
      </c>
      <c r="AG35" s="21">
        <v>10000</v>
      </c>
      <c r="AH35" s="21">
        <v>0</v>
      </c>
      <c r="AI35" s="21">
        <v>1</v>
      </c>
      <c r="AJ35" s="21">
        <v>0</v>
      </c>
      <c r="AK35" s="21">
        <v>0</v>
      </c>
      <c r="AL35" s="21"/>
      <c r="AM35" s="21">
        <v>7011</v>
      </c>
      <c r="AN35" s="14">
        <f t="shared" si="1"/>
        <v>17012</v>
      </c>
      <c r="AO35" s="84">
        <f t="shared" si="2"/>
        <v>799300</v>
      </c>
      <c r="AP35" s="21">
        <v>43000</v>
      </c>
      <c r="AQ35" s="85">
        <v>300</v>
      </c>
      <c r="AR35" s="21">
        <f t="shared" si="3"/>
        <v>42700</v>
      </c>
      <c r="AS35" s="22">
        <v>0</v>
      </c>
      <c r="AT35" s="22">
        <v>0</v>
      </c>
      <c r="AU35" s="15">
        <f t="shared" si="4"/>
        <v>17312</v>
      </c>
      <c r="AV35" s="117">
        <f t="shared" si="5"/>
        <v>842000</v>
      </c>
      <c r="AW35" s="16">
        <f t="shared" si="11"/>
        <v>13821</v>
      </c>
      <c r="AX35" s="23">
        <v>536179</v>
      </c>
      <c r="AY35" s="23" t="str">
        <f t="shared" si="12"/>
        <v>INDUSIND</v>
      </c>
      <c r="AZ35" s="86">
        <v>45390</v>
      </c>
      <c r="BA35" s="13">
        <v>45394</v>
      </c>
      <c r="BB35" s="23">
        <f>187000</f>
        <v>187000</v>
      </c>
      <c r="BC35" s="23">
        <f>11000+58000+50000</f>
        <v>119000</v>
      </c>
      <c r="BD35" s="22">
        <v>0</v>
      </c>
      <c r="BE35" s="22">
        <v>0</v>
      </c>
      <c r="BF35" s="22">
        <v>0</v>
      </c>
      <c r="BG35" s="22">
        <v>0</v>
      </c>
      <c r="BH35" s="18">
        <f>+AV35-AX35-BB35-BC35-BF35+BG35</f>
        <v>-179</v>
      </c>
      <c r="BI35" s="22" t="s">
        <v>159</v>
      </c>
      <c r="BJ35" s="22"/>
      <c r="BK35" s="19"/>
    </row>
    <row r="36" spans="1:63" ht="17.25" x14ac:dyDescent="0.3">
      <c r="A36" s="11">
        <v>45383</v>
      </c>
      <c r="B36" s="12">
        <v>35</v>
      </c>
      <c r="C36" s="12">
        <v>35</v>
      </c>
      <c r="D36" s="13">
        <v>45390</v>
      </c>
      <c r="E36" s="81" t="s">
        <v>257</v>
      </c>
      <c r="F36" s="23">
        <v>9977251655</v>
      </c>
      <c r="G36" s="24">
        <f t="shared" si="10"/>
        <v>45390</v>
      </c>
      <c r="H36" s="21" t="s">
        <v>258</v>
      </c>
      <c r="I36" s="23" t="s">
        <v>121</v>
      </c>
      <c r="J36" s="21" t="s">
        <v>65</v>
      </c>
      <c r="K36" s="21" t="s">
        <v>199</v>
      </c>
      <c r="L36" s="21">
        <v>7397472</v>
      </c>
      <c r="M36" s="21">
        <v>230120</v>
      </c>
      <c r="N36" s="21" t="s">
        <v>105</v>
      </c>
      <c r="O36" s="25">
        <v>900000</v>
      </c>
      <c r="P36" s="26" t="s">
        <v>81</v>
      </c>
      <c r="Q36" s="26" t="s">
        <v>122</v>
      </c>
      <c r="R36" s="23" t="s">
        <v>259</v>
      </c>
      <c r="S36" s="23" t="s">
        <v>105</v>
      </c>
      <c r="T36" s="23" t="s">
        <v>107</v>
      </c>
      <c r="U36" s="26" t="s">
        <v>260</v>
      </c>
      <c r="V36" s="82">
        <v>1079601</v>
      </c>
      <c r="W36" s="82">
        <v>18361</v>
      </c>
      <c r="X36" s="82">
        <v>3977</v>
      </c>
      <c r="Y36" s="82">
        <v>885</v>
      </c>
      <c r="Z36" s="82">
        <v>0</v>
      </c>
      <c r="AA36" s="82">
        <v>61145</v>
      </c>
      <c r="AB36" s="82">
        <v>0</v>
      </c>
      <c r="AC36" s="82">
        <v>10746</v>
      </c>
      <c r="AD36" s="82">
        <v>35328</v>
      </c>
      <c r="AE36" s="83">
        <f t="shared" si="0"/>
        <v>1210043</v>
      </c>
      <c r="AF36" s="21">
        <v>0</v>
      </c>
      <c r="AG36" s="21">
        <v>0</v>
      </c>
      <c r="AH36" s="21">
        <v>0</v>
      </c>
      <c r="AI36" s="21">
        <v>1</v>
      </c>
      <c r="AJ36" s="21">
        <v>0</v>
      </c>
      <c r="AK36" s="21">
        <v>0</v>
      </c>
      <c r="AL36" s="21"/>
      <c r="AM36" s="21">
        <v>5042</v>
      </c>
      <c r="AN36" s="14">
        <f t="shared" si="1"/>
        <v>5043</v>
      </c>
      <c r="AO36" s="84">
        <f t="shared" si="2"/>
        <v>1205000</v>
      </c>
      <c r="AP36" s="21">
        <v>0</v>
      </c>
      <c r="AQ36" s="85">
        <v>0</v>
      </c>
      <c r="AR36" s="21">
        <f t="shared" si="3"/>
        <v>0</v>
      </c>
      <c r="AS36" s="22">
        <v>0</v>
      </c>
      <c r="AT36" s="22">
        <v>0</v>
      </c>
      <c r="AU36" s="15">
        <f t="shared" si="4"/>
        <v>5043</v>
      </c>
      <c r="AV36" s="117">
        <f t="shared" si="5"/>
        <v>1205000</v>
      </c>
      <c r="AW36" s="16">
        <f t="shared" si="11"/>
        <v>-195000</v>
      </c>
      <c r="AX36" s="23">
        <v>1095000</v>
      </c>
      <c r="AY36" s="23" t="str">
        <f t="shared" si="12"/>
        <v>BOI</v>
      </c>
      <c r="AZ36" s="86">
        <v>45390</v>
      </c>
      <c r="BA36" s="13">
        <v>45390</v>
      </c>
      <c r="BB36" s="23">
        <v>0</v>
      </c>
      <c r="BC36" s="23">
        <f>11000+50000+49000</f>
        <v>110000</v>
      </c>
      <c r="BD36" s="22">
        <v>0</v>
      </c>
      <c r="BE36" s="22">
        <v>0</v>
      </c>
      <c r="BF36" s="22">
        <v>0</v>
      </c>
      <c r="BG36" s="22">
        <v>0</v>
      </c>
      <c r="BH36" s="18">
        <f>+AV36-AX36-BB36-BC36-BF36+BG36</f>
        <v>0</v>
      </c>
      <c r="BI36" s="22" t="s">
        <v>209</v>
      </c>
      <c r="BJ36" s="22"/>
      <c r="BK36" s="19"/>
    </row>
    <row r="37" spans="1:63" ht="17.25" x14ac:dyDescent="0.3">
      <c r="A37" s="11">
        <v>45383</v>
      </c>
      <c r="B37" s="12">
        <v>36</v>
      </c>
      <c r="C37" s="12">
        <v>36</v>
      </c>
      <c r="D37" s="13">
        <v>45390</v>
      </c>
      <c r="E37" s="81" t="s">
        <v>261</v>
      </c>
      <c r="F37" s="23">
        <v>7999461485</v>
      </c>
      <c r="G37" s="24">
        <f t="shared" si="10"/>
        <v>45390</v>
      </c>
      <c r="H37" s="21" t="s">
        <v>262</v>
      </c>
      <c r="I37" s="23" t="s">
        <v>64</v>
      </c>
      <c r="J37" s="21" t="s">
        <v>65</v>
      </c>
      <c r="K37" s="21" t="s">
        <v>66</v>
      </c>
      <c r="L37" s="21">
        <v>1603158</v>
      </c>
      <c r="M37" s="21">
        <v>688726</v>
      </c>
      <c r="N37" s="21" t="s">
        <v>106</v>
      </c>
      <c r="O37" s="25">
        <v>530000</v>
      </c>
      <c r="P37" s="26" t="s">
        <v>68</v>
      </c>
      <c r="Q37" s="26" t="s">
        <v>69</v>
      </c>
      <c r="R37" s="23" t="s">
        <v>106</v>
      </c>
      <c r="S37" s="23" t="s">
        <v>106</v>
      </c>
      <c r="T37" s="23" t="s">
        <v>124</v>
      </c>
      <c r="U37" s="26" t="s">
        <v>142</v>
      </c>
      <c r="V37" s="82">
        <v>665742</v>
      </c>
      <c r="W37" s="82">
        <v>11328</v>
      </c>
      <c r="X37" s="82">
        <v>4307</v>
      </c>
      <c r="Y37" s="82">
        <v>885</v>
      </c>
      <c r="Z37" s="82">
        <v>500</v>
      </c>
      <c r="AA37" s="82">
        <v>33782</v>
      </c>
      <c r="AB37" s="82">
        <v>0</v>
      </c>
      <c r="AC37" s="82">
        <v>0</v>
      </c>
      <c r="AD37" s="82">
        <v>25838</v>
      </c>
      <c r="AE37" s="83">
        <f t="shared" si="0"/>
        <v>742382</v>
      </c>
      <c r="AF37" s="21">
        <v>10000</v>
      </c>
      <c r="AG37" s="21">
        <v>20000</v>
      </c>
      <c r="AH37" s="21">
        <v>15000</v>
      </c>
      <c r="AI37" s="21">
        <v>1</v>
      </c>
      <c r="AJ37" s="21">
        <v>0</v>
      </c>
      <c r="AK37" s="21">
        <v>0</v>
      </c>
      <c r="AL37" s="21"/>
      <c r="AM37" s="21">
        <v>1639</v>
      </c>
      <c r="AN37" s="14">
        <f t="shared" si="1"/>
        <v>46640</v>
      </c>
      <c r="AO37" s="84">
        <f t="shared" si="2"/>
        <v>695742</v>
      </c>
      <c r="AP37" s="21">
        <v>3650</v>
      </c>
      <c r="AQ37" s="85">
        <v>50</v>
      </c>
      <c r="AR37" s="21">
        <f t="shared" si="3"/>
        <v>3600</v>
      </c>
      <c r="AS37" s="22">
        <v>0</v>
      </c>
      <c r="AT37" s="22">
        <v>0</v>
      </c>
      <c r="AU37" s="15">
        <f t="shared" si="4"/>
        <v>46690</v>
      </c>
      <c r="AV37" s="117">
        <f t="shared" si="5"/>
        <v>699342</v>
      </c>
      <c r="AW37" s="16">
        <f t="shared" si="11"/>
        <v>0</v>
      </c>
      <c r="AX37" s="23">
        <v>530000</v>
      </c>
      <c r="AY37" s="23" t="str">
        <f t="shared" si="12"/>
        <v>SUNDARAM</v>
      </c>
      <c r="AZ37" s="86">
        <v>45390</v>
      </c>
      <c r="BA37" s="13">
        <v>45397</v>
      </c>
      <c r="BB37" s="23">
        <v>95000</v>
      </c>
      <c r="BC37" s="23">
        <f>5000+5000</f>
        <v>10000</v>
      </c>
      <c r="BD37" s="22" t="s">
        <v>263</v>
      </c>
      <c r="BE37" s="22" t="s">
        <v>264</v>
      </c>
      <c r="BF37" s="22">
        <v>65000</v>
      </c>
      <c r="BG37" s="22">
        <v>0</v>
      </c>
      <c r="BH37" s="18">
        <f>+AV37-AX37-BB37-BC37-BF37+BG37</f>
        <v>-658</v>
      </c>
      <c r="BI37" s="22" t="s">
        <v>265</v>
      </c>
      <c r="BJ37" s="93" t="s">
        <v>266</v>
      </c>
      <c r="BK37" s="19"/>
    </row>
    <row r="38" spans="1:63" ht="17.25" x14ac:dyDescent="0.3">
      <c r="A38" s="11">
        <v>45383</v>
      </c>
      <c r="B38" s="12">
        <v>37</v>
      </c>
      <c r="C38" s="12">
        <v>37</v>
      </c>
      <c r="D38" s="13">
        <v>45391</v>
      </c>
      <c r="E38" s="81" t="s">
        <v>267</v>
      </c>
      <c r="F38" s="23">
        <v>9522044953</v>
      </c>
      <c r="G38" s="24">
        <f t="shared" si="10"/>
        <v>45391</v>
      </c>
      <c r="H38" s="21" t="s">
        <v>268</v>
      </c>
      <c r="I38" s="23" t="s">
        <v>64</v>
      </c>
      <c r="J38" s="21" t="s">
        <v>89</v>
      </c>
      <c r="K38" s="21" t="s">
        <v>66</v>
      </c>
      <c r="L38" s="21">
        <v>4427083</v>
      </c>
      <c r="M38" s="21">
        <v>692774</v>
      </c>
      <c r="N38" s="21" t="s">
        <v>67</v>
      </c>
      <c r="O38" s="25">
        <v>600000</v>
      </c>
      <c r="P38" s="26" t="s">
        <v>68</v>
      </c>
      <c r="Q38" s="26" t="s">
        <v>179</v>
      </c>
      <c r="R38" s="23" t="s">
        <v>67</v>
      </c>
      <c r="S38" s="23" t="s">
        <v>67</v>
      </c>
      <c r="T38" s="23" t="s">
        <v>115</v>
      </c>
      <c r="U38" s="26" t="s">
        <v>224</v>
      </c>
      <c r="V38" s="82">
        <v>749742</v>
      </c>
      <c r="W38" s="82">
        <v>12744</v>
      </c>
      <c r="X38" s="82">
        <v>4850</v>
      </c>
      <c r="Y38" s="82">
        <v>885</v>
      </c>
      <c r="Z38" s="82">
        <v>500</v>
      </c>
      <c r="AA38" s="82">
        <v>67183</v>
      </c>
      <c r="AB38" s="82">
        <v>0</v>
      </c>
      <c r="AC38" s="82">
        <v>0</v>
      </c>
      <c r="AD38" s="82">
        <v>26688</v>
      </c>
      <c r="AE38" s="83">
        <f t="shared" si="0"/>
        <v>862592</v>
      </c>
      <c r="AF38" s="21">
        <v>10000</v>
      </c>
      <c r="AG38" s="21">
        <v>20000</v>
      </c>
      <c r="AH38" s="21">
        <v>0</v>
      </c>
      <c r="AI38" s="21">
        <v>0</v>
      </c>
      <c r="AJ38" s="21">
        <v>2100</v>
      </c>
      <c r="AK38" s="21">
        <v>0</v>
      </c>
      <c r="AL38" s="21"/>
      <c r="AM38" s="21">
        <v>2142</v>
      </c>
      <c r="AN38" s="14">
        <f t="shared" si="1"/>
        <v>34242</v>
      </c>
      <c r="AO38" s="84">
        <f t="shared" si="2"/>
        <v>828350</v>
      </c>
      <c r="AP38" s="21">
        <v>1650</v>
      </c>
      <c r="AQ38" s="85">
        <v>0</v>
      </c>
      <c r="AR38" s="21">
        <f t="shared" si="3"/>
        <v>1650</v>
      </c>
      <c r="AS38" s="22">
        <v>0</v>
      </c>
      <c r="AT38" s="22">
        <v>0</v>
      </c>
      <c r="AU38" s="15">
        <f t="shared" si="4"/>
        <v>34242</v>
      </c>
      <c r="AV38" s="117">
        <f t="shared" si="5"/>
        <v>830000</v>
      </c>
      <c r="AW38" s="16">
        <f t="shared" si="11"/>
        <v>-151042</v>
      </c>
      <c r="AX38" s="23">
        <f>595900+155142</f>
        <v>751042</v>
      </c>
      <c r="AY38" s="23" t="str">
        <f t="shared" si="12"/>
        <v>MAHINDRA</v>
      </c>
      <c r="AZ38" s="86">
        <v>45390</v>
      </c>
      <c r="BA38" s="13">
        <v>45397</v>
      </c>
      <c r="BB38" s="23">
        <f>100000</f>
        <v>100000</v>
      </c>
      <c r="BC38" s="23">
        <f>2000+2000+1000+29100+100000</f>
        <v>134100</v>
      </c>
      <c r="BD38" s="22" t="s">
        <v>181</v>
      </c>
      <c r="BE38" s="22">
        <v>0</v>
      </c>
      <c r="BF38" s="22">
        <v>0</v>
      </c>
      <c r="BG38" s="22">
        <v>155142</v>
      </c>
      <c r="BH38" s="18">
        <f>+AV38-AX38-BB38-BC38-BF38+BG38</f>
        <v>0</v>
      </c>
      <c r="BI38" s="22" t="s">
        <v>269</v>
      </c>
      <c r="BJ38" s="22" t="s">
        <v>270</v>
      </c>
      <c r="BK38" s="19"/>
    </row>
    <row r="39" spans="1:63" ht="17.25" x14ac:dyDescent="0.3">
      <c r="A39" s="11">
        <v>45383</v>
      </c>
      <c r="B39" s="12">
        <v>38</v>
      </c>
      <c r="C39" s="12">
        <v>38</v>
      </c>
      <c r="D39" s="13">
        <v>45391</v>
      </c>
      <c r="E39" s="81" t="s">
        <v>271</v>
      </c>
      <c r="F39" s="23">
        <v>7042053200</v>
      </c>
      <c r="G39" s="24">
        <f t="shared" si="10"/>
        <v>45391</v>
      </c>
      <c r="H39" s="21" t="s">
        <v>272</v>
      </c>
      <c r="I39" s="23" t="s">
        <v>64</v>
      </c>
      <c r="J39" s="21" t="s">
        <v>65</v>
      </c>
      <c r="K39" s="21" t="s">
        <v>199</v>
      </c>
      <c r="L39" s="21">
        <v>4430771</v>
      </c>
      <c r="M39" s="21">
        <v>699592</v>
      </c>
      <c r="N39" s="21" t="s">
        <v>67</v>
      </c>
      <c r="O39" s="25">
        <v>509547</v>
      </c>
      <c r="P39" s="26" t="s">
        <v>81</v>
      </c>
      <c r="Q39" s="26" t="s">
        <v>185</v>
      </c>
      <c r="R39" s="23" t="s">
        <v>273</v>
      </c>
      <c r="S39" s="23" t="s">
        <v>273</v>
      </c>
      <c r="T39" s="23" t="s">
        <v>70</v>
      </c>
      <c r="U39" s="26" t="s">
        <v>71</v>
      </c>
      <c r="V39" s="82">
        <v>665742</v>
      </c>
      <c r="W39" s="82">
        <v>11328</v>
      </c>
      <c r="X39" s="82">
        <v>4307</v>
      </c>
      <c r="Y39" s="82">
        <v>885</v>
      </c>
      <c r="Z39" s="82">
        <v>0</v>
      </c>
      <c r="AA39" s="82">
        <v>0</v>
      </c>
      <c r="AB39" s="82">
        <v>4500</v>
      </c>
      <c r="AC39" s="82">
        <v>0</v>
      </c>
      <c r="AD39" s="82">
        <v>29309</v>
      </c>
      <c r="AE39" s="83">
        <f t="shared" si="0"/>
        <v>716071</v>
      </c>
      <c r="AF39" s="21">
        <v>10000</v>
      </c>
      <c r="AG39" s="21">
        <v>20000</v>
      </c>
      <c r="AH39" s="21">
        <v>0</v>
      </c>
      <c r="AI39" s="21">
        <v>1</v>
      </c>
      <c r="AJ39" s="21">
        <v>0</v>
      </c>
      <c r="AK39" s="21">
        <v>0</v>
      </c>
      <c r="AL39" s="21"/>
      <c r="AM39" s="21">
        <v>0</v>
      </c>
      <c r="AN39" s="14">
        <f t="shared" si="1"/>
        <v>30001</v>
      </c>
      <c r="AO39" s="84">
        <f t="shared" si="2"/>
        <v>686070</v>
      </c>
      <c r="AP39" s="21">
        <v>0</v>
      </c>
      <c r="AQ39" s="85">
        <v>0</v>
      </c>
      <c r="AR39" s="21">
        <f t="shared" si="3"/>
        <v>0</v>
      </c>
      <c r="AS39" s="22">
        <v>0</v>
      </c>
      <c r="AT39" s="22">
        <v>0</v>
      </c>
      <c r="AU39" s="15">
        <f t="shared" si="4"/>
        <v>30001</v>
      </c>
      <c r="AV39" s="117">
        <f t="shared" si="5"/>
        <v>686070</v>
      </c>
      <c r="AW39" s="16">
        <f t="shared" si="11"/>
        <v>14893</v>
      </c>
      <c r="AX39" s="23">
        <v>494654</v>
      </c>
      <c r="AY39" s="23" t="str">
        <f t="shared" si="12"/>
        <v>HDFC</v>
      </c>
      <c r="AZ39" s="86">
        <v>45390</v>
      </c>
      <c r="BA39" s="13">
        <v>45400</v>
      </c>
      <c r="BB39" s="23">
        <v>0</v>
      </c>
      <c r="BC39" s="23">
        <f>10000+20000+478562</f>
        <v>508562</v>
      </c>
      <c r="BD39" s="22">
        <v>0</v>
      </c>
      <c r="BE39" s="22">
        <v>0</v>
      </c>
      <c r="BF39" s="22">
        <v>0</v>
      </c>
      <c r="BG39" s="22">
        <v>0</v>
      </c>
      <c r="BH39" s="18">
        <f>+AV39-AX39-BB39-BC39-BF39+BG39</f>
        <v>-317146</v>
      </c>
      <c r="BI39" s="22" t="s">
        <v>274</v>
      </c>
      <c r="BJ39" s="22"/>
      <c r="BK39" s="19"/>
    </row>
    <row r="40" spans="1:63" ht="17.25" x14ac:dyDescent="0.3">
      <c r="A40" s="11">
        <v>45383</v>
      </c>
      <c r="B40" s="12">
        <v>39</v>
      </c>
      <c r="C40" s="12">
        <v>39</v>
      </c>
      <c r="D40" s="13">
        <v>45391</v>
      </c>
      <c r="E40" s="81" t="s">
        <v>275</v>
      </c>
      <c r="F40" s="23">
        <v>9926389900</v>
      </c>
      <c r="G40" s="24">
        <f t="shared" si="10"/>
        <v>45391</v>
      </c>
      <c r="H40" s="21" t="s">
        <v>276</v>
      </c>
      <c r="I40" s="23" t="s">
        <v>162</v>
      </c>
      <c r="J40" s="21" t="s">
        <v>135</v>
      </c>
      <c r="K40" s="21" t="s">
        <v>66</v>
      </c>
      <c r="L40" s="21">
        <v>9458184</v>
      </c>
      <c r="M40" s="21">
        <v>372202</v>
      </c>
      <c r="N40" s="21" t="s">
        <v>67</v>
      </c>
      <c r="O40" s="25">
        <v>1100000</v>
      </c>
      <c r="P40" s="26" t="s">
        <v>81</v>
      </c>
      <c r="Q40" s="26" t="s">
        <v>254</v>
      </c>
      <c r="R40" s="23" t="s">
        <v>67</v>
      </c>
      <c r="S40" s="23" t="s">
        <v>67</v>
      </c>
      <c r="T40" s="23" t="s">
        <v>70</v>
      </c>
      <c r="U40" s="26" t="s">
        <v>234</v>
      </c>
      <c r="V40" s="82">
        <v>1256000</v>
      </c>
      <c r="W40" s="82">
        <v>21346</v>
      </c>
      <c r="X40" s="82">
        <v>8118</v>
      </c>
      <c r="Y40" s="82">
        <v>885</v>
      </c>
      <c r="Z40" s="82">
        <v>500</v>
      </c>
      <c r="AA40" s="82">
        <v>132830</v>
      </c>
      <c r="AB40" s="82">
        <v>0</v>
      </c>
      <c r="AC40" s="82">
        <v>12465</v>
      </c>
      <c r="AD40" s="82">
        <v>34786</v>
      </c>
      <c r="AE40" s="83">
        <f t="shared" si="0"/>
        <v>1466930</v>
      </c>
      <c r="AF40" s="21">
        <v>0</v>
      </c>
      <c r="AG40" s="21">
        <v>0</v>
      </c>
      <c r="AH40" s="21">
        <v>0</v>
      </c>
      <c r="AI40" s="21">
        <v>1</v>
      </c>
      <c r="AJ40" s="21">
        <v>0</v>
      </c>
      <c r="AK40" s="21">
        <v>0</v>
      </c>
      <c r="AL40" s="21"/>
      <c r="AM40" s="21">
        <v>9524</v>
      </c>
      <c r="AN40" s="14">
        <f t="shared" si="1"/>
        <v>9525</v>
      </c>
      <c r="AO40" s="84">
        <f t="shared" si="2"/>
        <v>1457405</v>
      </c>
      <c r="AP40" s="21">
        <v>37838</v>
      </c>
      <c r="AQ40" s="85">
        <v>243</v>
      </c>
      <c r="AR40" s="21">
        <f t="shared" si="3"/>
        <v>37595</v>
      </c>
      <c r="AS40" s="22">
        <v>0</v>
      </c>
      <c r="AT40" s="22">
        <v>0</v>
      </c>
      <c r="AU40" s="15">
        <f t="shared" si="4"/>
        <v>9768</v>
      </c>
      <c r="AV40" s="117">
        <f t="shared" si="5"/>
        <v>1495000</v>
      </c>
      <c r="AW40" s="16">
        <f t="shared" si="11"/>
        <v>0</v>
      </c>
      <c r="AX40" s="23">
        <v>1100000</v>
      </c>
      <c r="AY40" s="23" t="str">
        <f t="shared" si="12"/>
        <v>BANK OF BARODA</v>
      </c>
      <c r="AZ40" s="86">
        <v>45391</v>
      </c>
      <c r="BA40" s="13">
        <v>45392</v>
      </c>
      <c r="BB40" s="23">
        <v>0</v>
      </c>
      <c r="BC40" s="23">
        <f>395000</f>
        <v>395000</v>
      </c>
      <c r="BD40" s="22">
        <v>0</v>
      </c>
      <c r="BE40" s="22">
        <v>0</v>
      </c>
      <c r="BF40" s="22">
        <v>0</v>
      </c>
      <c r="BG40" s="22">
        <v>0</v>
      </c>
      <c r="BH40" s="18">
        <f>+AV40-AX40-BB40-BC40-BF40+BG40</f>
        <v>0</v>
      </c>
      <c r="BI40" s="22" t="s">
        <v>277</v>
      </c>
      <c r="BJ40" s="22" t="s">
        <v>278</v>
      </c>
      <c r="BK40" s="19"/>
    </row>
    <row r="41" spans="1:63" ht="17.25" x14ac:dyDescent="0.3">
      <c r="A41" s="11">
        <v>45383</v>
      </c>
      <c r="B41" s="12">
        <v>40</v>
      </c>
      <c r="C41" s="12">
        <v>40</v>
      </c>
      <c r="D41" s="13">
        <v>45391</v>
      </c>
      <c r="E41" s="81" t="s">
        <v>279</v>
      </c>
      <c r="F41" s="23">
        <v>8839936201</v>
      </c>
      <c r="G41" s="24">
        <f t="shared" si="10"/>
        <v>45391</v>
      </c>
      <c r="H41" s="21" t="s">
        <v>280</v>
      </c>
      <c r="I41" s="23" t="s">
        <v>64</v>
      </c>
      <c r="J41" s="21" t="s">
        <v>65</v>
      </c>
      <c r="K41" s="21" t="s">
        <v>66</v>
      </c>
      <c r="L41" s="21">
        <v>4424335</v>
      </c>
      <c r="M41" s="21">
        <v>687425</v>
      </c>
      <c r="N41" s="21" t="s">
        <v>67</v>
      </c>
      <c r="O41" s="25">
        <v>600000</v>
      </c>
      <c r="P41" s="26" t="s">
        <v>81</v>
      </c>
      <c r="Q41" s="26" t="s">
        <v>281</v>
      </c>
      <c r="R41" s="23" t="s">
        <v>83</v>
      </c>
      <c r="S41" s="23" t="s">
        <v>83</v>
      </c>
      <c r="T41" s="23" t="s">
        <v>115</v>
      </c>
      <c r="U41" s="26" t="s">
        <v>282</v>
      </c>
      <c r="V41" s="82">
        <v>665742</v>
      </c>
      <c r="W41" s="82">
        <v>11328</v>
      </c>
      <c r="X41" s="82">
        <v>4307</v>
      </c>
      <c r="Y41" s="82">
        <v>885</v>
      </c>
      <c r="Z41" s="82">
        <v>500</v>
      </c>
      <c r="AA41" s="82">
        <v>60463</v>
      </c>
      <c r="AB41" s="82">
        <v>0</v>
      </c>
      <c r="AC41" s="82">
        <v>0</v>
      </c>
      <c r="AD41" s="82">
        <v>25337</v>
      </c>
      <c r="AE41" s="83">
        <f t="shared" si="0"/>
        <v>768562</v>
      </c>
      <c r="AF41" s="21">
        <v>10000</v>
      </c>
      <c r="AG41" s="21">
        <v>20000</v>
      </c>
      <c r="AH41" s="21">
        <v>0</v>
      </c>
      <c r="AI41" s="21">
        <v>1</v>
      </c>
      <c r="AJ41" s="21">
        <v>0</v>
      </c>
      <c r="AK41" s="21">
        <v>0</v>
      </c>
      <c r="AL41" s="21"/>
      <c r="AM41" s="21">
        <v>13058</v>
      </c>
      <c r="AN41" s="14">
        <f t="shared" si="1"/>
        <v>43059</v>
      </c>
      <c r="AO41" s="84">
        <f t="shared" si="2"/>
        <v>725503</v>
      </c>
      <c r="AP41" s="21">
        <v>28880</v>
      </c>
      <c r="AQ41" s="85">
        <v>380</v>
      </c>
      <c r="AR41" s="21">
        <f t="shared" si="3"/>
        <v>28500</v>
      </c>
      <c r="AS41" s="22">
        <v>0</v>
      </c>
      <c r="AT41" s="22">
        <v>0</v>
      </c>
      <c r="AU41" s="15">
        <f t="shared" si="4"/>
        <v>43439</v>
      </c>
      <c r="AV41" s="117">
        <f t="shared" si="5"/>
        <v>754003</v>
      </c>
      <c r="AW41" s="16">
        <f t="shared" si="11"/>
        <v>17197</v>
      </c>
      <c r="AX41" s="23">
        <v>582803</v>
      </c>
      <c r="AY41" s="23" t="str">
        <f t="shared" si="12"/>
        <v>HDB</v>
      </c>
      <c r="AZ41" s="86">
        <v>45392</v>
      </c>
      <c r="BA41" s="13">
        <v>45398</v>
      </c>
      <c r="BB41" s="23">
        <v>0</v>
      </c>
      <c r="BC41" s="23">
        <f>5000+26200+140000</f>
        <v>171200</v>
      </c>
      <c r="BD41" s="22">
        <v>0</v>
      </c>
      <c r="BE41" s="22">
        <v>0</v>
      </c>
      <c r="BF41" s="22">
        <v>0</v>
      </c>
      <c r="BG41" s="22">
        <v>0</v>
      </c>
      <c r="BH41" s="18">
        <f>+AV41-AX41-BB41-BC41-BF41+BG41</f>
        <v>0</v>
      </c>
      <c r="BI41" s="22" t="s">
        <v>109</v>
      </c>
      <c r="BJ41" s="22"/>
      <c r="BK41" s="19"/>
    </row>
    <row r="42" spans="1:63" ht="17.25" x14ac:dyDescent="0.3">
      <c r="A42" s="11">
        <v>45383</v>
      </c>
      <c r="B42" s="12">
        <v>41</v>
      </c>
      <c r="C42" s="12">
        <v>41</v>
      </c>
      <c r="D42" s="13">
        <v>45391</v>
      </c>
      <c r="E42" s="81" t="s">
        <v>283</v>
      </c>
      <c r="F42" s="23">
        <v>9926028251</v>
      </c>
      <c r="G42" s="24">
        <f t="shared" si="10"/>
        <v>45391</v>
      </c>
      <c r="H42" s="21" t="s">
        <v>284</v>
      </c>
      <c r="I42" s="23" t="s">
        <v>121</v>
      </c>
      <c r="J42" s="21" t="s">
        <v>104</v>
      </c>
      <c r="K42" s="21" t="s">
        <v>285</v>
      </c>
      <c r="L42" s="21">
        <v>7382301</v>
      </c>
      <c r="M42" s="21">
        <v>119189</v>
      </c>
      <c r="N42" s="21" t="s">
        <v>67</v>
      </c>
      <c r="O42" s="25">
        <v>1000000</v>
      </c>
      <c r="P42" s="26" t="s">
        <v>68</v>
      </c>
      <c r="Q42" s="26" t="s">
        <v>179</v>
      </c>
      <c r="R42" s="23" t="s">
        <v>67</v>
      </c>
      <c r="S42" s="23" t="s">
        <v>67</v>
      </c>
      <c r="T42" s="23" t="s">
        <v>115</v>
      </c>
      <c r="U42" s="26" t="s">
        <v>116</v>
      </c>
      <c r="V42" s="82">
        <v>1314601</v>
      </c>
      <c r="W42" s="82">
        <v>22349</v>
      </c>
      <c r="X42" s="82">
        <v>8496</v>
      </c>
      <c r="Y42" s="82">
        <v>885</v>
      </c>
      <c r="Z42" s="82">
        <v>500</v>
      </c>
      <c r="AA42" s="82">
        <v>138690</v>
      </c>
      <c r="AB42" s="82">
        <v>0</v>
      </c>
      <c r="AC42" s="82">
        <v>12961</v>
      </c>
      <c r="AD42" s="82">
        <v>35538</v>
      </c>
      <c r="AE42" s="83">
        <f t="shared" si="0"/>
        <v>1534020</v>
      </c>
      <c r="AF42" s="21">
        <v>0</v>
      </c>
      <c r="AG42" s="21">
        <v>0</v>
      </c>
      <c r="AH42" s="21">
        <v>0</v>
      </c>
      <c r="AI42" s="21">
        <v>0</v>
      </c>
      <c r="AJ42" s="21">
        <v>3100</v>
      </c>
      <c r="AK42" s="21">
        <v>0</v>
      </c>
      <c r="AL42" s="21"/>
      <c r="AM42" s="21">
        <v>15395</v>
      </c>
      <c r="AN42" s="14">
        <f t="shared" si="1"/>
        <v>18495</v>
      </c>
      <c r="AO42" s="84">
        <f t="shared" si="2"/>
        <v>1515525</v>
      </c>
      <c r="AP42" s="21">
        <f>34500+2790</f>
        <v>37290</v>
      </c>
      <c r="AQ42" s="85">
        <v>1815</v>
      </c>
      <c r="AR42" s="21">
        <f t="shared" si="3"/>
        <v>35475</v>
      </c>
      <c r="AS42" s="22">
        <v>0</v>
      </c>
      <c r="AT42" s="22">
        <v>0</v>
      </c>
      <c r="AU42" s="15">
        <f t="shared" si="4"/>
        <v>20310</v>
      </c>
      <c r="AV42" s="117">
        <f t="shared" si="5"/>
        <v>1551000</v>
      </c>
      <c r="AW42" s="16">
        <f t="shared" si="11"/>
        <v>-27901</v>
      </c>
      <c r="AX42" s="23">
        <f>995900+32001</f>
        <v>1027901</v>
      </c>
      <c r="AY42" s="23" t="str">
        <f t="shared" si="12"/>
        <v>MAHINDRA</v>
      </c>
      <c r="AZ42" s="86">
        <v>45392</v>
      </c>
      <c r="BA42" s="13">
        <v>45398</v>
      </c>
      <c r="BB42" s="23">
        <f>21000+34100</f>
        <v>55100</v>
      </c>
      <c r="BC42" s="23">
        <f>310000+190000</f>
        <v>500000</v>
      </c>
      <c r="BD42" s="22" t="s">
        <v>181</v>
      </c>
      <c r="BE42" s="22">
        <v>0</v>
      </c>
      <c r="BF42" s="22">
        <v>0</v>
      </c>
      <c r="BG42" s="22">
        <v>32001</v>
      </c>
      <c r="BH42" s="18">
        <f>+AV42-AX42-BB42-BC42-BF42+BG42</f>
        <v>0</v>
      </c>
      <c r="BI42" s="22" t="s">
        <v>109</v>
      </c>
      <c r="BJ42" s="22"/>
      <c r="BK42" s="19"/>
    </row>
    <row r="43" spans="1:63" ht="17.25" x14ac:dyDescent="0.3">
      <c r="A43" s="11">
        <v>45383</v>
      </c>
      <c r="B43" s="12">
        <v>42</v>
      </c>
      <c r="C43" s="12">
        <v>42</v>
      </c>
      <c r="D43" s="13">
        <v>45394</v>
      </c>
      <c r="E43" s="81" t="s">
        <v>286</v>
      </c>
      <c r="F43" s="23">
        <v>6265199129</v>
      </c>
      <c r="G43" s="24">
        <f t="shared" si="10"/>
        <v>45394</v>
      </c>
      <c r="H43" s="21" t="s">
        <v>287</v>
      </c>
      <c r="I43" s="23" t="s">
        <v>64</v>
      </c>
      <c r="J43" s="21" t="s">
        <v>113</v>
      </c>
      <c r="K43" s="21" t="s">
        <v>66</v>
      </c>
      <c r="L43" s="21">
        <v>4412588</v>
      </c>
      <c r="M43" s="21">
        <v>669789</v>
      </c>
      <c r="N43" s="21" t="s">
        <v>106</v>
      </c>
      <c r="O43" s="25">
        <v>900000</v>
      </c>
      <c r="P43" s="26" t="s">
        <v>81</v>
      </c>
      <c r="Q43" s="26" t="s">
        <v>148</v>
      </c>
      <c r="R43" s="23" t="s">
        <v>149</v>
      </c>
      <c r="S43" s="23" t="s">
        <v>106</v>
      </c>
      <c r="T43" s="23" t="s">
        <v>124</v>
      </c>
      <c r="U43" s="26" t="s">
        <v>288</v>
      </c>
      <c r="V43" s="94">
        <v>842742</v>
      </c>
      <c r="W43" s="82">
        <v>14325</v>
      </c>
      <c r="X43" s="82">
        <v>5452</v>
      </c>
      <c r="Y43" s="82">
        <v>885</v>
      </c>
      <c r="Z43" s="82">
        <v>0</v>
      </c>
      <c r="AA43" s="82">
        <v>74923</v>
      </c>
      <c r="AB43" s="82">
        <v>0</v>
      </c>
      <c r="AC43" s="82">
        <v>0</v>
      </c>
      <c r="AD43" s="82">
        <v>28977</v>
      </c>
      <c r="AE43" s="83">
        <f t="shared" si="0"/>
        <v>967304</v>
      </c>
      <c r="AF43" s="21">
        <v>10000</v>
      </c>
      <c r="AG43" s="21">
        <v>20000</v>
      </c>
      <c r="AH43" s="21">
        <v>0</v>
      </c>
      <c r="AI43" s="21">
        <v>0</v>
      </c>
      <c r="AJ43" s="21">
        <v>2100</v>
      </c>
      <c r="AK43" s="21">
        <v>0</v>
      </c>
      <c r="AL43" s="21"/>
      <c r="AM43" s="21">
        <v>26204</v>
      </c>
      <c r="AN43" s="14">
        <f t="shared" si="1"/>
        <v>58304</v>
      </c>
      <c r="AO43" s="84">
        <f t="shared" si="2"/>
        <v>909000</v>
      </c>
      <c r="AP43" s="21">
        <v>26240</v>
      </c>
      <c r="AQ43" s="85">
        <v>240</v>
      </c>
      <c r="AR43" s="21">
        <f t="shared" si="3"/>
        <v>26000</v>
      </c>
      <c r="AS43" s="22">
        <v>0</v>
      </c>
      <c r="AT43" s="22">
        <v>0</v>
      </c>
      <c r="AU43" s="15">
        <f t="shared" si="4"/>
        <v>58544</v>
      </c>
      <c r="AV43" s="117">
        <f t="shared" si="5"/>
        <v>935000</v>
      </c>
      <c r="AW43" s="16">
        <f t="shared" si="11"/>
        <v>0</v>
      </c>
      <c r="AX43" s="23">
        <v>900000</v>
      </c>
      <c r="AY43" s="23" t="str">
        <f t="shared" si="12"/>
        <v>CHEQUE</v>
      </c>
      <c r="AZ43" s="86" t="s">
        <v>174</v>
      </c>
      <c r="BA43" s="13">
        <v>45392</v>
      </c>
      <c r="BB43" s="23">
        <v>4000</v>
      </c>
      <c r="BC43" s="23">
        <f>31000</f>
        <v>31000</v>
      </c>
      <c r="BD43" s="22">
        <v>0</v>
      </c>
      <c r="BE43" s="22">
        <v>0</v>
      </c>
      <c r="BF43" s="22">
        <v>0</v>
      </c>
      <c r="BG43" s="22">
        <v>0</v>
      </c>
      <c r="BH43" s="18">
        <f>+AV43-AX43-BB43-BC43-BF43+BG43</f>
        <v>0</v>
      </c>
      <c r="BI43" s="22" t="s">
        <v>289</v>
      </c>
      <c r="BJ43" s="22" t="s">
        <v>290</v>
      </c>
      <c r="BK43" s="19"/>
    </row>
    <row r="44" spans="1:63" ht="17.25" x14ac:dyDescent="0.3">
      <c r="A44" s="11">
        <v>45383</v>
      </c>
      <c r="B44" s="12">
        <v>43</v>
      </c>
      <c r="C44" s="12">
        <v>43</v>
      </c>
      <c r="D44" s="13">
        <v>45394</v>
      </c>
      <c r="E44" s="81" t="s">
        <v>291</v>
      </c>
      <c r="F44" s="23">
        <v>700984041</v>
      </c>
      <c r="G44" s="24">
        <f t="shared" si="10"/>
        <v>45394</v>
      </c>
      <c r="H44" s="21" t="s">
        <v>292</v>
      </c>
      <c r="I44" s="23" t="s">
        <v>64</v>
      </c>
      <c r="J44" s="21" t="s">
        <v>135</v>
      </c>
      <c r="K44" s="21" t="s">
        <v>213</v>
      </c>
      <c r="L44" s="21">
        <v>4443421</v>
      </c>
      <c r="M44" s="21">
        <v>722104</v>
      </c>
      <c r="N44" s="21" t="s">
        <v>67</v>
      </c>
      <c r="O44" s="25">
        <v>700000</v>
      </c>
      <c r="P44" s="26" t="s">
        <v>68</v>
      </c>
      <c r="Q44" s="26" t="s">
        <v>293</v>
      </c>
      <c r="R44" s="23" t="s">
        <v>67</v>
      </c>
      <c r="S44" s="23" t="s">
        <v>67</v>
      </c>
      <c r="T44" s="23" t="s">
        <v>70</v>
      </c>
      <c r="U44" s="26" t="s">
        <v>100</v>
      </c>
      <c r="V44" s="82">
        <v>932742</v>
      </c>
      <c r="W44" s="82">
        <v>15859</v>
      </c>
      <c r="X44" s="82">
        <v>6030</v>
      </c>
      <c r="Y44" s="82">
        <v>885</v>
      </c>
      <c r="Z44" s="82">
        <v>500</v>
      </c>
      <c r="AA44" s="82">
        <v>81813</v>
      </c>
      <c r="AB44" s="82">
        <v>0</v>
      </c>
      <c r="AC44" s="82">
        <v>0</v>
      </c>
      <c r="AD44" s="82">
        <v>31093</v>
      </c>
      <c r="AE44" s="83">
        <f t="shared" si="0"/>
        <v>1068922</v>
      </c>
      <c r="AF44" s="21">
        <v>0</v>
      </c>
      <c r="AG44" s="21">
        <v>10000</v>
      </c>
      <c r="AH44" s="21">
        <v>0</v>
      </c>
      <c r="AI44" s="21">
        <v>1</v>
      </c>
      <c r="AJ44" s="21" t="s">
        <v>243</v>
      </c>
      <c r="AK44" s="21">
        <v>0</v>
      </c>
      <c r="AL44" s="21"/>
      <c r="AM44" s="21">
        <v>8521</v>
      </c>
      <c r="AN44" s="14">
        <f t="shared" si="1"/>
        <v>18522</v>
      </c>
      <c r="AO44" s="84">
        <f t="shared" si="2"/>
        <v>1050400</v>
      </c>
      <c r="AP44" s="21">
        <v>16908</v>
      </c>
      <c r="AQ44" s="85">
        <v>108</v>
      </c>
      <c r="AR44" s="21">
        <f t="shared" si="3"/>
        <v>16800</v>
      </c>
      <c r="AS44" s="22">
        <v>0</v>
      </c>
      <c r="AT44" s="22">
        <v>0</v>
      </c>
      <c r="AU44" s="15">
        <f t="shared" si="4"/>
        <v>18630</v>
      </c>
      <c r="AV44" s="117">
        <f t="shared" si="5"/>
        <v>1067200</v>
      </c>
      <c r="AW44" s="16">
        <f t="shared" si="11"/>
        <v>-361166</v>
      </c>
      <c r="AX44" s="23">
        <v>1061166</v>
      </c>
      <c r="AY44" s="23" t="str">
        <f t="shared" si="12"/>
        <v>CANARA BANK</v>
      </c>
      <c r="AZ44" s="86">
        <v>45394</v>
      </c>
      <c r="BA44" s="13">
        <v>45394</v>
      </c>
      <c r="BB44" s="23">
        <v>0</v>
      </c>
      <c r="BC44" s="23">
        <f>6000</f>
        <v>6000</v>
      </c>
      <c r="BD44" s="22">
        <v>0</v>
      </c>
      <c r="BE44" s="22">
        <v>0</v>
      </c>
      <c r="BF44" s="22">
        <v>0</v>
      </c>
      <c r="BG44" s="22">
        <v>0</v>
      </c>
      <c r="BH44" s="18">
        <f>+AV44-AX44-BB44-BC44-BF44+BG44</f>
        <v>34</v>
      </c>
      <c r="BI44" s="22" t="s">
        <v>109</v>
      </c>
      <c r="BJ44" s="22"/>
      <c r="BK44" s="19"/>
    </row>
    <row r="45" spans="1:63" ht="17.25" x14ac:dyDescent="0.3">
      <c r="A45" s="11">
        <v>45383</v>
      </c>
      <c r="B45" s="12">
        <v>44</v>
      </c>
      <c r="C45" s="12">
        <v>44</v>
      </c>
      <c r="D45" s="13">
        <v>45397</v>
      </c>
      <c r="E45" s="87" t="s">
        <v>294</v>
      </c>
      <c r="F45" s="23">
        <v>7999498600</v>
      </c>
      <c r="G45" s="24">
        <f t="shared" si="10"/>
        <v>45397</v>
      </c>
      <c r="H45" s="21" t="s">
        <v>295</v>
      </c>
      <c r="I45" s="23" t="s">
        <v>64</v>
      </c>
      <c r="J45" s="21" t="s">
        <v>65</v>
      </c>
      <c r="K45" s="21" t="s">
        <v>66</v>
      </c>
      <c r="L45" s="21">
        <v>4424138</v>
      </c>
      <c r="M45" s="21">
        <v>687150</v>
      </c>
      <c r="N45" s="21" t="s">
        <v>105</v>
      </c>
      <c r="O45" s="25">
        <v>685000</v>
      </c>
      <c r="P45" s="26" t="s">
        <v>81</v>
      </c>
      <c r="Q45" s="26" t="s">
        <v>254</v>
      </c>
      <c r="R45" s="23" t="s">
        <v>296</v>
      </c>
      <c r="S45" s="23" t="s">
        <v>105</v>
      </c>
      <c r="T45" s="23" t="s">
        <v>107</v>
      </c>
      <c r="U45" s="26" t="s">
        <v>297</v>
      </c>
      <c r="V45" s="82">
        <v>665742</v>
      </c>
      <c r="W45" s="82">
        <v>0</v>
      </c>
      <c r="X45" s="82">
        <v>0</v>
      </c>
      <c r="Y45" s="82">
        <v>885</v>
      </c>
      <c r="Z45" s="82">
        <v>0</v>
      </c>
      <c r="AA45" s="82">
        <v>60463</v>
      </c>
      <c r="AB45" s="82">
        <v>0</v>
      </c>
      <c r="AC45" s="82">
        <v>0</v>
      </c>
      <c r="AD45" s="82">
        <v>27411</v>
      </c>
      <c r="AE45" s="83">
        <f t="shared" si="0"/>
        <v>754501</v>
      </c>
      <c r="AF45" s="21">
        <v>10000</v>
      </c>
      <c r="AG45" s="21">
        <v>20000</v>
      </c>
      <c r="AH45" s="21">
        <v>0</v>
      </c>
      <c r="AI45" s="21">
        <v>1</v>
      </c>
      <c r="AJ45" s="21">
        <v>0</v>
      </c>
      <c r="AK45" s="21">
        <v>0</v>
      </c>
      <c r="AL45" s="21"/>
      <c r="AM45" s="21">
        <v>9460</v>
      </c>
      <c r="AN45" s="14">
        <f t="shared" si="1"/>
        <v>39461</v>
      </c>
      <c r="AO45" s="84">
        <f t="shared" si="2"/>
        <v>715040</v>
      </c>
      <c r="AP45" s="21">
        <v>2000</v>
      </c>
      <c r="AQ45" s="85">
        <v>40</v>
      </c>
      <c r="AR45" s="21">
        <f t="shared" si="3"/>
        <v>1960</v>
      </c>
      <c r="AS45" s="22">
        <v>0</v>
      </c>
      <c r="AT45" s="22">
        <v>0</v>
      </c>
      <c r="AU45" s="15">
        <f t="shared" si="4"/>
        <v>39501</v>
      </c>
      <c r="AV45" s="117">
        <f t="shared" si="5"/>
        <v>717000</v>
      </c>
      <c r="AW45" s="16">
        <f t="shared" si="11"/>
        <v>105000</v>
      </c>
      <c r="AX45" s="23">
        <v>580000</v>
      </c>
      <c r="AY45" s="23" t="str">
        <f t="shared" si="12"/>
        <v>BANK OF BARODA</v>
      </c>
      <c r="AZ45" s="86">
        <v>45397</v>
      </c>
      <c r="BA45" s="13">
        <v>45397</v>
      </c>
      <c r="BB45" s="23">
        <f>5000+105000+20000</f>
        <v>130000</v>
      </c>
      <c r="BC45" s="23">
        <v>0</v>
      </c>
      <c r="BD45" s="22">
        <v>0</v>
      </c>
      <c r="BE45" s="22">
        <v>0</v>
      </c>
      <c r="BF45" s="22">
        <v>0</v>
      </c>
      <c r="BG45" s="22">
        <v>0</v>
      </c>
      <c r="BH45" s="18">
        <f>+AV45-AX45-BB45-BC45-BF45+BG45</f>
        <v>7000</v>
      </c>
      <c r="BI45" s="22" t="s">
        <v>298</v>
      </c>
      <c r="BJ45" s="22"/>
      <c r="BK45" s="19"/>
    </row>
    <row r="46" spans="1:63" ht="17.25" x14ac:dyDescent="0.3">
      <c r="A46" s="11">
        <v>45383</v>
      </c>
      <c r="B46" s="12">
        <v>45</v>
      </c>
      <c r="C46" s="12">
        <v>45</v>
      </c>
      <c r="D46" s="13">
        <v>45397</v>
      </c>
      <c r="E46" s="81" t="s">
        <v>299</v>
      </c>
      <c r="F46" s="23">
        <v>9399288862</v>
      </c>
      <c r="G46" s="24">
        <f t="shared" si="10"/>
        <v>45397</v>
      </c>
      <c r="H46" s="21" t="s">
        <v>300</v>
      </c>
      <c r="I46" s="23" t="s">
        <v>121</v>
      </c>
      <c r="J46" s="21" t="s">
        <v>65</v>
      </c>
      <c r="K46" s="21" t="s">
        <v>213</v>
      </c>
      <c r="L46" s="21">
        <v>7371301</v>
      </c>
      <c r="M46" s="21">
        <v>222514</v>
      </c>
      <c r="N46" s="21" t="s">
        <v>106</v>
      </c>
      <c r="O46" s="25">
        <v>800000</v>
      </c>
      <c r="P46" s="26" t="s">
        <v>68</v>
      </c>
      <c r="Q46" s="26" t="s">
        <v>122</v>
      </c>
      <c r="R46" s="23" t="s">
        <v>301</v>
      </c>
      <c r="S46" s="23" t="s">
        <v>106</v>
      </c>
      <c r="T46" s="23" t="s">
        <v>124</v>
      </c>
      <c r="U46" s="26" t="s">
        <v>302</v>
      </c>
      <c r="V46" s="82">
        <v>1098601</v>
      </c>
      <c r="W46" s="82">
        <v>0</v>
      </c>
      <c r="X46" s="82">
        <v>8142</v>
      </c>
      <c r="Y46" s="82">
        <v>885</v>
      </c>
      <c r="Z46" s="82">
        <v>0</v>
      </c>
      <c r="AA46" s="82">
        <v>115190</v>
      </c>
      <c r="AB46" s="82">
        <v>0</v>
      </c>
      <c r="AC46" s="82">
        <v>10780</v>
      </c>
      <c r="AD46" s="82">
        <v>31239</v>
      </c>
      <c r="AE46" s="83">
        <f t="shared" si="0"/>
        <v>1264837</v>
      </c>
      <c r="AF46" s="21">
        <v>0</v>
      </c>
      <c r="AG46" s="21">
        <v>0</v>
      </c>
      <c r="AH46" s="21">
        <v>0</v>
      </c>
      <c r="AI46" s="21">
        <v>1</v>
      </c>
      <c r="AJ46" s="21">
        <v>0</v>
      </c>
      <c r="AK46" s="21">
        <v>19000</v>
      </c>
      <c r="AL46" s="21"/>
      <c r="AM46" s="21">
        <v>1626</v>
      </c>
      <c r="AN46" s="14">
        <f t="shared" si="1"/>
        <v>20627</v>
      </c>
      <c r="AO46" s="84">
        <f t="shared" si="2"/>
        <v>1244210</v>
      </c>
      <c r="AP46" s="21">
        <v>1800</v>
      </c>
      <c r="AQ46" s="85">
        <v>10</v>
      </c>
      <c r="AR46" s="21">
        <f t="shared" si="3"/>
        <v>1790</v>
      </c>
      <c r="AS46" s="22">
        <v>0</v>
      </c>
      <c r="AT46" s="22">
        <v>0</v>
      </c>
      <c r="AU46" s="15">
        <f t="shared" si="4"/>
        <v>20637</v>
      </c>
      <c r="AV46" s="117">
        <f t="shared" si="5"/>
        <v>1246000</v>
      </c>
      <c r="AW46" s="16">
        <f t="shared" si="11"/>
        <v>0</v>
      </c>
      <c r="AX46" s="23">
        <v>800000</v>
      </c>
      <c r="AY46" s="23" t="str">
        <f t="shared" si="12"/>
        <v>BOI</v>
      </c>
      <c r="AZ46" s="86">
        <v>45397</v>
      </c>
      <c r="BA46" s="13">
        <v>45397</v>
      </c>
      <c r="BB46" s="23">
        <v>0</v>
      </c>
      <c r="BC46" s="23">
        <f>21000+75000+350000</f>
        <v>446000</v>
      </c>
      <c r="BD46" s="22">
        <v>0</v>
      </c>
      <c r="BE46" s="22">
        <v>0</v>
      </c>
      <c r="BF46" s="22">
        <v>0</v>
      </c>
      <c r="BG46" s="22">
        <v>0</v>
      </c>
      <c r="BH46" s="18">
        <f>+AV46-AX46-BB46-BC46-BF46+BG46</f>
        <v>0</v>
      </c>
      <c r="BI46" s="22" t="s">
        <v>109</v>
      </c>
      <c r="BJ46" s="22"/>
      <c r="BK46" s="19"/>
    </row>
    <row r="47" spans="1:63" ht="17.25" x14ac:dyDescent="0.3">
      <c r="A47" s="11">
        <v>45383</v>
      </c>
      <c r="B47" s="12">
        <v>46</v>
      </c>
      <c r="C47" s="12">
        <v>46</v>
      </c>
      <c r="D47" s="13">
        <v>45397</v>
      </c>
      <c r="E47" s="81" t="s">
        <v>303</v>
      </c>
      <c r="F47" s="23">
        <v>9753363642</v>
      </c>
      <c r="G47" s="24">
        <f t="shared" si="10"/>
        <v>45397</v>
      </c>
      <c r="H47" s="21" t="s">
        <v>304</v>
      </c>
      <c r="I47" s="23" t="s">
        <v>64</v>
      </c>
      <c r="J47" s="21" t="s">
        <v>89</v>
      </c>
      <c r="K47" s="21" t="s">
        <v>66</v>
      </c>
      <c r="L47" s="21">
        <v>1606523</v>
      </c>
      <c r="M47" s="21">
        <v>693804</v>
      </c>
      <c r="N47" s="21" t="s">
        <v>106</v>
      </c>
      <c r="O47" s="25">
        <v>680000</v>
      </c>
      <c r="P47" s="26" t="s">
        <v>81</v>
      </c>
      <c r="Q47" s="26" t="s">
        <v>191</v>
      </c>
      <c r="R47" s="23" t="s">
        <v>305</v>
      </c>
      <c r="S47" s="23" t="s">
        <v>106</v>
      </c>
      <c r="T47" s="23" t="s">
        <v>124</v>
      </c>
      <c r="U47" s="26" t="s">
        <v>288</v>
      </c>
      <c r="V47" s="82">
        <v>749742</v>
      </c>
      <c r="W47" s="82">
        <v>12744</v>
      </c>
      <c r="X47" s="82">
        <v>4850</v>
      </c>
      <c r="Y47" s="82">
        <v>885</v>
      </c>
      <c r="Z47" s="82">
        <v>0</v>
      </c>
      <c r="AA47" s="82">
        <v>67183</v>
      </c>
      <c r="AB47" s="82">
        <v>0</v>
      </c>
      <c r="AC47" s="82">
        <v>0</v>
      </c>
      <c r="AD47" s="82">
        <v>26688</v>
      </c>
      <c r="AE47" s="83">
        <f t="shared" si="0"/>
        <v>862092</v>
      </c>
      <c r="AF47" s="21">
        <v>10000</v>
      </c>
      <c r="AG47" s="21">
        <v>20000</v>
      </c>
      <c r="AH47" s="21">
        <v>0</v>
      </c>
      <c r="AI47" s="21">
        <v>0</v>
      </c>
      <c r="AJ47" s="21">
        <v>3000</v>
      </c>
      <c r="AK47" s="21">
        <v>0</v>
      </c>
      <c r="AL47" s="21"/>
      <c r="AM47" s="21">
        <v>25872</v>
      </c>
      <c r="AN47" s="14">
        <f t="shared" si="1"/>
        <v>58872</v>
      </c>
      <c r="AO47" s="84">
        <f t="shared" si="2"/>
        <v>803220</v>
      </c>
      <c r="AP47" s="21">
        <v>33720</v>
      </c>
      <c r="AQ47" s="85">
        <v>220</v>
      </c>
      <c r="AR47" s="21">
        <f t="shared" si="3"/>
        <v>33500</v>
      </c>
      <c r="AS47" s="22">
        <v>0</v>
      </c>
      <c r="AT47" s="22">
        <v>0</v>
      </c>
      <c r="AU47" s="15">
        <f t="shared" si="4"/>
        <v>59092</v>
      </c>
      <c r="AV47" s="117">
        <f t="shared" si="5"/>
        <v>836720</v>
      </c>
      <c r="AW47" s="16">
        <f t="shared" si="11"/>
        <v>0</v>
      </c>
      <c r="AX47" s="23">
        <v>680000</v>
      </c>
      <c r="AY47" s="23" t="str">
        <f t="shared" si="12"/>
        <v>SBI</v>
      </c>
      <c r="AZ47" s="86">
        <v>45397</v>
      </c>
      <c r="BA47" s="13">
        <v>45398</v>
      </c>
      <c r="BB47" s="23">
        <v>0</v>
      </c>
      <c r="BC47" s="23">
        <v>150000</v>
      </c>
      <c r="BD47" s="22">
        <v>0</v>
      </c>
      <c r="BE47" s="22">
        <v>0</v>
      </c>
      <c r="BF47" s="22">
        <v>0</v>
      </c>
      <c r="BG47" s="22">
        <v>0</v>
      </c>
      <c r="BH47" s="18">
        <f>+AV47-AX47-BB47-BC47-BF47+BG47</f>
        <v>6720</v>
      </c>
      <c r="BI47" s="22" t="s">
        <v>306</v>
      </c>
      <c r="BJ47" s="22"/>
      <c r="BK47" s="19"/>
    </row>
    <row r="48" spans="1:63" ht="17.25" x14ac:dyDescent="0.3">
      <c r="A48" s="11">
        <v>45383</v>
      </c>
      <c r="B48" s="12">
        <v>47</v>
      </c>
      <c r="C48" s="12">
        <v>47</v>
      </c>
      <c r="D48" s="13">
        <v>45399</v>
      </c>
      <c r="E48" s="81" t="s">
        <v>307</v>
      </c>
      <c r="F48" s="23">
        <v>9770102963</v>
      </c>
      <c r="G48" s="24">
        <f t="shared" si="10"/>
        <v>45399</v>
      </c>
      <c r="H48" s="21" t="s">
        <v>308</v>
      </c>
      <c r="I48" s="23" t="s">
        <v>162</v>
      </c>
      <c r="J48" s="21" t="s">
        <v>135</v>
      </c>
      <c r="K48" s="21" t="s">
        <v>66</v>
      </c>
      <c r="L48" s="21">
        <v>9458174</v>
      </c>
      <c r="M48" s="21">
        <v>372203</v>
      </c>
      <c r="N48" s="21" t="s">
        <v>67</v>
      </c>
      <c r="O48" s="25">
        <v>800000</v>
      </c>
      <c r="P48" s="26" t="s">
        <v>81</v>
      </c>
      <c r="Q48" s="26" t="s">
        <v>122</v>
      </c>
      <c r="R48" s="23" t="s">
        <v>309</v>
      </c>
      <c r="S48" s="23" t="s">
        <v>80</v>
      </c>
      <c r="T48" s="23" t="s">
        <v>70</v>
      </c>
      <c r="U48" s="26" t="s">
        <v>234</v>
      </c>
      <c r="V48" s="82">
        <v>1256000</v>
      </c>
      <c r="W48" s="82">
        <v>21346</v>
      </c>
      <c r="X48" s="82">
        <v>0</v>
      </c>
      <c r="Y48" s="82">
        <v>885</v>
      </c>
      <c r="Z48" s="82">
        <v>500</v>
      </c>
      <c r="AA48" s="82">
        <v>132830</v>
      </c>
      <c r="AB48" s="82">
        <v>0</v>
      </c>
      <c r="AC48" s="82">
        <v>12507</v>
      </c>
      <c r="AD48" s="82">
        <v>35848</v>
      </c>
      <c r="AE48" s="83">
        <f t="shared" si="0"/>
        <v>1459916</v>
      </c>
      <c r="AF48" s="21">
        <v>0</v>
      </c>
      <c r="AG48" s="21">
        <v>0</v>
      </c>
      <c r="AH48" s="21">
        <v>0</v>
      </c>
      <c r="AI48" s="21">
        <v>1</v>
      </c>
      <c r="AJ48" s="21">
        <v>0</v>
      </c>
      <c r="AK48" s="21">
        <v>0</v>
      </c>
      <c r="AL48" s="21"/>
      <c r="AM48" s="21">
        <v>5268</v>
      </c>
      <c r="AN48" s="14">
        <f t="shared" si="1"/>
        <v>5269</v>
      </c>
      <c r="AO48" s="84">
        <f t="shared" si="2"/>
        <v>1454647</v>
      </c>
      <c r="AP48" s="21">
        <v>40629</v>
      </c>
      <c r="AQ48" s="85">
        <v>276</v>
      </c>
      <c r="AR48" s="21">
        <f t="shared" si="3"/>
        <v>40353</v>
      </c>
      <c r="AS48" s="22">
        <v>0</v>
      </c>
      <c r="AT48" s="22">
        <v>0</v>
      </c>
      <c r="AU48" s="15">
        <f t="shared" si="4"/>
        <v>5545</v>
      </c>
      <c r="AV48" s="117">
        <f t="shared" si="5"/>
        <v>1495000</v>
      </c>
      <c r="AW48" s="16">
        <f t="shared" si="11"/>
        <v>-684045</v>
      </c>
      <c r="AX48" s="23">
        <v>1484045</v>
      </c>
      <c r="AY48" s="23" t="str">
        <f t="shared" si="12"/>
        <v>BOI</v>
      </c>
      <c r="AZ48" s="86">
        <v>45398</v>
      </c>
      <c r="BA48" s="13">
        <v>45398</v>
      </c>
      <c r="BB48" s="23">
        <f>11000</f>
        <v>11000</v>
      </c>
      <c r="BC48" s="23">
        <v>0</v>
      </c>
      <c r="BD48" s="22">
        <v>0</v>
      </c>
      <c r="BE48" s="22">
        <v>0</v>
      </c>
      <c r="BF48" s="22">
        <v>0</v>
      </c>
      <c r="BG48" s="22">
        <v>0</v>
      </c>
      <c r="BH48" s="18">
        <f>+AV48-AX48-BB48-BC48-BF48+BG48</f>
        <v>-45</v>
      </c>
      <c r="BI48" s="22" t="s">
        <v>310</v>
      </c>
      <c r="BJ48" s="22">
        <v>0</v>
      </c>
      <c r="BK48" s="19"/>
    </row>
    <row r="49" spans="1:63" ht="17.25" x14ac:dyDescent="0.3">
      <c r="A49" s="11">
        <v>45383</v>
      </c>
      <c r="B49" s="12">
        <v>48</v>
      </c>
      <c r="C49" s="12">
        <v>48</v>
      </c>
      <c r="D49" s="13">
        <v>45399</v>
      </c>
      <c r="E49" s="81" t="s">
        <v>311</v>
      </c>
      <c r="F49" s="23">
        <v>9713225401</v>
      </c>
      <c r="G49" s="24">
        <f t="shared" si="10"/>
        <v>45399</v>
      </c>
      <c r="H49" s="21" t="s">
        <v>312</v>
      </c>
      <c r="I49" s="23" t="s">
        <v>162</v>
      </c>
      <c r="J49" s="21" t="s">
        <v>313</v>
      </c>
      <c r="K49" s="21" t="s">
        <v>97</v>
      </c>
      <c r="L49" s="21">
        <v>7376276</v>
      </c>
      <c r="M49" s="21">
        <v>370841</v>
      </c>
      <c r="N49" s="21" t="s">
        <v>106</v>
      </c>
      <c r="O49" s="25">
        <v>700000</v>
      </c>
      <c r="P49" s="26" t="s">
        <v>81</v>
      </c>
      <c r="Q49" s="26" t="s">
        <v>122</v>
      </c>
      <c r="R49" s="23" t="s">
        <v>314</v>
      </c>
      <c r="S49" s="23" t="s">
        <v>106</v>
      </c>
      <c r="T49" s="23" t="s">
        <v>124</v>
      </c>
      <c r="U49" s="26" t="s">
        <v>315</v>
      </c>
      <c r="V49" s="82">
        <v>1261000</v>
      </c>
      <c r="W49" s="82">
        <v>0</v>
      </c>
      <c r="X49" s="82">
        <v>0</v>
      </c>
      <c r="Y49" s="82">
        <v>885</v>
      </c>
      <c r="Z49" s="82">
        <v>0</v>
      </c>
      <c r="AA49" s="82">
        <v>133330</v>
      </c>
      <c r="AB49" s="82">
        <v>0</v>
      </c>
      <c r="AC49" s="82">
        <v>12595</v>
      </c>
      <c r="AD49" s="82">
        <v>34732</v>
      </c>
      <c r="AE49" s="83">
        <f t="shared" si="0"/>
        <v>1442542</v>
      </c>
      <c r="AF49" s="21">
        <v>0</v>
      </c>
      <c r="AG49" s="21">
        <v>0</v>
      </c>
      <c r="AH49" s="21">
        <v>0</v>
      </c>
      <c r="AI49" s="21">
        <v>0</v>
      </c>
      <c r="AJ49" s="21">
        <v>0</v>
      </c>
      <c r="AK49" s="21">
        <v>0</v>
      </c>
      <c r="AL49" s="21"/>
      <c r="AM49" s="21">
        <v>1542</v>
      </c>
      <c r="AN49" s="14">
        <f t="shared" si="1"/>
        <v>1542</v>
      </c>
      <c r="AO49" s="84">
        <f t="shared" si="2"/>
        <v>1441000</v>
      </c>
      <c r="AP49" s="21">
        <v>0</v>
      </c>
      <c r="AQ49" s="85">
        <v>0</v>
      </c>
      <c r="AR49" s="21">
        <f t="shared" si="3"/>
        <v>0</v>
      </c>
      <c r="AS49" s="22">
        <v>0</v>
      </c>
      <c r="AT49" s="22">
        <v>0</v>
      </c>
      <c r="AU49" s="15">
        <f t="shared" si="4"/>
        <v>1542</v>
      </c>
      <c r="AV49" s="117">
        <f t="shared" si="5"/>
        <v>1441000</v>
      </c>
      <c r="AW49" s="16">
        <f t="shared" si="11"/>
        <v>0</v>
      </c>
      <c r="AX49" s="23">
        <v>700000</v>
      </c>
      <c r="AY49" s="23" t="str">
        <f t="shared" si="12"/>
        <v>BOI</v>
      </c>
      <c r="AZ49" s="86">
        <v>45400</v>
      </c>
      <c r="BA49" s="13">
        <v>45401</v>
      </c>
      <c r="BB49" s="23">
        <f>190000</f>
        <v>190000</v>
      </c>
      <c r="BC49" s="23">
        <f>35000+35000+25000+11000+400000+45000</f>
        <v>551000</v>
      </c>
      <c r="BD49" s="22">
        <v>0</v>
      </c>
      <c r="BE49" s="22">
        <v>0</v>
      </c>
      <c r="BF49" s="22">
        <v>0</v>
      </c>
      <c r="BG49" s="22">
        <v>0</v>
      </c>
      <c r="BH49" s="18">
        <f>+AV49-AX49-BB49-BC49-BF49+BG49</f>
        <v>0</v>
      </c>
      <c r="BI49" s="22" t="s">
        <v>316</v>
      </c>
      <c r="BJ49" s="22"/>
      <c r="BK49" s="19"/>
    </row>
    <row r="50" spans="1:63" ht="17.25" x14ac:dyDescent="0.3">
      <c r="A50" s="11">
        <v>45383</v>
      </c>
      <c r="B50" s="12">
        <v>49</v>
      </c>
      <c r="C50" s="12">
        <v>49</v>
      </c>
      <c r="D50" s="13">
        <v>45400</v>
      </c>
      <c r="E50" s="81" t="s">
        <v>317</v>
      </c>
      <c r="F50" s="23">
        <v>6265022721</v>
      </c>
      <c r="G50" s="24">
        <f t="shared" si="10"/>
        <v>45400</v>
      </c>
      <c r="H50" s="21" t="s">
        <v>318</v>
      </c>
      <c r="I50" s="23" t="s">
        <v>78</v>
      </c>
      <c r="J50" s="21" t="s">
        <v>65</v>
      </c>
      <c r="K50" s="21" t="s">
        <v>66</v>
      </c>
      <c r="L50" s="21">
        <v>7469324</v>
      </c>
      <c r="M50" s="21">
        <v>241931</v>
      </c>
      <c r="N50" s="21" t="s">
        <v>155</v>
      </c>
      <c r="O50" s="25">
        <v>731000</v>
      </c>
      <c r="P50" s="26" t="s">
        <v>68</v>
      </c>
      <c r="Q50" s="26" t="s">
        <v>136</v>
      </c>
      <c r="R50" s="23" t="s">
        <v>106</v>
      </c>
      <c r="S50" s="23" t="s">
        <v>106</v>
      </c>
      <c r="T50" s="23" t="s">
        <v>157</v>
      </c>
      <c r="U50" s="26" t="s">
        <v>158</v>
      </c>
      <c r="V50" s="82">
        <v>751242</v>
      </c>
      <c r="W50" s="82">
        <v>12779</v>
      </c>
      <c r="X50" s="82">
        <v>0</v>
      </c>
      <c r="Y50" s="82">
        <v>885</v>
      </c>
      <c r="Z50" s="82">
        <v>0</v>
      </c>
      <c r="AA50" s="82">
        <v>67303</v>
      </c>
      <c r="AB50" s="82">
        <v>0</v>
      </c>
      <c r="AC50" s="82">
        <v>0</v>
      </c>
      <c r="AD50" s="82">
        <v>26187</v>
      </c>
      <c r="AE50" s="83">
        <f t="shared" si="0"/>
        <v>858396</v>
      </c>
      <c r="AF50" s="21">
        <v>0</v>
      </c>
      <c r="AG50" s="21">
        <v>10000</v>
      </c>
      <c r="AH50" s="21">
        <v>0</v>
      </c>
      <c r="AI50" s="21">
        <v>1</v>
      </c>
      <c r="AJ50" s="21">
        <v>0</v>
      </c>
      <c r="AK50" s="21">
        <v>0</v>
      </c>
      <c r="AL50" s="21"/>
      <c r="AM50" s="21">
        <v>14608</v>
      </c>
      <c r="AN50" s="14">
        <f t="shared" si="1"/>
        <v>24609</v>
      </c>
      <c r="AO50" s="84">
        <f t="shared" si="2"/>
        <v>833787</v>
      </c>
      <c r="AP50" s="21">
        <v>24860</v>
      </c>
      <c r="AQ50" s="85">
        <v>647</v>
      </c>
      <c r="AR50" s="21">
        <f t="shared" si="3"/>
        <v>24213</v>
      </c>
      <c r="AS50" s="22">
        <v>0</v>
      </c>
      <c r="AT50" s="22">
        <v>0</v>
      </c>
      <c r="AU50" s="15">
        <f t="shared" si="4"/>
        <v>25256</v>
      </c>
      <c r="AV50" s="117">
        <f t="shared" si="5"/>
        <v>858000</v>
      </c>
      <c r="AW50" s="16">
        <f t="shared" si="11"/>
        <v>31000</v>
      </c>
      <c r="AX50" s="23">
        <v>700000</v>
      </c>
      <c r="AY50" s="23" t="str">
        <f t="shared" si="12"/>
        <v>CHOLA</v>
      </c>
      <c r="AZ50" s="86">
        <v>45401</v>
      </c>
      <c r="BA50" s="13"/>
      <c r="BB50" s="23">
        <v>158000</v>
      </c>
      <c r="BC50" s="23">
        <v>0</v>
      </c>
      <c r="BD50" s="22">
        <v>0</v>
      </c>
      <c r="BE50" s="22">
        <v>0</v>
      </c>
      <c r="BF50" s="22">
        <v>0</v>
      </c>
      <c r="BG50" s="22">
        <v>0</v>
      </c>
      <c r="BH50" s="18">
        <f>+AV50-AX50-BB50-BC50-BF50+BG50</f>
        <v>0</v>
      </c>
      <c r="BI50" s="22" t="s">
        <v>319</v>
      </c>
      <c r="BJ50" s="22"/>
      <c r="BK50" s="19"/>
    </row>
    <row r="51" spans="1:63" ht="17.25" x14ac:dyDescent="0.3">
      <c r="A51" s="11">
        <v>45383</v>
      </c>
      <c r="B51" s="12">
        <v>50</v>
      </c>
      <c r="C51" s="12">
        <v>50</v>
      </c>
      <c r="D51" s="13">
        <v>45400</v>
      </c>
      <c r="E51" s="81" t="s">
        <v>320</v>
      </c>
      <c r="F51" s="23">
        <v>8770107683</v>
      </c>
      <c r="G51" s="24">
        <f t="shared" si="10"/>
        <v>45400</v>
      </c>
      <c r="H51" s="21" t="s">
        <v>321</v>
      </c>
      <c r="I51" s="23" t="s">
        <v>121</v>
      </c>
      <c r="J51" s="21" t="s">
        <v>65</v>
      </c>
      <c r="K51" s="21" t="s">
        <v>97</v>
      </c>
      <c r="L51" s="21">
        <v>7378364</v>
      </c>
      <c r="M51" s="21">
        <v>224717</v>
      </c>
      <c r="N51" s="21" t="s">
        <v>67</v>
      </c>
      <c r="O51" s="25">
        <v>0</v>
      </c>
      <c r="P51" s="26" t="s">
        <v>81</v>
      </c>
      <c r="Q51" s="26" t="s">
        <v>148</v>
      </c>
      <c r="R51" s="23" t="s">
        <v>149</v>
      </c>
      <c r="S51" s="23" t="s">
        <v>67</v>
      </c>
      <c r="T51" s="23" t="s">
        <v>115</v>
      </c>
      <c r="U51" s="26" t="s">
        <v>282</v>
      </c>
      <c r="V51" s="82">
        <v>1098601</v>
      </c>
      <c r="W51" s="82">
        <v>18680</v>
      </c>
      <c r="X51" s="82">
        <v>0</v>
      </c>
      <c r="Y51" s="82">
        <v>885</v>
      </c>
      <c r="Z51" s="82">
        <v>500</v>
      </c>
      <c r="AA51" s="82">
        <v>115190</v>
      </c>
      <c r="AB51" s="82">
        <v>0</v>
      </c>
      <c r="AC51" s="82">
        <v>10678</v>
      </c>
      <c r="AD51" s="82">
        <v>31239</v>
      </c>
      <c r="AE51" s="83">
        <f t="shared" si="0"/>
        <v>1275773</v>
      </c>
      <c r="AF51" s="21">
        <v>0</v>
      </c>
      <c r="AG51" s="21">
        <v>0</v>
      </c>
      <c r="AH51" s="21">
        <v>0</v>
      </c>
      <c r="AI51" s="21">
        <v>1</v>
      </c>
      <c r="AJ51" s="21">
        <v>0</v>
      </c>
      <c r="AK51" s="21">
        <v>19000</v>
      </c>
      <c r="AL51" s="21"/>
      <c r="AM51" s="21">
        <v>11772</v>
      </c>
      <c r="AN51" s="14">
        <f t="shared" si="1"/>
        <v>30773</v>
      </c>
      <c r="AO51" s="84">
        <f t="shared" si="2"/>
        <v>1245000</v>
      </c>
      <c r="AP51" s="21">
        <v>0</v>
      </c>
      <c r="AQ51" s="85">
        <v>0</v>
      </c>
      <c r="AR51" s="21">
        <f t="shared" si="3"/>
        <v>0</v>
      </c>
      <c r="AS51" s="22">
        <v>0</v>
      </c>
      <c r="AT51" s="22">
        <v>0</v>
      </c>
      <c r="AU51" s="15">
        <f t="shared" si="4"/>
        <v>30773</v>
      </c>
      <c r="AV51" s="117">
        <f t="shared" si="5"/>
        <v>1245000</v>
      </c>
      <c r="AW51" s="16">
        <f t="shared" si="11"/>
        <v>-500000</v>
      </c>
      <c r="AX51" s="23">
        <v>500000</v>
      </c>
      <c r="AY51" s="23" t="str">
        <f t="shared" si="12"/>
        <v>CHEQUE</v>
      </c>
      <c r="AZ51" s="86">
        <v>45401</v>
      </c>
      <c r="BA51" s="86">
        <v>45401</v>
      </c>
      <c r="BB51" s="23">
        <v>0</v>
      </c>
      <c r="BC51" s="23">
        <f>500000+140000+5000+100000</f>
        <v>745000</v>
      </c>
      <c r="BD51" s="22">
        <v>0</v>
      </c>
      <c r="BE51" s="22">
        <v>0</v>
      </c>
      <c r="BF51" s="22">
        <v>0</v>
      </c>
      <c r="BG51" s="22">
        <v>0</v>
      </c>
      <c r="BH51" s="18">
        <f>+AV51-AX51-BB51-BC51-BF51+BG51</f>
        <v>0</v>
      </c>
      <c r="BI51" s="22" t="s">
        <v>109</v>
      </c>
      <c r="BJ51" s="22"/>
      <c r="BK51" s="19"/>
    </row>
    <row r="52" spans="1:63" ht="17.25" x14ac:dyDescent="0.3">
      <c r="A52" s="11">
        <v>45383</v>
      </c>
      <c r="B52" s="12">
        <v>51</v>
      </c>
      <c r="C52" s="12">
        <v>51</v>
      </c>
      <c r="D52" s="13">
        <v>45401</v>
      </c>
      <c r="E52" s="81" t="s">
        <v>322</v>
      </c>
      <c r="F52" s="23">
        <v>9754181200</v>
      </c>
      <c r="G52" s="24">
        <f t="shared" si="10"/>
        <v>45401</v>
      </c>
      <c r="H52" s="21" t="s">
        <v>323</v>
      </c>
      <c r="I52" s="23" t="s">
        <v>78</v>
      </c>
      <c r="J52" s="21" t="s">
        <v>324</v>
      </c>
      <c r="K52" s="21" t="s">
        <v>66</v>
      </c>
      <c r="L52" s="21">
        <v>7454895</v>
      </c>
      <c r="M52" s="21">
        <v>230646</v>
      </c>
      <c r="N52" s="21" t="s">
        <v>155</v>
      </c>
      <c r="O52" s="25">
        <v>410000</v>
      </c>
      <c r="P52" s="26" t="s">
        <v>81</v>
      </c>
      <c r="Q52" s="26" t="s">
        <v>122</v>
      </c>
      <c r="R52" s="23" t="s">
        <v>155</v>
      </c>
      <c r="S52" s="23" t="s">
        <v>155</v>
      </c>
      <c r="T52" s="23" t="s">
        <v>157</v>
      </c>
      <c r="U52" s="26" t="s">
        <v>215</v>
      </c>
      <c r="V52" s="82">
        <v>877242</v>
      </c>
      <c r="W52" s="82">
        <v>14915</v>
      </c>
      <c r="X52" s="82">
        <v>0</v>
      </c>
      <c r="Y52" s="82">
        <v>885</v>
      </c>
      <c r="Z52" s="82">
        <v>0</v>
      </c>
      <c r="AA52" s="82">
        <v>77383</v>
      </c>
      <c r="AB52" s="82">
        <v>0</v>
      </c>
      <c r="AC52" s="82">
        <v>0</v>
      </c>
      <c r="AD52" s="82">
        <v>28124</v>
      </c>
      <c r="AE52" s="83">
        <f t="shared" si="0"/>
        <v>998549</v>
      </c>
      <c r="AF52" s="21">
        <v>0</v>
      </c>
      <c r="AG52" s="21">
        <v>10000</v>
      </c>
      <c r="AH52" s="21">
        <v>0</v>
      </c>
      <c r="AI52" s="21">
        <v>1</v>
      </c>
      <c r="AJ52" s="21">
        <v>0</v>
      </c>
      <c r="AK52" s="21">
        <v>0</v>
      </c>
      <c r="AL52" s="21"/>
      <c r="AM52" s="21">
        <v>32424</v>
      </c>
      <c r="AN52" s="14">
        <f t="shared" si="1"/>
        <v>42425</v>
      </c>
      <c r="AO52" s="84">
        <f t="shared" si="2"/>
        <v>956124</v>
      </c>
      <c r="AP52" s="21">
        <v>10200</v>
      </c>
      <c r="AQ52" s="85">
        <v>324</v>
      </c>
      <c r="AR52" s="21">
        <f t="shared" si="3"/>
        <v>9876</v>
      </c>
      <c r="AS52" s="22">
        <v>0</v>
      </c>
      <c r="AT52" s="22">
        <v>0</v>
      </c>
      <c r="AU52" s="15">
        <f t="shared" si="4"/>
        <v>42749</v>
      </c>
      <c r="AV52" s="117">
        <f t="shared" si="5"/>
        <v>966000</v>
      </c>
      <c r="AW52" s="16">
        <f t="shared" si="11"/>
        <v>0</v>
      </c>
      <c r="AX52" s="23">
        <v>410000</v>
      </c>
      <c r="AY52" s="23" t="str">
        <f t="shared" si="12"/>
        <v>BOI</v>
      </c>
      <c r="AZ52" s="86">
        <v>45401</v>
      </c>
      <c r="BA52" s="86">
        <v>45401</v>
      </c>
      <c r="BB52" s="23">
        <v>0</v>
      </c>
      <c r="BC52" s="23">
        <f>5000+550000</f>
        <v>555000</v>
      </c>
      <c r="BD52" s="22">
        <v>0</v>
      </c>
      <c r="BE52" s="22">
        <v>0</v>
      </c>
      <c r="BF52" s="22">
        <v>0</v>
      </c>
      <c r="BG52" s="22">
        <v>0</v>
      </c>
      <c r="BH52" s="18">
        <f>+AV52-AX52-BB52-BC52-BF52+BG52</f>
        <v>1000</v>
      </c>
      <c r="BI52" s="22" t="s">
        <v>325</v>
      </c>
      <c r="BJ52" s="22"/>
      <c r="BK52" s="19"/>
    </row>
    <row r="53" spans="1:63" ht="17.25" x14ac:dyDescent="0.3">
      <c r="A53" s="11">
        <v>45383</v>
      </c>
      <c r="B53" s="12">
        <v>52</v>
      </c>
      <c r="C53" s="12">
        <v>52</v>
      </c>
      <c r="D53" s="13">
        <v>45401</v>
      </c>
      <c r="E53" s="81" t="s">
        <v>326</v>
      </c>
      <c r="F53" s="23">
        <v>9575118638</v>
      </c>
      <c r="G53" s="24">
        <f t="shared" si="10"/>
        <v>45401</v>
      </c>
      <c r="H53" s="21" t="s">
        <v>327</v>
      </c>
      <c r="I53" s="23" t="s">
        <v>64</v>
      </c>
      <c r="J53" s="21" t="s">
        <v>65</v>
      </c>
      <c r="K53" s="21" t="s">
        <v>66</v>
      </c>
      <c r="L53" s="21">
        <v>7450989</v>
      </c>
      <c r="M53" s="21">
        <v>688537</v>
      </c>
      <c r="N53" s="21" t="s">
        <v>67</v>
      </c>
      <c r="O53" s="25">
        <v>380000</v>
      </c>
      <c r="P53" s="26" t="s">
        <v>68</v>
      </c>
      <c r="Q53" s="26" t="s">
        <v>179</v>
      </c>
      <c r="R53" s="23" t="s">
        <v>67</v>
      </c>
      <c r="S53" s="23" t="s">
        <v>67</v>
      </c>
      <c r="T53" s="23" t="s">
        <v>70</v>
      </c>
      <c r="U53" s="26" t="s">
        <v>71</v>
      </c>
      <c r="V53" s="82">
        <v>665742</v>
      </c>
      <c r="W53" s="82">
        <v>11328</v>
      </c>
      <c r="X53" s="82">
        <v>0</v>
      </c>
      <c r="Y53" s="82">
        <v>885</v>
      </c>
      <c r="Z53" s="82">
        <v>500</v>
      </c>
      <c r="AA53" s="82">
        <v>60463</v>
      </c>
      <c r="AB53" s="82">
        <v>0</v>
      </c>
      <c r="AC53" s="82">
        <v>0</v>
      </c>
      <c r="AD53" s="82">
        <v>25337</v>
      </c>
      <c r="AE53" s="83">
        <f t="shared" si="0"/>
        <v>764255</v>
      </c>
      <c r="AF53" s="21">
        <v>10000</v>
      </c>
      <c r="AG53" s="21">
        <v>17000</v>
      </c>
      <c r="AH53" s="21">
        <v>0</v>
      </c>
      <c r="AI53" s="21">
        <v>1</v>
      </c>
      <c r="AJ53" s="21">
        <v>0</v>
      </c>
      <c r="AK53" s="21">
        <v>0</v>
      </c>
      <c r="AL53" s="21"/>
      <c r="AM53" s="21">
        <v>19754</v>
      </c>
      <c r="AN53" s="14">
        <f t="shared" si="1"/>
        <v>46755</v>
      </c>
      <c r="AO53" s="84">
        <f t="shared" si="2"/>
        <v>717500</v>
      </c>
      <c r="AP53" s="21">
        <v>63910</v>
      </c>
      <c r="AQ53" s="85">
        <v>410</v>
      </c>
      <c r="AR53" s="21">
        <f t="shared" si="3"/>
        <v>63500</v>
      </c>
      <c r="AS53" s="22">
        <v>0</v>
      </c>
      <c r="AT53" s="22">
        <v>0</v>
      </c>
      <c r="AU53" s="15">
        <f t="shared" si="4"/>
        <v>47165</v>
      </c>
      <c r="AV53" s="117">
        <f t="shared" si="5"/>
        <v>781000</v>
      </c>
      <c r="AW53" s="16">
        <f t="shared" si="11"/>
        <v>6378</v>
      </c>
      <c r="AX53" s="23">
        <v>373622</v>
      </c>
      <c r="AY53" s="23" t="str">
        <f t="shared" si="12"/>
        <v>MAHINDRA</v>
      </c>
      <c r="AZ53" s="86">
        <v>45401</v>
      </c>
      <c r="BA53" s="13">
        <v>45405</v>
      </c>
      <c r="BB53" s="23">
        <f>157400</f>
        <v>157400</v>
      </c>
      <c r="BC53" s="23">
        <v>250000</v>
      </c>
      <c r="BD53" s="22">
        <v>0</v>
      </c>
      <c r="BE53" s="22">
        <v>0</v>
      </c>
      <c r="BF53" s="22">
        <v>0</v>
      </c>
      <c r="BG53" s="22">
        <v>0</v>
      </c>
      <c r="BH53" s="18">
        <f>+AV53-AX53-BB53-BC53-BF53+BG53</f>
        <v>-22</v>
      </c>
      <c r="BI53" s="22" t="s">
        <v>328</v>
      </c>
      <c r="BJ53" s="22" t="s">
        <v>329</v>
      </c>
      <c r="BK53" s="19"/>
    </row>
    <row r="54" spans="1:63" ht="17.25" x14ac:dyDescent="0.3">
      <c r="A54" s="11">
        <v>45383</v>
      </c>
      <c r="B54" s="12">
        <v>53</v>
      </c>
      <c r="C54" s="12">
        <v>53</v>
      </c>
      <c r="D54" s="13">
        <v>45405</v>
      </c>
      <c r="E54" s="81" t="s">
        <v>330</v>
      </c>
      <c r="F54" s="23">
        <v>8770915102</v>
      </c>
      <c r="G54" s="24">
        <f t="shared" si="10"/>
        <v>45405</v>
      </c>
      <c r="H54" s="21" t="s">
        <v>331</v>
      </c>
      <c r="I54" s="23" t="s">
        <v>162</v>
      </c>
      <c r="J54" s="21" t="s">
        <v>135</v>
      </c>
      <c r="K54" s="21" t="s">
        <v>66</v>
      </c>
      <c r="L54" s="21">
        <v>9461528</v>
      </c>
      <c r="M54" s="21">
        <v>372685</v>
      </c>
      <c r="N54" s="21" t="s">
        <v>147</v>
      </c>
      <c r="O54" s="25">
        <v>1250000</v>
      </c>
      <c r="P54" s="26" t="s">
        <v>81</v>
      </c>
      <c r="Q54" s="26" t="s">
        <v>122</v>
      </c>
      <c r="R54" s="23" t="s">
        <v>147</v>
      </c>
      <c r="S54" s="23" t="s">
        <v>67</v>
      </c>
      <c r="T54" s="23" t="s">
        <v>150</v>
      </c>
      <c r="U54" s="26" t="s">
        <v>332</v>
      </c>
      <c r="V54" s="82">
        <v>1256000</v>
      </c>
      <c r="W54" s="82">
        <v>21346</v>
      </c>
      <c r="X54" s="82">
        <v>0</v>
      </c>
      <c r="Y54" s="82" t="s">
        <v>180</v>
      </c>
      <c r="Z54" s="82">
        <v>0</v>
      </c>
      <c r="AA54" s="82">
        <v>132830</v>
      </c>
      <c r="AB54" s="82">
        <v>0</v>
      </c>
      <c r="AC54" s="82">
        <v>12335</v>
      </c>
      <c r="AD54" s="82">
        <v>34786</v>
      </c>
      <c r="AE54" s="83">
        <f t="shared" si="0"/>
        <v>1457297</v>
      </c>
      <c r="AF54" s="21">
        <v>0</v>
      </c>
      <c r="AG54" s="21">
        <v>0</v>
      </c>
      <c r="AH54" s="21">
        <v>0</v>
      </c>
      <c r="AI54" s="21">
        <v>1</v>
      </c>
      <c r="AJ54" s="21">
        <v>0</v>
      </c>
      <c r="AK54" s="21">
        <v>0</v>
      </c>
      <c r="AL54" s="21"/>
      <c r="AM54" s="21">
        <v>22521</v>
      </c>
      <c r="AN54" s="14">
        <f t="shared" si="1"/>
        <v>22522</v>
      </c>
      <c r="AO54" s="84">
        <f t="shared" si="2"/>
        <v>1434775</v>
      </c>
      <c r="AP54" s="21">
        <v>31369</v>
      </c>
      <c r="AQ54" s="85">
        <v>1144</v>
      </c>
      <c r="AR54" s="21">
        <f t="shared" si="3"/>
        <v>30225</v>
      </c>
      <c r="AS54" s="22">
        <v>0</v>
      </c>
      <c r="AT54" s="22">
        <v>0</v>
      </c>
      <c r="AU54" s="15">
        <f t="shared" si="4"/>
        <v>23666</v>
      </c>
      <c r="AV54" s="117">
        <f t="shared" si="5"/>
        <v>1465000</v>
      </c>
      <c r="AW54" s="16">
        <f t="shared" si="11"/>
        <v>-10000</v>
      </c>
      <c r="AX54" s="23">
        <v>1260000</v>
      </c>
      <c r="AY54" s="23" t="str">
        <f t="shared" si="12"/>
        <v>BOI</v>
      </c>
      <c r="AZ54" s="86">
        <v>45405</v>
      </c>
      <c r="BA54" s="13">
        <v>45408</v>
      </c>
      <c r="BB54" s="23">
        <v>110000</v>
      </c>
      <c r="BC54" s="23">
        <f>5000+100000</f>
        <v>105000</v>
      </c>
      <c r="BD54" s="22">
        <v>0</v>
      </c>
      <c r="BE54" s="22">
        <v>0</v>
      </c>
      <c r="BF54" s="22">
        <v>0</v>
      </c>
      <c r="BG54" s="22">
        <v>0</v>
      </c>
      <c r="BH54" s="18">
        <f>+AV54-AX54-BB54-BC54-BF54+BG54</f>
        <v>-10000</v>
      </c>
      <c r="BI54" s="22" t="s">
        <v>333</v>
      </c>
      <c r="BJ54" s="22"/>
      <c r="BK54" s="19"/>
    </row>
    <row r="55" spans="1:63" ht="17.25" x14ac:dyDescent="0.3">
      <c r="A55" s="11">
        <v>45383</v>
      </c>
      <c r="B55" s="12">
        <v>54</v>
      </c>
      <c r="C55" s="12">
        <v>54</v>
      </c>
      <c r="D55" s="13">
        <v>45406</v>
      </c>
      <c r="E55" s="81" t="s">
        <v>334</v>
      </c>
      <c r="F55" s="23">
        <v>9575970591</v>
      </c>
      <c r="G55" s="24">
        <f t="shared" si="10"/>
        <v>45406</v>
      </c>
      <c r="H55" s="21" t="s">
        <v>335</v>
      </c>
      <c r="I55" s="23" t="s">
        <v>64</v>
      </c>
      <c r="J55" s="21" t="s">
        <v>89</v>
      </c>
      <c r="K55" s="21" t="s">
        <v>97</v>
      </c>
      <c r="L55" s="21">
        <v>4433415</v>
      </c>
      <c r="M55" s="21">
        <v>704679</v>
      </c>
      <c r="N55" s="21" t="s">
        <v>67</v>
      </c>
      <c r="O55" s="25">
        <v>200000</v>
      </c>
      <c r="P55" s="26" t="s">
        <v>68</v>
      </c>
      <c r="Q55" s="26" t="s">
        <v>191</v>
      </c>
      <c r="R55" s="23" t="s">
        <v>336</v>
      </c>
      <c r="S55" s="23" t="s">
        <v>67</v>
      </c>
      <c r="T55" s="23" t="s">
        <v>70</v>
      </c>
      <c r="U55" s="26" t="s">
        <v>234</v>
      </c>
      <c r="V55" s="82">
        <v>749742</v>
      </c>
      <c r="W55" s="82">
        <v>12744</v>
      </c>
      <c r="X55" s="82">
        <v>4850</v>
      </c>
      <c r="Y55" s="82">
        <v>885</v>
      </c>
      <c r="Z55" s="82">
        <v>500</v>
      </c>
      <c r="AA55" s="82">
        <v>67183</v>
      </c>
      <c r="AB55" s="82">
        <v>0</v>
      </c>
      <c r="AC55" s="82">
        <v>0</v>
      </c>
      <c r="AD55" s="82">
        <v>26511</v>
      </c>
      <c r="AE55" s="83">
        <f t="shared" si="0"/>
        <v>862415</v>
      </c>
      <c r="AF55" s="21">
        <v>10000</v>
      </c>
      <c r="AG55" s="21">
        <v>17000</v>
      </c>
      <c r="AH55" s="21">
        <v>0</v>
      </c>
      <c r="AI55" s="21">
        <v>0</v>
      </c>
      <c r="AJ55" s="21">
        <v>3000</v>
      </c>
      <c r="AK55" s="21">
        <v>0</v>
      </c>
      <c r="AL55" s="21"/>
      <c r="AM55" s="21">
        <v>11415</v>
      </c>
      <c r="AN55" s="14">
        <f t="shared" si="1"/>
        <v>41415</v>
      </c>
      <c r="AO55" s="84">
        <f t="shared" si="2"/>
        <v>821000</v>
      </c>
      <c r="AP55" s="21">
        <v>14600</v>
      </c>
      <c r="AQ55" s="85">
        <v>600</v>
      </c>
      <c r="AR55" s="21">
        <f t="shared" si="3"/>
        <v>14000</v>
      </c>
      <c r="AS55" s="22">
        <v>0</v>
      </c>
      <c r="AT55" s="22">
        <v>0</v>
      </c>
      <c r="AU55" s="15">
        <f t="shared" si="4"/>
        <v>42015</v>
      </c>
      <c r="AV55" s="117">
        <f t="shared" si="5"/>
        <v>835000</v>
      </c>
      <c r="AW55" s="16">
        <f t="shared" si="11"/>
        <v>0</v>
      </c>
      <c r="AX55" s="23">
        <v>200000</v>
      </c>
      <c r="AY55" s="23" t="str">
        <f t="shared" si="12"/>
        <v>SBI</v>
      </c>
      <c r="AZ55" s="86">
        <v>45405</v>
      </c>
      <c r="BA55" s="86">
        <v>45405</v>
      </c>
      <c r="BB55" s="23">
        <v>0</v>
      </c>
      <c r="BC55" s="23">
        <f>620000+15000</f>
        <v>635000</v>
      </c>
      <c r="BD55" s="22">
        <v>0</v>
      </c>
      <c r="BE55" s="22">
        <v>0</v>
      </c>
      <c r="BF55" s="22">
        <v>0</v>
      </c>
      <c r="BG55" s="22">
        <v>0</v>
      </c>
      <c r="BH55" s="18">
        <f>+AV55-AX55-BB55-BC55-BF55+BG55</f>
        <v>0</v>
      </c>
      <c r="BI55" s="22" t="s">
        <v>109</v>
      </c>
      <c r="BJ55" s="22"/>
      <c r="BK55" s="19"/>
    </row>
    <row r="56" spans="1:63" ht="17.25" x14ac:dyDescent="0.3">
      <c r="A56" s="11">
        <v>45383</v>
      </c>
      <c r="B56" s="12">
        <v>55</v>
      </c>
      <c r="C56" s="12">
        <v>55</v>
      </c>
      <c r="D56" s="13">
        <v>45406</v>
      </c>
      <c r="E56" s="81" t="s">
        <v>337</v>
      </c>
      <c r="F56" s="23">
        <v>9039371430</v>
      </c>
      <c r="G56" s="24">
        <f t="shared" si="10"/>
        <v>45406</v>
      </c>
      <c r="H56" s="21" t="s">
        <v>338</v>
      </c>
      <c r="I56" s="23" t="s">
        <v>121</v>
      </c>
      <c r="J56" s="21" t="s">
        <v>65</v>
      </c>
      <c r="K56" s="21" t="s">
        <v>66</v>
      </c>
      <c r="L56" s="21">
        <v>7383192</v>
      </c>
      <c r="M56" s="21">
        <v>225362</v>
      </c>
      <c r="N56" s="21" t="s">
        <v>67</v>
      </c>
      <c r="O56" s="25">
        <v>600000</v>
      </c>
      <c r="P56" s="26" t="s">
        <v>81</v>
      </c>
      <c r="Q56" s="26" t="s">
        <v>339</v>
      </c>
      <c r="R56" s="23" t="s">
        <v>67</v>
      </c>
      <c r="S56" s="23" t="s">
        <v>67</v>
      </c>
      <c r="T56" s="23" t="s">
        <v>70</v>
      </c>
      <c r="U56" s="26" t="s">
        <v>234</v>
      </c>
      <c r="V56" s="82">
        <v>1098601</v>
      </c>
      <c r="W56" s="82">
        <v>0</v>
      </c>
      <c r="X56" s="82">
        <v>0</v>
      </c>
      <c r="Y56" s="82">
        <v>885</v>
      </c>
      <c r="Z56" s="82">
        <v>0</v>
      </c>
      <c r="AA56" s="82">
        <v>117090</v>
      </c>
      <c r="AB56" s="82">
        <v>0</v>
      </c>
      <c r="AC56" s="82">
        <v>10747</v>
      </c>
      <c r="AD56" s="82">
        <v>32567</v>
      </c>
      <c r="AE56" s="83">
        <f t="shared" si="0"/>
        <v>1259890</v>
      </c>
      <c r="AF56" s="21">
        <v>0</v>
      </c>
      <c r="AG56" s="21">
        <v>0</v>
      </c>
      <c r="AH56" s="21">
        <v>0</v>
      </c>
      <c r="AI56" s="21">
        <v>0</v>
      </c>
      <c r="AJ56" s="21">
        <v>0</v>
      </c>
      <c r="AK56" s="21">
        <v>0</v>
      </c>
      <c r="AL56" s="21"/>
      <c r="AM56" s="21">
        <f>13900+10000</f>
        <v>23900</v>
      </c>
      <c r="AN56" s="14">
        <f t="shared" si="1"/>
        <v>23900</v>
      </c>
      <c r="AO56" s="84">
        <f t="shared" si="2"/>
        <v>1235990</v>
      </c>
      <c r="AP56" s="21">
        <v>19429</v>
      </c>
      <c r="AQ56" s="85">
        <v>2129</v>
      </c>
      <c r="AR56" s="21">
        <f t="shared" si="3"/>
        <v>17300</v>
      </c>
      <c r="AS56" s="22">
        <v>0</v>
      </c>
      <c r="AT56" s="22">
        <v>0</v>
      </c>
      <c r="AU56" s="15">
        <f t="shared" si="4"/>
        <v>26029</v>
      </c>
      <c r="AV56" s="117">
        <f t="shared" si="5"/>
        <v>1253290</v>
      </c>
      <c r="AW56" s="16">
        <f t="shared" si="11"/>
        <v>0</v>
      </c>
      <c r="AX56" s="23">
        <v>600000</v>
      </c>
      <c r="AY56" s="23" t="str">
        <f t="shared" si="12"/>
        <v>INDIAN BANK</v>
      </c>
      <c r="AZ56" s="86">
        <v>45405</v>
      </c>
      <c r="BA56" s="86">
        <v>45405</v>
      </c>
      <c r="BB56" s="23">
        <v>0</v>
      </c>
      <c r="BC56" s="23">
        <f>11000</f>
        <v>11000</v>
      </c>
      <c r="BD56" s="22" t="s">
        <v>340</v>
      </c>
      <c r="BE56" s="22" t="s">
        <v>341</v>
      </c>
      <c r="BF56" s="22">
        <v>650000</v>
      </c>
      <c r="BG56" s="22">
        <v>0</v>
      </c>
      <c r="BH56" s="18">
        <f>+AV56-AX56-BB56-BC56-BF56+BG56</f>
        <v>-7710</v>
      </c>
      <c r="BI56" s="22"/>
      <c r="BJ56" s="22"/>
      <c r="BK56" s="19"/>
    </row>
    <row r="57" spans="1:63" ht="17.25" x14ac:dyDescent="0.3">
      <c r="A57" s="11">
        <v>45383</v>
      </c>
      <c r="B57" s="12">
        <v>56</v>
      </c>
      <c r="C57" s="12">
        <v>56</v>
      </c>
      <c r="D57" s="13">
        <v>45406</v>
      </c>
      <c r="E57" s="81" t="s">
        <v>342</v>
      </c>
      <c r="F57" s="23">
        <v>9669931594</v>
      </c>
      <c r="G57" s="24">
        <f t="shared" si="10"/>
        <v>45406</v>
      </c>
      <c r="H57" s="21" t="s">
        <v>343</v>
      </c>
      <c r="I57" s="23" t="s">
        <v>64</v>
      </c>
      <c r="J57" s="21" t="s">
        <v>89</v>
      </c>
      <c r="K57" s="21" t="s">
        <v>66</v>
      </c>
      <c r="L57" s="21">
        <v>7464761</v>
      </c>
      <c r="M57" s="21">
        <v>706146</v>
      </c>
      <c r="N57" s="21" t="s">
        <v>106</v>
      </c>
      <c r="O57" s="25">
        <v>0</v>
      </c>
      <c r="P57" s="26" t="s">
        <v>81</v>
      </c>
      <c r="Q57" s="26" t="s">
        <v>148</v>
      </c>
      <c r="R57" s="23" t="s">
        <v>149</v>
      </c>
      <c r="S57" s="23" t="s">
        <v>106</v>
      </c>
      <c r="T57" s="23" t="s">
        <v>124</v>
      </c>
      <c r="U57" s="26" t="s">
        <v>315</v>
      </c>
      <c r="V57" s="82">
        <v>749742</v>
      </c>
      <c r="W57" s="82">
        <v>12744</v>
      </c>
      <c r="X57" s="82">
        <v>0</v>
      </c>
      <c r="Y57" s="82">
        <v>885</v>
      </c>
      <c r="Z57" s="82">
        <v>0</v>
      </c>
      <c r="AA57" s="82">
        <v>67183</v>
      </c>
      <c r="AB57" s="82">
        <v>0</v>
      </c>
      <c r="AC57" s="82">
        <v>0</v>
      </c>
      <c r="AD57" s="82">
        <v>26688</v>
      </c>
      <c r="AE57" s="83">
        <f t="shared" si="0"/>
        <v>857242</v>
      </c>
      <c r="AF57" s="21">
        <v>10000</v>
      </c>
      <c r="AG57" s="21">
        <v>17000</v>
      </c>
      <c r="AH57" s="21">
        <v>0</v>
      </c>
      <c r="AI57" s="21">
        <v>0</v>
      </c>
      <c r="AJ57" s="21">
        <v>3000</v>
      </c>
      <c r="AK57" s="21">
        <v>0</v>
      </c>
      <c r="AL57" s="21"/>
      <c r="AM57" s="21">
        <v>17242</v>
      </c>
      <c r="AN57" s="14">
        <f t="shared" si="1"/>
        <v>47242</v>
      </c>
      <c r="AO57" s="84">
        <f t="shared" si="2"/>
        <v>810000</v>
      </c>
      <c r="AP57" s="21">
        <v>26000</v>
      </c>
      <c r="AQ57" s="85">
        <v>1000</v>
      </c>
      <c r="AR57" s="21">
        <f t="shared" si="3"/>
        <v>25000</v>
      </c>
      <c r="AS57" s="22">
        <v>0</v>
      </c>
      <c r="AT57" s="22">
        <v>0</v>
      </c>
      <c r="AU57" s="15">
        <f t="shared" si="4"/>
        <v>48242</v>
      </c>
      <c r="AV57" s="117">
        <f t="shared" si="5"/>
        <v>835000</v>
      </c>
      <c r="AW57" s="16">
        <f t="shared" si="11"/>
        <v>-500000</v>
      </c>
      <c r="AX57" s="23">
        <v>500000</v>
      </c>
      <c r="AY57" s="23" t="str">
        <f t="shared" si="12"/>
        <v>CHEQUE</v>
      </c>
      <c r="AZ57" s="86">
        <v>45405</v>
      </c>
      <c r="BA57" s="13">
        <v>45406</v>
      </c>
      <c r="BB57" s="23">
        <f>30000+5100</f>
        <v>35100</v>
      </c>
      <c r="BC57" s="23">
        <v>0</v>
      </c>
      <c r="BD57" s="22">
        <v>0</v>
      </c>
      <c r="BE57" s="22">
        <v>0</v>
      </c>
      <c r="BF57" s="22">
        <v>0</v>
      </c>
      <c r="BG57" s="22">
        <v>0</v>
      </c>
      <c r="BH57" s="18">
        <f>+AV57-AX57-BB57-BC57-BF57+BG57</f>
        <v>299900</v>
      </c>
      <c r="BI57" s="22" t="s">
        <v>344</v>
      </c>
      <c r="BJ57" s="22"/>
      <c r="BK57" s="19"/>
    </row>
    <row r="58" spans="1:63" ht="17.25" x14ac:dyDescent="0.3">
      <c r="A58" s="11">
        <v>45383</v>
      </c>
      <c r="B58" s="12">
        <v>57</v>
      </c>
      <c r="C58" s="12">
        <v>57</v>
      </c>
      <c r="D58" s="13">
        <v>45406</v>
      </c>
      <c r="E58" s="81" t="s">
        <v>345</v>
      </c>
      <c r="F58" s="23">
        <v>9575476703</v>
      </c>
      <c r="G58" s="24">
        <f t="shared" si="10"/>
        <v>45406</v>
      </c>
      <c r="H58" s="21" t="s">
        <v>346</v>
      </c>
      <c r="I58" s="23" t="s">
        <v>64</v>
      </c>
      <c r="J58" s="21" t="s">
        <v>113</v>
      </c>
      <c r="K58" s="21" t="s">
        <v>199</v>
      </c>
      <c r="L58" s="21">
        <v>4445984</v>
      </c>
      <c r="M58" s="21">
        <v>726215</v>
      </c>
      <c r="N58" s="21" t="s">
        <v>67</v>
      </c>
      <c r="O58" s="25">
        <v>450000</v>
      </c>
      <c r="P58" s="26" t="s">
        <v>68</v>
      </c>
      <c r="Q58" s="26" t="s">
        <v>191</v>
      </c>
      <c r="R58" s="26" t="s">
        <v>347</v>
      </c>
      <c r="S58" s="23" t="s">
        <v>67</v>
      </c>
      <c r="T58" s="23" t="s">
        <v>115</v>
      </c>
      <c r="U58" s="26" t="s">
        <v>282</v>
      </c>
      <c r="V58" s="82">
        <v>842742</v>
      </c>
      <c r="W58" s="82">
        <v>14325</v>
      </c>
      <c r="X58" s="82">
        <v>5452</v>
      </c>
      <c r="Y58" s="82">
        <v>885</v>
      </c>
      <c r="Z58" s="82">
        <v>500</v>
      </c>
      <c r="AA58" s="82">
        <v>74623</v>
      </c>
      <c r="AB58" s="82">
        <v>0</v>
      </c>
      <c r="AC58" s="82">
        <v>0</v>
      </c>
      <c r="AD58" s="82">
        <v>31362</v>
      </c>
      <c r="AE58" s="83">
        <f t="shared" si="0"/>
        <v>969889</v>
      </c>
      <c r="AF58" s="21">
        <v>10000</v>
      </c>
      <c r="AG58" s="21">
        <v>17000</v>
      </c>
      <c r="AH58" s="21">
        <v>0</v>
      </c>
      <c r="AI58" s="21">
        <v>1</v>
      </c>
      <c r="AJ58" s="21">
        <v>0</v>
      </c>
      <c r="AK58" s="21">
        <v>0</v>
      </c>
      <c r="AL58" s="21"/>
      <c r="AM58" s="21">
        <v>0</v>
      </c>
      <c r="AN58" s="14">
        <f t="shared" si="1"/>
        <v>27001</v>
      </c>
      <c r="AO58" s="84">
        <f t="shared" si="2"/>
        <v>942888</v>
      </c>
      <c r="AP58" s="21">
        <v>40500</v>
      </c>
      <c r="AQ58" s="85">
        <v>0</v>
      </c>
      <c r="AR58" s="21">
        <f t="shared" si="3"/>
        <v>40500</v>
      </c>
      <c r="AS58" s="22">
        <v>0</v>
      </c>
      <c r="AT58" s="22">
        <v>0</v>
      </c>
      <c r="AU58" s="15">
        <f t="shared" si="4"/>
        <v>27001</v>
      </c>
      <c r="AV58" s="117">
        <f t="shared" si="5"/>
        <v>983388</v>
      </c>
      <c r="AW58" s="16">
        <f t="shared" si="11"/>
        <v>0</v>
      </c>
      <c r="AX58" s="23">
        <v>450000</v>
      </c>
      <c r="AY58" s="23" t="str">
        <f t="shared" si="12"/>
        <v>SBI</v>
      </c>
      <c r="AZ58" s="86">
        <v>45404</v>
      </c>
      <c r="BA58" s="86">
        <v>45404</v>
      </c>
      <c r="BB58" s="23">
        <f>161900+28000</f>
        <v>189900</v>
      </c>
      <c r="BC58" s="23">
        <f>340000+5000</f>
        <v>345000</v>
      </c>
      <c r="BD58" s="22">
        <v>0</v>
      </c>
      <c r="BE58" s="22">
        <v>0</v>
      </c>
      <c r="BF58" s="22">
        <v>0</v>
      </c>
      <c r="BG58" s="22">
        <v>0</v>
      </c>
      <c r="BH58" s="18">
        <f>+AV58-AX58-BB58-BC58-BF58+BG58</f>
        <v>-1512</v>
      </c>
      <c r="BI58" s="22" t="s">
        <v>109</v>
      </c>
      <c r="BJ58" s="22"/>
      <c r="BK58" s="19"/>
    </row>
    <row r="59" spans="1:63" ht="17.25" x14ac:dyDescent="0.3">
      <c r="A59" s="11">
        <v>45383</v>
      </c>
      <c r="B59" s="12">
        <v>58</v>
      </c>
      <c r="C59" s="12">
        <v>58</v>
      </c>
      <c r="D59" s="13">
        <v>45409</v>
      </c>
      <c r="E59" s="81" t="s">
        <v>348</v>
      </c>
      <c r="F59" s="23">
        <v>7879732881</v>
      </c>
      <c r="G59" s="24">
        <f t="shared" si="10"/>
        <v>45409</v>
      </c>
      <c r="H59" s="21" t="s">
        <v>349</v>
      </c>
      <c r="I59" s="23" t="s">
        <v>78</v>
      </c>
      <c r="J59" s="21" t="s">
        <v>65</v>
      </c>
      <c r="K59" s="21" t="s">
        <v>66</v>
      </c>
      <c r="L59" s="21">
        <v>7469320</v>
      </c>
      <c r="M59" s="21">
        <v>241926</v>
      </c>
      <c r="N59" s="21" t="s">
        <v>147</v>
      </c>
      <c r="O59" s="25">
        <v>700000</v>
      </c>
      <c r="P59" s="26" t="s">
        <v>81</v>
      </c>
      <c r="Q59" s="26" t="s">
        <v>293</v>
      </c>
      <c r="R59" s="23" t="s">
        <v>147</v>
      </c>
      <c r="S59" s="23" t="s">
        <v>147</v>
      </c>
      <c r="T59" s="23" t="s">
        <v>150</v>
      </c>
      <c r="U59" s="26" t="s">
        <v>332</v>
      </c>
      <c r="V59" s="82">
        <v>751242</v>
      </c>
      <c r="W59" s="82">
        <v>12779</v>
      </c>
      <c r="X59" s="82">
        <v>4862</v>
      </c>
      <c r="Y59" s="82">
        <v>885</v>
      </c>
      <c r="Z59" s="82">
        <v>500</v>
      </c>
      <c r="AA59" s="82">
        <v>67303</v>
      </c>
      <c r="AB59" s="82">
        <v>0</v>
      </c>
      <c r="AC59" s="82">
        <v>0</v>
      </c>
      <c r="AD59" s="82">
        <v>26187</v>
      </c>
      <c r="AE59" s="83">
        <f t="shared" si="0"/>
        <v>863758</v>
      </c>
      <c r="AF59" s="21">
        <v>0</v>
      </c>
      <c r="AG59" s="21">
        <v>10000</v>
      </c>
      <c r="AH59" s="21">
        <v>0</v>
      </c>
      <c r="AI59" s="21">
        <v>1</v>
      </c>
      <c r="AJ59" s="21">
        <v>0</v>
      </c>
      <c r="AK59" s="21">
        <v>0</v>
      </c>
      <c r="AL59" s="21"/>
      <c r="AM59" s="21">
        <v>0</v>
      </c>
      <c r="AN59" s="14">
        <f t="shared" si="1"/>
        <v>10001</v>
      </c>
      <c r="AO59" s="84">
        <f t="shared" si="2"/>
        <v>853757</v>
      </c>
      <c r="AP59" s="21">
        <v>38350</v>
      </c>
      <c r="AQ59" s="85">
        <v>0</v>
      </c>
      <c r="AR59" s="21">
        <f t="shared" si="3"/>
        <v>38350</v>
      </c>
      <c r="AS59" s="22">
        <v>0</v>
      </c>
      <c r="AT59" s="22">
        <v>0</v>
      </c>
      <c r="AU59" s="15">
        <f t="shared" si="4"/>
        <v>10001</v>
      </c>
      <c r="AV59" s="117">
        <f t="shared" si="5"/>
        <v>892107</v>
      </c>
      <c r="AW59" s="16">
        <f t="shared" si="11"/>
        <v>0</v>
      </c>
      <c r="AX59" s="23">
        <v>700000</v>
      </c>
      <c r="AY59" s="23" t="str">
        <f t="shared" si="12"/>
        <v>CANARA BANK</v>
      </c>
      <c r="AZ59" s="86">
        <v>45407</v>
      </c>
      <c r="BA59" s="86">
        <v>45407</v>
      </c>
      <c r="BB59" s="23">
        <f>188000+5000</f>
        <v>193000</v>
      </c>
      <c r="BC59" s="23">
        <v>0</v>
      </c>
      <c r="BD59" s="22">
        <v>0</v>
      </c>
      <c r="BE59" s="22">
        <v>0</v>
      </c>
      <c r="BF59" s="22">
        <v>0</v>
      </c>
      <c r="BG59" s="22">
        <v>0</v>
      </c>
      <c r="BH59" s="18">
        <f>+AV59-AX59-BB59-BC59-BF59+BG59</f>
        <v>-893</v>
      </c>
      <c r="BI59" s="22" t="s">
        <v>109</v>
      </c>
      <c r="BJ59" s="22"/>
      <c r="BK59" s="19"/>
    </row>
    <row r="60" spans="1:63" ht="17.25" x14ac:dyDescent="0.3">
      <c r="A60" s="11">
        <v>45383</v>
      </c>
      <c r="B60" s="12">
        <v>59</v>
      </c>
      <c r="C60" s="12">
        <v>59</v>
      </c>
      <c r="D60" s="13">
        <v>45408</v>
      </c>
      <c r="E60" s="81" t="s">
        <v>350</v>
      </c>
      <c r="F60" s="23">
        <v>9423610225</v>
      </c>
      <c r="G60" s="24">
        <f t="shared" si="10"/>
        <v>45408</v>
      </c>
      <c r="H60" s="21" t="s">
        <v>351</v>
      </c>
      <c r="I60" s="23" t="s">
        <v>121</v>
      </c>
      <c r="J60" s="21" t="s">
        <v>352</v>
      </c>
      <c r="K60" s="21" t="s">
        <v>66</v>
      </c>
      <c r="L60" s="21" t="s">
        <v>353</v>
      </c>
      <c r="M60" s="21">
        <v>120990</v>
      </c>
      <c r="N60" s="21" t="s">
        <v>105</v>
      </c>
      <c r="O60" s="25">
        <v>0</v>
      </c>
      <c r="P60" s="26" t="s">
        <v>81</v>
      </c>
      <c r="Q60" s="26" t="s">
        <v>148</v>
      </c>
      <c r="R60" s="23" t="s">
        <v>149</v>
      </c>
      <c r="S60" s="23" t="s">
        <v>105</v>
      </c>
      <c r="T60" s="23" t="s">
        <v>107</v>
      </c>
      <c r="U60" s="26" t="s">
        <v>108</v>
      </c>
      <c r="V60" s="82">
        <v>1842607</v>
      </c>
      <c r="W60" s="82">
        <v>31589</v>
      </c>
      <c r="X60" s="82">
        <v>0</v>
      </c>
      <c r="Y60" s="82">
        <v>885</v>
      </c>
      <c r="Z60" s="82">
        <v>500</v>
      </c>
      <c r="AA60" s="82">
        <v>237000</v>
      </c>
      <c r="AB60" s="82">
        <v>4500</v>
      </c>
      <c r="AC60" s="82">
        <v>17644</v>
      </c>
      <c r="AD60" s="82">
        <v>43594</v>
      </c>
      <c r="AE60" s="83">
        <f t="shared" si="0"/>
        <v>2178319</v>
      </c>
      <c r="AF60" s="21">
        <v>0</v>
      </c>
      <c r="AG60" s="21">
        <v>30000</v>
      </c>
      <c r="AH60" s="21">
        <v>30000</v>
      </c>
      <c r="AI60" s="21">
        <v>0</v>
      </c>
      <c r="AJ60" s="21">
        <v>3100</v>
      </c>
      <c r="AK60" s="21">
        <v>0</v>
      </c>
      <c r="AL60" s="21"/>
      <c r="AM60" s="21">
        <v>15100</v>
      </c>
      <c r="AN60" s="14">
        <f t="shared" si="1"/>
        <v>78200</v>
      </c>
      <c r="AO60" s="84">
        <f t="shared" si="2"/>
        <v>2100119</v>
      </c>
      <c r="AP60" s="21">
        <v>4000</v>
      </c>
      <c r="AQ60" s="85">
        <v>119</v>
      </c>
      <c r="AR60" s="21">
        <f t="shared" si="3"/>
        <v>3881</v>
      </c>
      <c r="AS60" s="22">
        <v>0</v>
      </c>
      <c r="AT60" s="22">
        <v>0</v>
      </c>
      <c r="AU60" s="15">
        <f t="shared" si="4"/>
        <v>78319</v>
      </c>
      <c r="AV60" s="117">
        <f t="shared" si="5"/>
        <v>2104000</v>
      </c>
      <c r="AW60" s="16">
        <f t="shared" si="11"/>
        <v>-2078940</v>
      </c>
      <c r="AX60" s="23">
        <v>2078940</v>
      </c>
      <c r="AY60" s="23" t="str">
        <f t="shared" si="12"/>
        <v>CHEQUE</v>
      </c>
      <c r="AZ60" s="86">
        <v>45405</v>
      </c>
      <c r="BA60" s="86">
        <v>45405</v>
      </c>
      <c r="BB60" s="23">
        <v>0</v>
      </c>
      <c r="BC60" s="23">
        <v>0</v>
      </c>
      <c r="BD60" s="22" t="s">
        <v>354</v>
      </c>
      <c r="BE60" s="22" t="s">
        <v>355</v>
      </c>
      <c r="BF60" s="22">
        <v>0</v>
      </c>
      <c r="BG60" s="22">
        <v>0</v>
      </c>
      <c r="BH60" s="18">
        <f>+AV60-AX60-BB60-BC60-BF60+BG60</f>
        <v>25060</v>
      </c>
      <c r="BI60" s="22" t="s">
        <v>356</v>
      </c>
      <c r="BJ60" s="22"/>
      <c r="BK60" s="19"/>
    </row>
    <row r="61" spans="1:63" ht="17.25" customHeight="1" x14ac:dyDescent="0.3">
      <c r="A61" s="11">
        <v>45383</v>
      </c>
      <c r="B61" s="12">
        <v>60</v>
      </c>
      <c r="C61" s="12">
        <v>60</v>
      </c>
      <c r="D61" s="13">
        <v>45409</v>
      </c>
      <c r="E61" s="81" t="s">
        <v>357</v>
      </c>
      <c r="F61" s="23">
        <v>76664744741</v>
      </c>
      <c r="G61" s="24">
        <f t="shared" si="10"/>
        <v>45409</v>
      </c>
      <c r="H61" s="21" t="s">
        <v>358</v>
      </c>
      <c r="I61" s="23" t="s">
        <v>64</v>
      </c>
      <c r="J61" s="21" t="s">
        <v>65</v>
      </c>
      <c r="K61" s="21" t="s">
        <v>97</v>
      </c>
      <c r="L61" s="21">
        <v>4435981</v>
      </c>
      <c r="M61" s="21">
        <v>709729</v>
      </c>
      <c r="N61" s="21" t="s">
        <v>105</v>
      </c>
      <c r="O61" s="25">
        <v>654000</v>
      </c>
      <c r="P61" s="26" t="s">
        <v>68</v>
      </c>
      <c r="Q61" s="26" t="s">
        <v>179</v>
      </c>
      <c r="R61" s="23" t="s">
        <v>105</v>
      </c>
      <c r="S61" s="23" t="s">
        <v>105</v>
      </c>
      <c r="T61" s="23" t="s">
        <v>107</v>
      </c>
      <c r="U61" s="26" t="s">
        <v>359</v>
      </c>
      <c r="V61" s="21">
        <v>665742</v>
      </c>
      <c r="W61" s="21">
        <v>0</v>
      </c>
      <c r="X61" s="21">
        <v>0</v>
      </c>
      <c r="Y61" s="21">
        <v>885</v>
      </c>
      <c r="Z61" s="21">
        <v>500</v>
      </c>
      <c r="AA61" s="21">
        <v>79200</v>
      </c>
      <c r="AB61" s="21">
        <v>4500</v>
      </c>
      <c r="AC61" s="21">
        <f>IF(V61&gt;=1000000,V61*1%,0)</f>
        <v>0</v>
      </c>
      <c r="AD61" s="21">
        <v>28364</v>
      </c>
      <c r="AE61" s="83">
        <f t="shared" si="0"/>
        <v>779191</v>
      </c>
      <c r="AF61" s="21">
        <v>10000</v>
      </c>
      <c r="AG61" s="21">
        <v>17000</v>
      </c>
      <c r="AH61" s="21">
        <v>0</v>
      </c>
      <c r="AI61" s="21">
        <v>1</v>
      </c>
      <c r="AJ61" s="21">
        <v>0</v>
      </c>
      <c r="AK61" s="21">
        <v>0</v>
      </c>
      <c r="AL61" s="21"/>
      <c r="AM61" s="21">
        <v>7090</v>
      </c>
      <c r="AN61" s="14">
        <f t="shared" si="1"/>
        <v>34091</v>
      </c>
      <c r="AO61" s="84">
        <f t="shared" si="2"/>
        <v>745100</v>
      </c>
      <c r="AP61" s="21">
        <v>38500</v>
      </c>
      <c r="AQ61" s="85">
        <v>1600</v>
      </c>
      <c r="AR61" s="21">
        <f t="shared" si="3"/>
        <v>36900</v>
      </c>
      <c r="AS61" s="22">
        <v>0</v>
      </c>
      <c r="AT61" s="22">
        <v>0</v>
      </c>
      <c r="AU61" s="15">
        <f t="shared" si="4"/>
        <v>35691</v>
      </c>
      <c r="AV61" s="118">
        <f t="shared" si="5"/>
        <v>782000</v>
      </c>
      <c r="AW61" s="16">
        <f t="shared" si="11"/>
        <v>4000</v>
      </c>
      <c r="AX61" s="23">
        <v>650000</v>
      </c>
      <c r="AY61" s="88" t="str">
        <f t="shared" si="12"/>
        <v>MAHINDRA</v>
      </c>
      <c r="AZ61" s="86">
        <v>45405</v>
      </c>
      <c r="BA61" s="13">
        <v>45412</v>
      </c>
      <c r="BB61" s="23">
        <f>100000+32000</f>
        <v>132000</v>
      </c>
      <c r="BC61" s="23">
        <v>0</v>
      </c>
      <c r="BD61" s="22">
        <v>0</v>
      </c>
      <c r="BE61" s="22">
        <v>0</v>
      </c>
      <c r="BF61" s="22">
        <v>0</v>
      </c>
      <c r="BG61" s="22">
        <v>0</v>
      </c>
      <c r="BH61" s="18">
        <f>+AV61-AX61-BB61-BC61-BF61+BG61</f>
        <v>0</v>
      </c>
      <c r="BI61" s="22" t="s">
        <v>360</v>
      </c>
      <c r="BJ61" s="22"/>
      <c r="BK61" s="19"/>
    </row>
    <row r="62" spans="1:63" ht="17.25" customHeight="1" x14ac:dyDescent="0.3">
      <c r="A62" s="11">
        <v>45383</v>
      </c>
      <c r="B62" s="12">
        <v>61</v>
      </c>
      <c r="C62" s="12">
        <v>61</v>
      </c>
      <c r="D62" s="13">
        <v>45411</v>
      </c>
      <c r="E62" s="81" t="s">
        <v>361</v>
      </c>
      <c r="F62" s="23">
        <v>8827691492</v>
      </c>
      <c r="G62" s="24">
        <f t="shared" si="10"/>
        <v>45411</v>
      </c>
      <c r="H62" s="21" t="s">
        <v>362</v>
      </c>
      <c r="I62" s="23" t="s">
        <v>78</v>
      </c>
      <c r="J62" s="21" t="s">
        <v>79</v>
      </c>
      <c r="K62" s="21" t="s">
        <v>97</v>
      </c>
      <c r="L62" s="21">
        <v>7481714</v>
      </c>
      <c r="M62" s="21">
        <v>250076</v>
      </c>
      <c r="N62" s="21" t="s">
        <v>67</v>
      </c>
      <c r="O62" s="25">
        <v>400000</v>
      </c>
      <c r="P62" s="26" t="s">
        <v>68</v>
      </c>
      <c r="Q62" s="26" t="s">
        <v>69</v>
      </c>
      <c r="R62" s="23" t="s">
        <v>67</v>
      </c>
      <c r="S62" s="23" t="s">
        <v>67</v>
      </c>
      <c r="T62" s="23" t="s">
        <v>115</v>
      </c>
      <c r="U62" s="26" t="s">
        <v>282</v>
      </c>
      <c r="V62" s="21">
        <v>846242</v>
      </c>
      <c r="W62" s="21">
        <v>14384</v>
      </c>
      <c r="X62" s="21">
        <v>5475</v>
      </c>
      <c r="Y62" s="21">
        <v>885</v>
      </c>
      <c r="Z62" s="21">
        <v>500</v>
      </c>
      <c r="AA62" s="21">
        <v>74903</v>
      </c>
      <c r="AB62" s="21">
        <v>0</v>
      </c>
      <c r="AC62" s="21">
        <f>IF(V62&gt;=1000000,V62*1%,0)</f>
        <v>0</v>
      </c>
      <c r="AD62" s="21">
        <v>28163</v>
      </c>
      <c r="AE62" s="83">
        <f t="shared" si="0"/>
        <v>970552</v>
      </c>
      <c r="AF62" s="21">
        <v>0</v>
      </c>
      <c r="AG62" s="21">
        <v>0</v>
      </c>
      <c r="AH62" s="21">
        <v>0</v>
      </c>
      <c r="AI62" s="21">
        <v>1</v>
      </c>
      <c r="AJ62" s="21">
        <v>0</v>
      </c>
      <c r="AK62" s="21">
        <v>0</v>
      </c>
      <c r="AL62" s="21"/>
      <c r="AM62" s="21">
        <v>5051</v>
      </c>
      <c r="AN62" s="14">
        <f t="shared" si="1"/>
        <v>5052</v>
      </c>
      <c r="AO62" s="84">
        <f t="shared" si="2"/>
        <v>965500</v>
      </c>
      <c r="AP62" s="21">
        <v>31030</v>
      </c>
      <c r="AQ62" s="85">
        <v>1530</v>
      </c>
      <c r="AR62" s="21">
        <f t="shared" si="3"/>
        <v>29500</v>
      </c>
      <c r="AS62" s="22">
        <v>0</v>
      </c>
      <c r="AT62" s="22">
        <v>0</v>
      </c>
      <c r="AU62" s="15">
        <f t="shared" si="4"/>
        <v>6582</v>
      </c>
      <c r="AV62" s="118">
        <f t="shared" si="5"/>
        <v>995000</v>
      </c>
      <c r="AW62" s="16">
        <f t="shared" si="11"/>
        <v>0</v>
      </c>
      <c r="AX62" s="23">
        <v>400000</v>
      </c>
      <c r="AY62" s="88" t="str">
        <f t="shared" si="12"/>
        <v>SUNDARAM</v>
      </c>
      <c r="AZ62" s="86">
        <v>45411</v>
      </c>
      <c r="BA62" s="13">
        <v>45412</v>
      </c>
      <c r="BB62" s="23">
        <f>190000</f>
        <v>190000</v>
      </c>
      <c r="BC62" s="23">
        <f>5000+150000+250000</f>
        <v>405000</v>
      </c>
      <c r="BD62" s="22">
        <v>0</v>
      </c>
      <c r="BE62" s="22">
        <v>0</v>
      </c>
      <c r="BF62" s="22">
        <v>0</v>
      </c>
      <c r="BG62" s="22">
        <v>0</v>
      </c>
      <c r="BH62" s="18">
        <f>+AV62-AX62-BB62-BC62-BF62+BG62</f>
        <v>0</v>
      </c>
      <c r="BI62" s="22" t="s">
        <v>363</v>
      </c>
      <c r="BJ62" s="22"/>
      <c r="BK62" s="19"/>
    </row>
    <row r="63" spans="1:63" ht="17.25" customHeight="1" x14ac:dyDescent="0.3">
      <c r="A63" s="11">
        <v>45383</v>
      </c>
      <c r="B63" s="12">
        <v>62</v>
      </c>
      <c r="C63" s="12">
        <v>62</v>
      </c>
      <c r="D63" s="13">
        <v>45411</v>
      </c>
      <c r="E63" s="81" t="s">
        <v>364</v>
      </c>
      <c r="F63" s="23">
        <v>7694073799</v>
      </c>
      <c r="G63" s="24">
        <v>45422</v>
      </c>
      <c r="H63" s="21" t="s">
        <v>186</v>
      </c>
      <c r="I63" s="23" t="s">
        <v>121</v>
      </c>
      <c r="J63" s="21" t="s">
        <v>65</v>
      </c>
      <c r="K63" s="21" t="s">
        <v>66</v>
      </c>
      <c r="L63" s="21">
        <v>7397733</v>
      </c>
      <c r="M63" s="21">
        <v>230376</v>
      </c>
      <c r="N63" s="21" t="s">
        <v>80</v>
      </c>
      <c r="O63" s="25">
        <v>1000000</v>
      </c>
      <c r="P63" s="26" t="s">
        <v>68</v>
      </c>
      <c r="Q63" s="26" t="s">
        <v>191</v>
      </c>
      <c r="R63" s="26" t="s">
        <v>365</v>
      </c>
      <c r="S63" s="23" t="s">
        <v>80</v>
      </c>
      <c r="T63" s="23" t="s">
        <v>84</v>
      </c>
      <c r="U63" s="26" t="s">
        <v>366</v>
      </c>
      <c r="V63" s="21">
        <v>1098601</v>
      </c>
      <c r="W63" s="21">
        <v>18680</v>
      </c>
      <c r="X63" s="21">
        <v>0</v>
      </c>
      <c r="Y63" s="21">
        <v>885</v>
      </c>
      <c r="Z63" s="21">
        <v>0</v>
      </c>
      <c r="AA63" s="21">
        <v>117090</v>
      </c>
      <c r="AB63" s="21">
        <v>0</v>
      </c>
      <c r="AC63" s="21">
        <v>10604</v>
      </c>
      <c r="AD63" s="21">
        <v>31531</v>
      </c>
      <c r="AE63" s="83">
        <f t="shared" si="0"/>
        <v>1277391</v>
      </c>
      <c r="AF63" s="21">
        <v>0</v>
      </c>
      <c r="AG63" s="21">
        <v>0</v>
      </c>
      <c r="AH63" s="21">
        <v>0</v>
      </c>
      <c r="AI63" s="21">
        <v>1</v>
      </c>
      <c r="AJ63" s="21">
        <v>0</v>
      </c>
      <c r="AK63" s="21">
        <v>19000</v>
      </c>
      <c r="AL63" s="21"/>
      <c r="AM63" s="21">
        <v>19172</v>
      </c>
      <c r="AN63" s="14">
        <f t="shared" si="1"/>
        <v>38173</v>
      </c>
      <c r="AO63" s="84">
        <f t="shared" si="2"/>
        <v>1239218</v>
      </c>
      <c r="AP63" s="21">
        <v>95000</v>
      </c>
      <c r="AQ63" s="85">
        <v>818</v>
      </c>
      <c r="AR63" s="21">
        <f t="shared" si="3"/>
        <v>94182</v>
      </c>
      <c r="AS63" s="22">
        <v>0</v>
      </c>
      <c r="AT63" s="22">
        <v>0</v>
      </c>
      <c r="AU63" s="15">
        <f t="shared" si="4"/>
        <v>38991</v>
      </c>
      <c r="AV63" s="118">
        <f t="shared" si="5"/>
        <v>1333400</v>
      </c>
      <c r="AW63" s="16">
        <f t="shared" si="11"/>
        <v>0</v>
      </c>
      <c r="AX63" s="23">
        <v>1000000</v>
      </c>
      <c r="AY63" s="88" t="str">
        <f t="shared" si="12"/>
        <v>SBI</v>
      </c>
      <c r="AZ63" s="86">
        <v>45411</v>
      </c>
      <c r="BA63" s="13">
        <v>45411</v>
      </c>
      <c r="BB63" s="23">
        <f>11000</f>
        <v>11000</v>
      </c>
      <c r="BC63" s="23">
        <f>100000</f>
        <v>100000</v>
      </c>
      <c r="BD63" s="22">
        <v>0</v>
      </c>
      <c r="BE63" s="22">
        <v>0</v>
      </c>
      <c r="BF63" s="22">
        <v>0</v>
      </c>
      <c r="BG63" s="22">
        <v>0</v>
      </c>
      <c r="BH63" s="18">
        <f>+AV63-AX63-BB63-BC63-BF63+BG63</f>
        <v>222400</v>
      </c>
      <c r="BI63" s="22" t="s">
        <v>367</v>
      </c>
      <c r="BJ63" s="22"/>
      <c r="BK63" s="19"/>
    </row>
    <row r="64" spans="1:63" ht="17.25" customHeight="1" x14ac:dyDescent="0.3">
      <c r="A64" s="11">
        <v>45383</v>
      </c>
      <c r="B64" s="12">
        <v>63</v>
      </c>
      <c r="C64" s="12">
        <v>63</v>
      </c>
      <c r="D64" s="13">
        <v>45412</v>
      </c>
      <c r="E64" s="81" t="s">
        <v>368</v>
      </c>
      <c r="F64" s="23">
        <v>7697640096</v>
      </c>
      <c r="G64" s="24">
        <f>D64</f>
        <v>45412</v>
      </c>
      <c r="H64" s="21" t="s">
        <v>369</v>
      </c>
      <c r="I64" s="23" t="s">
        <v>78</v>
      </c>
      <c r="J64" s="21" t="s">
        <v>324</v>
      </c>
      <c r="K64" s="21" t="s">
        <v>66</v>
      </c>
      <c r="L64" s="21">
        <v>7457017</v>
      </c>
      <c r="M64" s="21">
        <v>232454</v>
      </c>
      <c r="N64" s="21" t="s">
        <v>155</v>
      </c>
      <c r="O64" s="25">
        <v>800000</v>
      </c>
      <c r="P64" s="26" t="s">
        <v>68</v>
      </c>
      <c r="Q64" s="26" t="s">
        <v>136</v>
      </c>
      <c r="R64" s="23" t="s">
        <v>123</v>
      </c>
      <c r="S64" s="23" t="s">
        <v>106</v>
      </c>
      <c r="T64" s="23" t="s">
        <v>157</v>
      </c>
      <c r="U64" s="26" t="s">
        <v>215</v>
      </c>
      <c r="V64" s="21">
        <v>877242</v>
      </c>
      <c r="W64" s="21">
        <v>14915</v>
      </c>
      <c r="X64" s="21">
        <v>0</v>
      </c>
      <c r="Y64" s="21">
        <v>885</v>
      </c>
      <c r="Z64" s="21">
        <v>0</v>
      </c>
      <c r="AA64" s="21">
        <v>77383</v>
      </c>
      <c r="AB64" s="21">
        <v>0</v>
      </c>
      <c r="AC64" s="21">
        <f>IF(V64&gt;=1000000,V64*1%,0)</f>
        <v>0</v>
      </c>
      <c r="AD64" s="21">
        <v>28124</v>
      </c>
      <c r="AE64" s="83">
        <f t="shared" si="0"/>
        <v>998549</v>
      </c>
      <c r="AF64" s="21">
        <v>0</v>
      </c>
      <c r="AG64" s="21">
        <v>10000</v>
      </c>
      <c r="AH64" s="21">
        <v>0</v>
      </c>
      <c r="AI64" s="21">
        <v>1</v>
      </c>
      <c r="AJ64" s="21">
        <v>0</v>
      </c>
      <c r="AK64" s="21">
        <v>0</v>
      </c>
      <c r="AL64" s="21"/>
      <c r="AM64" s="21">
        <v>13648</v>
      </c>
      <c r="AN64" s="14">
        <f t="shared" si="1"/>
        <v>23649</v>
      </c>
      <c r="AO64" s="84">
        <f t="shared" si="2"/>
        <v>974900</v>
      </c>
      <c r="AP64" s="21">
        <v>4140</v>
      </c>
      <c r="AQ64" s="85">
        <v>40</v>
      </c>
      <c r="AR64" s="21">
        <f t="shared" si="3"/>
        <v>4100</v>
      </c>
      <c r="AS64" s="22">
        <v>0</v>
      </c>
      <c r="AT64" s="22">
        <v>0</v>
      </c>
      <c r="AU64" s="15">
        <f t="shared" si="4"/>
        <v>23689</v>
      </c>
      <c r="AV64" s="118">
        <f t="shared" si="5"/>
        <v>979000</v>
      </c>
      <c r="AW64" s="16">
        <f t="shared" si="11"/>
        <v>21551</v>
      </c>
      <c r="AX64" s="23">
        <v>778449</v>
      </c>
      <c r="AY64" s="88" t="str">
        <f t="shared" si="12"/>
        <v>CHOLA</v>
      </c>
      <c r="AZ64" s="86">
        <v>45412</v>
      </c>
      <c r="BA64" s="13">
        <v>45412</v>
      </c>
      <c r="BB64" s="23">
        <f>191000</f>
        <v>191000</v>
      </c>
      <c r="BC64" s="23">
        <f>10000</f>
        <v>10000</v>
      </c>
      <c r="BD64" s="22">
        <v>0</v>
      </c>
      <c r="BE64" s="22">
        <v>0</v>
      </c>
      <c r="BF64" s="22">
        <v>0</v>
      </c>
      <c r="BG64" s="22">
        <v>0</v>
      </c>
      <c r="BH64" s="18">
        <f>+AV64-AX64-BB64-BC64-BF64+BG64</f>
        <v>-449</v>
      </c>
      <c r="BI64" s="22" t="s">
        <v>109</v>
      </c>
      <c r="BJ64" s="22"/>
      <c r="BK64" s="19"/>
    </row>
    <row r="65" spans="1:63" ht="17.25" customHeight="1" x14ac:dyDescent="0.3">
      <c r="A65" s="11">
        <v>45383</v>
      </c>
      <c r="B65" s="12">
        <v>64</v>
      </c>
      <c r="C65" s="12">
        <v>64</v>
      </c>
      <c r="D65" s="13">
        <v>45412</v>
      </c>
      <c r="E65" s="81" t="s">
        <v>370</v>
      </c>
      <c r="F65" s="23">
        <v>9407133443</v>
      </c>
      <c r="G65" s="24">
        <v>45413</v>
      </c>
      <c r="H65" s="21" t="s">
        <v>371</v>
      </c>
      <c r="I65" s="23" t="s">
        <v>78</v>
      </c>
      <c r="J65" s="21" t="s">
        <v>372</v>
      </c>
      <c r="K65" s="21" t="s">
        <v>97</v>
      </c>
      <c r="L65" s="21">
        <v>7010869</v>
      </c>
      <c r="M65" s="21">
        <v>264716</v>
      </c>
      <c r="N65" s="21" t="s">
        <v>67</v>
      </c>
      <c r="O65" s="25">
        <v>700000</v>
      </c>
      <c r="P65" s="26" t="s">
        <v>68</v>
      </c>
      <c r="Q65" s="26" t="s">
        <v>191</v>
      </c>
      <c r="R65" s="23" t="s">
        <v>347</v>
      </c>
      <c r="S65" s="23" t="s">
        <v>67</v>
      </c>
      <c r="T65" s="23" t="s">
        <v>115</v>
      </c>
      <c r="U65" s="26" t="s">
        <v>282</v>
      </c>
      <c r="V65" s="21">
        <v>1147242</v>
      </c>
      <c r="W65" s="21">
        <v>19777</v>
      </c>
      <c r="X65" s="21">
        <v>7517</v>
      </c>
      <c r="Y65" s="21">
        <v>885</v>
      </c>
      <c r="Z65" s="21">
        <v>500</v>
      </c>
      <c r="AA65" s="21">
        <v>23000</v>
      </c>
      <c r="AB65" s="21">
        <v>0</v>
      </c>
      <c r="AC65" s="21">
        <v>11172</v>
      </c>
      <c r="AD65" s="21">
        <v>30092</v>
      </c>
      <c r="AE65" s="83">
        <f t="shared" si="0"/>
        <v>1240185</v>
      </c>
      <c r="AF65" s="21">
        <v>15000</v>
      </c>
      <c r="AG65" s="21">
        <v>15000</v>
      </c>
      <c r="AH65" s="21">
        <v>0</v>
      </c>
      <c r="AI65" s="21">
        <v>0</v>
      </c>
      <c r="AJ65" s="21">
        <v>0</v>
      </c>
      <c r="AK65" s="21">
        <v>0</v>
      </c>
      <c r="AL65" s="21"/>
      <c r="AM65" s="21">
        <v>0</v>
      </c>
      <c r="AN65" s="14">
        <f t="shared" si="1"/>
        <v>30000</v>
      </c>
      <c r="AO65" s="84">
        <f t="shared" si="2"/>
        <v>1210185</v>
      </c>
      <c r="AP65" s="21">
        <v>24820</v>
      </c>
      <c r="AQ65" s="85">
        <v>5</v>
      </c>
      <c r="AR65" s="21">
        <f t="shared" si="3"/>
        <v>24815</v>
      </c>
      <c r="AS65" s="22">
        <v>0</v>
      </c>
      <c r="AT65" s="22">
        <v>0</v>
      </c>
      <c r="AU65" s="15">
        <f t="shared" si="4"/>
        <v>30005</v>
      </c>
      <c r="AV65" s="118">
        <f t="shared" si="5"/>
        <v>1235000</v>
      </c>
      <c r="AW65" s="16">
        <f t="shared" si="11"/>
        <v>0</v>
      </c>
      <c r="AX65" s="23">
        <v>700000</v>
      </c>
      <c r="AY65" s="88" t="str">
        <f t="shared" si="12"/>
        <v>SBI</v>
      </c>
      <c r="AZ65" s="86">
        <v>45412</v>
      </c>
      <c r="BA65" s="13"/>
      <c r="BB65" s="23">
        <v>0</v>
      </c>
      <c r="BC65" s="23">
        <f>11000+50000+370000+100000+4000</f>
        <v>535000</v>
      </c>
      <c r="BD65" s="22">
        <v>0</v>
      </c>
      <c r="BE65" s="22">
        <v>0</v>
      </c>
      <c r="BF65" s="22">
        <v>0</v>
      </c>
      <c r="BG65" s="22">
        <v>0</v>
      </c>
      <c r="BH65" s="18">
        <f>+AV65-AX65-BB65-BC65-BF65+BG65</f>
        <v>0</v>
      </c>
      <c r="BI65" s="22" t="s">
        <v>109</v>
      </c>
      <c r="BJ65" s="22" t="s">
        <v>373</v>
      </c>
      <c r="BK65" s="19"/>
    </row>
    <row r="66" spans="1:63" ht="17.25" customHeight="1" x14ac:dyDescent="0.3">
      <c r="A66" s="11">
        <v>45383</v>
      </c>
      <c r="B66" s="12">
        <v>65</v>
      </c>
      <c r="C66" s="12">
        <v>65</v>
      </c>
      <c r="D66" s="13">
        <v>45412</v>
      </c>
      <c r="E66" s="81" t="s">
        <v>374</v>
      </c>
      <c r="F66" s="23">
        <v>6261692228</v>
      </c>
      <c r="G66" s="24">
        <f t="shared" ref="G66:G113" si="13">D66</f>
        <v>45412</v>
      </c>
      <c r="H66" s="21" t="s">
        <v>375</v>
      </c>
      <c r="I66" s="23" t="s">
        <v>64</v>
      </c>
      <c r="J66" s="21" t="s">
        <v>89</v>
      </c>
      <c r="K66" s="21" t="s">
        <v>97</v>
      </c>
      <c r="L66" s="21">
        <v>1626118</v>
      </c>
      <c r="M66" s="21">
        <v>716971</v>
      </c>
      <c r="N66" s="21" t="s">
        <v>105</v>
      </c>
      <c r="O66" s="25">
        <v>700000</v>
      </c>
      <c r="P66" s="26" t="s">
        <v>68</v>
      </c>
      <c r="Q66" s="26" t="s">
        <v>179</v>
      </c>
      <c r="R66" s="23" t="s">
        <v>105</v>
      </c>
      <c r="S66" s="23" t="s">
        <v>105</v>
      </c>
      <c r="T66" s="23" t="s">
        <v>107</v>
      </c>
      <c r="U66" s="26" t="s">
        <v>260</v>
      </c>
      <c r="V66" s="21">
        <v>749742</v>
      </c>
      <c r="W66" s="21">
        <v>12744</v>
      </c>
      <c r="X66" s="21">
        <v>4850</v>
      </c>
      <c r="Y66" s="21">
        <v>885</v>
      </c>
      <c r="Z66" s="21">
        <v>0</v>
      </c>
      <c r="AA66" s="21">
        <v>67183</v>
      </c>
      <c r="AB66" s="21">
        <v>0</v>
      </c>
      <c r="AC66" s="21">
        <f>IF(V66&gt;=1000000,V66*1%,0)</f>
        <v>0</v>
      </c>
      <c r="AD66" s="21">
        <v>29373</v>
      </c>
      <c r="AE66" s="83">
        <f t="shared" ref="AE66:AE125" si="14">SUM(V66:AD66)</f>
        <v>864777</v>
      </c>
      <c r="AF66" s="21">
        <v>10000</v>
      </c>
      <c r="AG66" s="21">
        <v>17000</v>
      </c>
      <c r="AH66" s="21">
        <v>0</v>
      </c>
      <c r="AI66" s="21">
        <v>1</v>
      </c>
      <c r="AJ66" s="21">
        <v>0</v>
      </c>
      <c r="AK66" s="21">
        <v>0</v>
      </c>
      <c r="AL66" s="21"/>
      <c r="AM66" s="21">
        <v>7676</v>
      </c>
      <c r="AN66" s="14">
        <f t="shared" ref="AN66:AN125" si="15">SUM(AF66:AM66)</f>
        <v>34677</v>
      </c>
      <c r="AO66" s="84">
        <f t="shared" ref="AO66:AO125" si="16">+AE66-AN66</f>
        <v>830100</v>
      </c>
      <c r="AP66" s="21">
        <v>15050</v>
      </c>
      <c r="AQ66" s="85">
        <v>150</v>
      </c>
      <c r="AR66" s="21">
        <f t="shared" ref="AR66:AR125" si="17">AP66-AQ66</f>
        <v>14900</v>
      </c>
      <c r="AS66" s="22">
        <v>0</v>
      </c>
      <c r="AT66" s="22">
        <v>0</v>
      </c>
      <c r="AU66" s="15">
        <f t="shared" ref="AU66:AU125" si="18">+AN66+AQ66</f>
        <v>34827</v>
      </c>
      <c r="AV66" s="118">
        <f t="shared" ref="AV66:AV125" si="19">AO66+AR66+AS66+AT66</f>
        <v>845000</v>
      </c>
      <c r="AW66" s="16">
        <f t="shared" si="11"/>
        <v>13616</v>
      </c>
      <c r="AX66" s="23">
        <v>686384</v>
      </c>
      <c r="AY66" s="88" t="str">
        <f t="shared" si="12"/>
        <v>MAHINDRA</v>
      </c>
      <c r="AZ66" s="86">
        <v>45412</v>
      </c>
      <c r="BA66" s="13">
        <v>45412</v>
      </c>
      <c r="BB66" s="23">
        <f>5000+114000</f>
        <v>119000</v>
      </c>
      <c r="BC66" s="23">
        <f>40000</f>
        <v>40000</v>
      </c>
      <c r="BD66" s="22">
        <v>0</v>
      </c>
      <c r="BE66" s="22">
        <v>0</v>
      </c>
      <c r="BF66" s="22">
        <v>0</v>
      </c>
      <c r="BG66" s="22">
        <v>0</v>
      </c>
      <c r="BH66" s="18">
        <f>+AV66-AX66-BB66-BC66-BF66+BG66</f>
        <v>-384</v>
      </c>
      <c r="BI66" s="22" t="s">
        <v>109</v>
      </c>
      <c r="BJ66" s="22"/>
      <c r="BK66" s="19"/>
    </row>
    <row r="67" spans="1:63" ht="17.25" customHeight="1" x14ac:dyDescent="0.3">
      <c r="A67" s="11">
        <v>45413</v>
      </c>
      <c r="B67" s="12">
        <v>66</v>
      </c>
      <c r="C67" s="12">
        <v>1</v>
      </c>
      <c r="D67" s="13">
        <v>45413</v>
      </c>
      <c r="E67" s="81" t="s">
        <v>376</v>
      </c>
      <c r="F67" s="21">
        <v>9617670801</v>
      </c>
      <c r="G67" s="24">
        <f t="shared" si="13"/>
        <v>45413</v>
      </c>
      <c r="H67" s="21" t="s">
        <v>377</v>
      </c>
      <c r="I67" s="23" t="s">
        <v>64</v>
      </c>
      <c r="J67" s="21" t="s">
        <v>65</v>
      </c>
      <c r="K67" s="21" t="s">
        <v>66</v>
      </c>
      <c r="L67" s="21">
        <v>1624054</v>
      </c>
      <c r="M67" s="21">
        <v>714676</v>
      </c>
      <c r="N67" s="21" t="s">
        <v>80</v>
      </c>
      <c r="O67" s="25">
        <v>635000</v>
      </c>
      <c r="P67" s="26" t="s">
        <v>68</v>
      </c>
      <c r="Q67" s="26" t="s">
        <v>179</v>
      </c>
      <c r="R67" s="23" t="s">
        <v>105</v>
      </c>
      <c r="S67" s="23" t="s">
        <v>105</v>
      </c>
      <c r="T67" s="23" t="s">
        <v>107</v>
      </c>
      <c r="U67" s="26" t="s">
        <v>85</v>
      </c>
      <c r="V67" s="94">
        <v>665742</v>
      </c>
      <c r="W67" s="21">
        <v>11328</v>
      </c>
      <c r="X67" s="21">
        <v>0</v>
      </c>
      <c r="Y67" s="21">
        <v>885</v>
      </c>
      <c r="Z67" s="21">
        <v>0</v>
      </c>
      <c r="AA67" s="21">
        <v>60463</v>
      </c>
      <c r="AB67" s="21">
        <v>0</v>
      </c>
      <c r="AC67" s="21">
        <f>IF(V67&gt;=1000000,V67*1%,0)</f>
        <v>0</v>
      </c>
      <c r="AD67" s="21">
        <v>25337</v>
      </c>
      <c r="AE67" s="83">
        <f t="shared" si="14"/>
        <v>763755</v>
      </c>
      <c r="AF67" s="21">
        <v>10000</v>
      </c>
      <c r="AG67" s="21">
        <v>15000</v>
      </c>
      <c r="AH67" s="21">
        <v>15000</v>
      </c>
      <c r="AI67" s="21">
        <v>1</v>
      </c>
      <c r="AJ67" s="21">
        <v>0</v>
      </c>
      <c r="AK67" s="21">
        <v>0</v>
      </c>
      <c r="AL67" s="21"/>
      <c r="AM67" s="21">
        <v>0</v>
      </c>
      <c r="AN67" s="27">
        <f t="shared" si="15"/>
        <v>40001</v>
      </c>
      <c r="AO67" s="84">
        <f t="shared" si="16"/>
        <v>723754</v>
      </c>
      <c r="AP67" s="21">
        <v>62464</v>
      </c>
      <c r="AQ67" s="85">
        <v>0</v>
      </c>
      <c r="AR67" s="21">
        <f t="shared" si="17"/>
        <v>62464</v>
      </c>
      <c r="AS67" s="22">
        <v>0</v>
      </c>
      <c r="AT67" s="22">
        <v>0</v>
      </c>
      <c r="AU67" s="15">
        <f t="shared" si="18"/>
        <v>40001</v>
      </c>
      <c r="AV67" s="118">
        <f t="shared" si="19"/>
        <v>786218</v>
      </c>
      <c r="AW67" s="16">
        <f t="shared" si="11"/>
        <v>18100</v>
      </c>
      <c r="AX67" s="23">
        <v>616900</v>
      </c>
      <c r="AY67" s="88" t="str">
        <f t="shared" si="12"/>
        <v>MAHINDRA</v>
      </c>
      <c r="AZ67" s="86">
        <v>45413</v>
      </c>
      <c r="BA67" s="13">
        <v>45418</v>
      </c>
      <c r="BB67" s="23">
        <f>15000</f>
        <v>15000</v>
      </c>
      <c r="BC67" s="23">
        <v>0</v>
      </c>
      <c r="BD67" s="22" t="s">
        <v>378</v>
      </c>
      <c r="BE67" s="22" t="s">
        <v>379</v>
      </c>
      <c r="BF67" s="22">
        <v>185000</v>
      </c>
      <c r="BG67" s="22">
        <v>30000</v>
      </c>
      <c r="BH67" s="18">
        <f>+AV67-AX67-BB67-BC67-BF67+BG67</f>
        <v>-682</v>
      </c>
      <c r="BI67" s="22" t="s">
        <v>109</v>
      </c>
      <c r="BJ67" s="22" t="s">
        <v>380</v>
      </c>
      <c r="BK67" s="19"/>
    </row>
    <row r="68" spans="1:63" ht="17.25" customHeight="1" x14ac:dyDescent="0.3">
      <c r="A68" s="11">
        <v>45413</v>
      </c>
      <c r="B68" s="12">
        <v>67</v>
      </c>
      <c r="C68" s="12">
        <v>2</v>
      </c>
      <c r="D68" s="13">
        <v>45415</v>
      </c>
      <c r="E68" s="81" t="s">
        <v>381</v>
      </c>
      <c r="F68" s="21">
        <v>7974786565</v>
      </c>
      <c r="G68" s="24">
        <f t="shared" si="13"/>
        <v>45415</v>
      </c>
      <c r="H68" s="21" t="s">
        <v>382</v>
      </c>
      <c r="I68" s="23" t="s">
        <v>64</v>
      </c>
      <c r="J68" s="21" t="s">
        <v>65</v>
      </c>
      <c r="K68" s="21" t="s">
        <v>66</v>
      </c>
      <c r="L68" s="21">
        <v>1601777</v>
      </c>
      <c r="M68" s="21">
        <v>688038</v>
      </c>
      <c r="N68" s="21" t="s">
        <v>383</v>
      </c>
      <c r="O68" s="25">
        <v>0</v>
      </c>
      <c r="P68" s="26" t="s">
        <v>81</v>
      </c>
      <c r="Q68" s="26" t="s">
        <v>148</v>
      </c>
      <c r="R68" s="23" t="s">
        <v>149</v>
      </c>
      <c r="S68" s="23" t="s">
        <v>67</v>
      </c>
      <c r="T68" s="23" t="s">
        <v>70</v>
      </c>
      <c r="U68" s="26" t="s">
        <v>71</v>
      </c>
      <c r="V68" s="94">
        <v>665742</v>
      </c>
      <c r="W68" s="21">
        <v>11328</v>
      </c>
      <c r="X68" s="21">
        <v>0</v>
      </c>
      <c r="Y68" s="21">
        <v>885</v>
      </c>
      <c r="Z68" s="21">
        <v>500</v>
      </c>
      <c r="AA68" s="21">
        <v>60463</v>
      </c>
      <c r="AB68" s="21">
        <v>0</v>
      </c>
      <c r="AC68" s="21">
        <f>IF(V68&gt;=1000000,V68*1%,0)</f>
        <v>0</v>
      </c>
      <c r="AD68" s="21">
        <v>25337</v>
      </c>
      <c r="AE68" s="83">
        <f t="shared" si="14"/>
        <v>764255</v>
      </c>
      <c r="AF68" s="21">
        <v>10000</v>
      </c>
      <c r="AG68" s="21">
        <v>15000</v>
      </c>
      <c r="AH68" s="21">
        <v>0</v>
      </c>
      <c r="AI68" s="21">
        <v>0</v>
      </c>
      <c r="AJ68" s="21">
        <v>2100</v>
      </c>
      <c r="AK68" s="21">
        <v>0</v>
      </c>
      <c r="AL68" s="21"/>
      <c r="AM68" s="21">
        <v>6656</v>
      </c>
      <c r="AN68" s="27">
        <f t="shared" si="15"/>
        <v>33756</v>
      </c>
      <c r="AO68" s="84">
        <f t="shared" si="16"/>
        <v>730499</v>
      </c>
      <c r="AP68" s="21">
        <v>39719</v>
      </c>
      <c r="AQ68" s="85">
        <v>0</v>
      </c>
      <c r="AR68" s="21">
        <f t="shared" si="17"/>
        <v>39719</v>
      </c>
      <c r="AS68" s="22">
        <v>0</v>
      </c>
      <c r="AT68" s="22">
        <v>0</v>
      </c>
      <c r="AU68" s="15">
        <f t="shared" si="18"/>
        <v>33756</v>
      </c>
      <c r="AV68" s="118">
        <f t="shared" si="19"/>
        <v>770218</v>
      </c>
      <c r="AW68" s="16">
        <f t="shared" si="11"/>
        <v>-350000</v>
      </c>
      <c r="AX68" s="23">
        <v>350000</v>
      </c>
      <c r="AY68" s="88" t="str">
        <f t="shared" si="12"/>
        <v>CHEQUE</v>
      </c>
      <c r="AZ68" s="86">
        <v>45415</v>
      </c>
      <c r="BA68" s="13">
        <v>45415</v>
      </c>
      <c r="BB68" s="23">
        <f>140000+50000</f>
        <v>190000</v>
      </c>
      <c r="BC68" s="23">
        <f>5000+5000+219800</f>
        <v>229800</v>
      </c>
      <c r="BD68" s="22">
        <v>0</v>
      </c>
      <c r="BE68" s="22">
        <v>0</v>
      </c>
      <c r="BF68" s="22">
        <v>0</v>
      </c>
      <c r="BG68" s="22">
        <v>0</v>
      </c>
      <c r="BH68" s="18">
        <f>+AV68-AX68-BB68-BC68-BF68+BG68</f>
        <v>418</v>
      </c>
      <c r="BI68" s="22" t="s">
        <v>209</v>
      </c>
      <c r="BJ68" s="22"/>
      <c r="BK68" s="19"/>
    </row>
    <row r="69" spans="1:63" ht="17.25" customHeight="1" x14ac:dyDescent="0.3">
      <c r="A69" s="11">
        <v>45413</v>
      </c>
      <c r="B69" s="12">
        <v>68</v>
      </c>
      <c r="C69" s="12">
        <v>3</v>
      </c>
      <c r="D69" s="13">
        <v>45415</v>
      </c>
      <c r="E69" s="81" t="s">
        <v>384</v>
      </c>
      <c r="F69" s="21">
        <v>9425018463</v>
      </c>
      <c r="G69" s="24">
        <f t="shared" si="13"/>
        <v>45415</v>
      </c>
      <c r="H69" s="21" t="s">
        <v>385</v>
      </c>
      <c r="I69" s="23" t="s">
        <v>121</v>
      </c>
      <c r="J69" s="21" t="s">
        <v>386</v>
      </c>
      <c r="K69" s="21" t="s">
        <v>97</v>
      </c>
      <c r="L69" s="21" t="s">
        <v>387</v>
      </c>
      <c r="M69" s="21">
        <v>121909</v>
      </c>
      <c r="N69" s="21" t="s">
        <v>383</v>
      </c>
      <c r="O69" s="25">
        <v>826500</v>
      </c>
      <c r="P69" s="26" t="s">
        <v>68</v>
      </c>
      <c r="Q69" s="26" t="s">
        <v>388</v>
      </c>
      <c r="R69" s="23" t="s">
        <v>389</v>
      </c>
      <c r="S69" s="23" t="s">
        <v>389</v>
      </c>
      <c r="T69" s="23" t="s">
        <v>115</v>
      </c>
      <c r="U69" s="26" t="s">
        <v>116</v>
      </c>
      <c r="V69" s="94">
        <v>1842607</v>
      </c>
      <c r="W69" s="21" t="s">
        <v>180</v>
      </c>
      <c r="X69" s="21">
        <v>0</v>
      </c>
      <c r="Y69" s="21" t="s">
        <v>180</v>
      </c>
      <c r="Z69" s="21">
        <v>500</v>
      </c>
      <c r="AA69" s="21">
        <v>191491</v>
      </c>
      <c r="AB69" s="21">
        <v>0</v>
      </c>
      <c r="AC69" s="21">
        <v>17293</v>
      </c>
      <c r="AD69" s="21">
        <v>45930</v>
      </c>
      <c r="AE69" s="83">
        <f t="shared" si="14"/>
        <v>2097821</v>
      </c>
      <c r="AF69" s="21">
        <v>0</v>
      </c>
      <c r="AG69" s="21">
        <v>20000</v>
      </c>
      <c r="AH69" s="21">
        <v>50000</v>
      </c>
      <c r="AI69" s="21">
        <v>4000</v>
      </c>
      <c r="AJ69" s="21">
        <v>0</v>
      </c>
      <c r="AK69" s="21">
        <v>0</v>
      </c>
      <c r="AL69" s="21"/>
      <c r="AM69" s="21">
        <v>39338</v>
      </c>
      <c r="AN69" s="27">
        <f t="shared" si="15"/>
        <v>113338</v>
      </c>
      <c r="AO69" s="84">
        <f t="shared" si="16"/>
        <v>1984483</v>
      </c>
      <c r="AP69" s="21">
        <v>15899</v>
      </c>
      <c r="AQ69" s="85">
        <v>382</v>
      </c>
      <c r="AR69" s="21">
        <f t="shared" si="17"/>
        <v>15517</v>
      </c>
      <c r="AS69" s="22">
        <v>0</v>
      </c>
      <c r="AT69" s="22">
        <v>0</v>
      </c>
      <c r="AU69" s="15">
        <f t="shared" si="18"/>
        <v>113720</v>
      </c>
      <c r="AV69" s="118">
        <f t="shared" si="19"/>
        <v>2000000</v>
      </c>
      <c r="AW69" s="16">
        <f t="shared" si="11"/>
        <v>26500</v>
      </c>
      <c r="AX69" s="23">
        <v>800000</v>
      </c>
      <c r="AY69" s="88" t="str">
        <f t="shared" si="12"/>
        <v>AU BANK</v>
      </c>
      <c r="AZ69" s="86">
        <v>45417</v>
      </c>
      <c r="BA69" s="13">
        <v>45426</v>
      </c>
      <c r="BB69" s="23">
        <v>0</v>
      </c>
      <c r="BC69" s="23">
        <f>500000+500000+200000</f>
        <v>1200000</v>
      </c>
      <c r="BD69" s="22" t="s">
        <v>354</v>
      </c>
      <c r="BE69" s="22">
        <v>0</v>
      </c>
      <c r="BF69" s="22">
        <v>0</v>
      </c>
      <c r="BG69" s="22">
        <v>0</v>
      </c>
      <c r="BH69" s="18">
        <f>+AV69-AX69-BB69-BC69-BF69+BG69</f>
        <v>0</v>
      </c>
      <c r="BI69" s="22" t="s">
        <v>109</v>
      </c>
      <c r="BJ69" s="22"/>
      <c r="BK69" s="19"/>
    </row>
    <row r="70" spans="1:63" ht="17.25" customHeight="1" x14ac:dyDescent="0.3">
      <c r="A70" s="11">
        <v>45413</v>
      </c>
      <c r="B70" s="12">
        <v>69</v>
      </c>
      <c r="C70" s="12">
        <v>4</v>
      </c>
      <c r="D70" s="13">
        <v>45416</v>
      </c>
      <c r="E70" s="81" t="s">
        <v>390</v>
      </c>
      <c r="F70" s="21">
        <v>9753617005</v>
      </c>
      <c r="G70" s="24">
        <f t="shared" si="13"/>
        <v>45416</v>
      </c>
      <c r="H70" s="21" t="s">
        <v>391</v>
      </c>
      <c r="I70" s="23" t="s">
        <v>78</v>
      </c>
      <c r="J70" s="21" t="s">
        <v>392</v>
      </c>
      <c r="K70" s="21" t="s">
        <v>97</v>
      </c>
      <c r="L70" s="21">
        <v>7010961</v>
      </c>
      <c r="M70" s="21">
        <v>266953</v>
      </c>
      <c r="N70" s="21" t="s">
        <v>67</v>
      </c>
      <c r="O70" s="25">
        <v>975000</v>
      </c>
      <c r="P70" s="26" t="s">
        <v>68</v>
      </c>
      <c r="Q70" s="26" t="s">
        <v>136</v>
      </c>
      <c r="R70" s="23" t="s">
        <v>67</v>
      </c>
      <c r="S70" s="23" t="s">
        <v>67</v>
      </c>
      <c r="T70" s="23" t="s">
        <v>115</v>
      </c>
      <c r="U70" s="26" t="s">
        <v>187</v>
      </c>
      <c r="V70" s="94">
        <v>1055242</v>
      </c>
      <c r="W70" s="21">
        <v>17936</v>
      </c>
      <c r="X70" s="21">
        <v>6820</v>
      </c>
      <c r="Y70" s="21">
        <v>885</v>
      </c>
      <c r="Z70" s="21">
        <v>500</v>
      </c>
      <c r="AA70" s="21">
        <v>112754</v>
      </c>
      <c r="AB70" s="21">
        <v>0</v>
      </c>
      <c r="AC70" s="21">
        <v>10252</v>
      </c>
      <c r="AD70" s="21">
        <v>30360</v>
      </c>
      <c r="AE70" s="83">
        <f t="shared" si="14"/>
        <v>1234749</v>
      </c>
      <c r="AF70" s="21">
        <v>0</v>
      </c>
      <c r="AG70" s="21">
        <v>15000</v>
      </c>
      <c r="AH70" s="21">
        <v>0</v>
      </c>
      <c r="AI70" s="21">
        <v>15001</v>
      </c>
      <c r="AJ70" s="21" t="s">
        <v>393</v>
      </c>
      <c r="AK70" s="21"/>
      <c r="AL70" s="21"/>
      <c r="AM70" s="21">
        <v>0</v>
      </c>
      <c r="AN70" s="27">
        <f t="shared" si="15"/>
        <v>30001</v>
      </c>
      <c r="AO70" s="84">
        <f t="shared" si="16"/>
        <v>1204748</v>
      </c>
      <c r="AP70" s="21">
        <v>16350</v>
      </c>
      <c r="AQ70" s="85">
        <v>0</v>
      </c>
      <c r="AR70" s="21">
        <f t="shared" si="17"/>
        <v>16350</v>
      </c>
      <c r="AS70" s="22">
        <v>0</v>
      </c>
      <c r="AT70" s="22">
        <v>0</v>
      </c>
      <c r="AU70" s="15">
        <f t="shared" si="18"/>
        <v>30001</v>
      </c>
      <c r="AV70" s="118">
        <f t="shared" si="19"/>
        <v>1221098</v>
      </c>
      <c r="AW70" s="16">
        <f t="shared" si="11"/>
        <v>25000</v>
      </c>
      <c r="AX70" s="23">
        <v>950000</v>
      </c>
      <c r="AY70" s="88" t="str">
        <f t="shared" si="12"/>
        <v>CHOLA</v>
      </c>
      <c r="AZ70" s="86">
        <v>45418</v>
      </c>
      <c r="BA70" s="13">
        <v>45421</v>
      </c>
      <c r="BB70" s="23">
        <v>199000</v>
      </c>
      <c r="BC70" s="23">
        <f>5000+51000</f>
        <v>56000</v>
      </c>
      <c r="BD70" s="22">
        <v>0</v>
      </c>
      <c r="BE70" s="22">
        <v>0</v>
      </c>
      <c r="BF70" s="22">
        <v>0</v>
      </c>
      <c r="BG70" s="22">
        <v>0</v>
      </c>
      <c r="BH70" s="18">
        <f>+AV70-AX70-BB70-BC70-BF70+BG70</f>
        <v>16098</v>
      </c>
      <c r="BI70" s="22" t="s">
        <v>209</v>
      </c>
      <c r="BJ70" s="22" t="s">
        <v>394</v>
      </c>
      <c r="BK70" s="19"/>
    </row>
    <row r="71" spans="1:63" ht="17.25" customHeight="1" x14ac:dyDescent="0.3">
      <c r="A71" s="11">
        <v>45413</v>
      </c>
      <c r="B71" s="12">
        <v>70</v>
      </c>
      <c r="C71" s="12">
        <v>5</v>
      </c>
      <c r="D71" s="13">
        <v>45418</v>
      </c>
      <c r="E71" s="81" t="s">
        <v>395</v>
      </c>
      <c r="F71" s="21">
        <v>8959924549</v>
      </c>
      <c r="G71" s="24">
        <f t="shared" si="13"/>
        <v>45418</v>
      </c>
      <c r="H71" s="21" t="s">
        <v>396</v>
      </c>
      <c r="I71" s="23" t="s">
        <v>397</v>
      </c>
      <c r="J71" s="21" t="s">
        <v>65</v>
      </c>
      <c r="K71" s="21" t="s">
        <v>66</v>
      </c>
      <c r="L71" s="21">
        <v>4858549</v>
      </c>
      <c r="M71" s="21">
        <v>430441</v>
      </c>
      <c r="N71" s="21" t="s">
        <v>147</v>
      </c>
      <c r="O71" s="25">
        <v>500000</v>
      </c>
      <c r="P71" s="26" t="s">
        <v>68</v>
      </c>
      <c r="Q71" s="26" t="s">
        <v>293</v>
      </c>
      <c r="R71" s="23" t="s">
        <v>147</v>
      </c>
      <c r="S71" s="23" t="s">
        <v>147</v>
      </c>
      <c r="T71" s="23" t="s">
        <v>150</v>
      </c>
      <c r="U71" s="26" t="s">
        <v>332</v>
      </c>
      <c r="V71" s="94">
        <v>584000</v>
      </c>
      <c r="W71" s="21">
        <v>9924</v>
      </c>
      <c r="X71" s="21">
        <v>3776</v>
      </c>
      <c r="Y71" s="21">
        <v>885</v>
      </c>
      <c r="Z71" s="21">
        <v>500</v>
      </c>
      <c r="AA71" s="21">
        <v>53924</v>
      </c>
      <c r="AB71" s="21">
        <v>0</v>
      </c>
      <c r="AC71" s="21">
        <f t="shared" ref="AC71:AC81" si="20">IF(V71&gt;=1000000,V71*1%,0)</f>
        <v>0</v>
      </c>
      <c r="AD71" s="21">
        <v>24185</v>
      </c>
      <c r="AE71" s="83">
        <f t="shared" si="14"/>
        <v>677194</v>
      </c>
      <c r="AF71" s="21">
        <v>10000</v>
      </c>
      <c r="AG71" s="21">
        <v>25000</v>
      </c>
      <c r="AH71" s="21">
        <v>15000</v>
      </c>
      <c r="AI71" s="21">
        <v>0</v>
      </c>
      <c r="AJ71" s="21">
        <v>2100</v>
      </c>
      <c r="AK71" s="21">
        <v>0</v>
      </c>
      <c r="AL71" s="21"/>
      <c r="AM71" s="21">
        <v>14894</v>
      </c>
      <c r="AN71" s="27">
        <f t="shared" si="15"/>
        <v>66994</v>
      </c>
      <c r="AO71" s="84">
        <f t="shared" si="16"/>
        <v>610200</v>
      </c>
      <c r="AP71" s="21">
        <v>30300</v>
      </c>
      <c r="AQ71" s="85">
        <v>500</v>
      </c>
      <c r="AR71" s="21">
        <f t="shared" si="17"/>
        <v>29800</v>
      </c>
      <c r="AS71" s="22">
        <v>0</v>
      </c>
      <c r="AT71" s="22">
        <v>0</v>
      </c>
      <c r="AU71" s="15">
        <f t="shared" si="18"/>
        <v>67494</v>
      </c>
      <c r="AV71" s="118">
        <f t="shared" si="19"/>
        <v>640000</v>
      </c>
      <c r="AW71" s="16">
        <f t="shared" si="11"/>
        <v>0</v>
      </c>
      <c r="AX71" s="23">
        <v>500000</v>
      </c>
      <c r="AY71" s="88" t="str">
        <f t="shared" si="12"/>
        <v>CANARA BANK</v>
      </c>
      <c r="AZ71" s="86">
        <v>45418</v>
      </c>
      <c r="BA71" s="13">
        <v>45419</v>
      </c>
      <c r="BB71" s="23">
        <v>0</v>
      </c>
      <c r="BC71" s="23">
        <v>0</v>
      </c>
      <c r="BD71" s="22" t="s">
        <v>398</v>
      </c>
      <c r="BE71" s="22" t="s">
        <v>399</v>
      </c>
      <c r="BF71" s="22">
        <v>150000</v>
      </c>
      <c r="BG71" s="22">
        <v>0</v>
      </c>
      <c r="BH71" s="18">
        <f>+AV71-AX71-BB71-BC71-BF71+BG71</f>
        <v>-10000</v>
      </c>
      <c r="BI71" s="22" t="s">
        <v>400</v>
      </c>
      <c r="BJ71" s="22"/>
      <c r="BK71" s="19"/>
    </row>
    <row r="72" spans="1:63" ht="17.25" customHeight="1" x14ac:dyDescent="0.3">
      <c r="A72" s="11">
        <v>45413</v>
      </c>
      <c r="B72" s="12">
        <v>71</v>
      </c>
      <c r="C72" s="12">
        <v>6</v>
      </c>
      <c r="D72" s="13">
        <v>45420</v>
      </c>
      <c r="E72" s="81" t="s">
        <v>401</v>
      </c>
      <c r="F72" s="21">
        <v>9685247311</v>
      </c>
      <c r="G72" s="24">
        <f t="shared" si="13"/>
        <v>45420</v>
      </c>
      <c r="H72" s="21" t="s">
        <v>402</v>
      </c>
      <c r="I72" s="23" t="s">
        <v>78</v>
      </c>
      <c r="J72" s="21" t="s">
        <v>65</v>
      </c>
      <c r="K72" s="21" t="s">
        <v>199</v>
      </c>
      <c r="L72" s="21">
        <v>7469099</v>
      </c>
      <c r="M72" s="21">
        <v>241773</v>
      </c>
      <c r="N72" s="21" t="s">
        <v>67</v>
      </c>
      <c r="O72" s="25">
        <v>675000</v>
      </c>
      <c r="P72" s="26" t="s">
        <v>68</v>
      </c>
      <c r="Q72" s="26" t="s">
        <v>69</v>
      </c>
      <c r="R72" s="23" t="s">
        <v>67</v>
      </c>
      <c r="S72" s="23" t="s">
        <v>67</v>
      </c>
      <c r="T72" s="23" t="s">
        <v>115</v>
      </c>
      <c r="U72" s="26" t="s">
        <v>116</v>
      </c>
      <c r="V72" s="94">
        <v>751242</v>
      </c>
      <c r="W72" s="21">
        <v>12779</v>
      </c>
      <c r="X72" s="21">
        <v>4862</v>
      </c>
      <c r="Y72" s="21">
        <v>885</v>
      </c>
      <c r="Z72" s="21">
        <v>500</v>
      </c>
      <c r="AA72" s="21">
        <v>67303</v>
      </c>
      <c r="AB72" s="21">
        <v>0</v>
      </c>
      <c r="AC72" s="21">
        <f t="shared" si="20"/>
        <v>0</v>
      </c>
      <c r="AD72" s="21">
        <v>26187</v>
      </c>
      <c r="AE72" s="83">
        <f t="shared" si="14"/>
        <v>863758</v>
      </c>
      <c r="AF72" s="21">
        <v>0</v>
      </c>
      <c r="AG72" s="21">
        <v>10000</v>
      </c>
      <c r="AH72" s="21">
        <v>0</v>
      </c>
      <c r="AI72" s="21">
        <v>1</v>
      </c>
      <c r="AJ72" s="21">
        <v>0</v>
      </c>
      <c r="AK72" s="21">
        <v>0</v>
      </c>
      <c r="AL72" s="21"/>
      <c r="AM72" s="21">
        <v>8957</v>
      </c>
      <c r="AN72" s="27">
        <f t="shared" si="15"/>
        <v>18958</v>
      </c>
      <c r="AO72" s="84">
        <f t="shared" si="16"/>
        <v>844800</v>
      </c>
      <c r="AP72" s="21">
        <v>200</v>
      </c>
      <c r="AQ72" s="85">
        <v>0</v>
      </c>
      <c r="AR72" s="21">
        <f t="shared" si="17"/>
        <v>200</v>
      </c>
      <c r="AS72" s="22">
        <v>0</v>
      </c>
      <c r="AT72" s="22">
        <v>0</v>
      </c>
      <c r="AU72" s="15">
        <f t="shared" si="18"/>
        <v>18958</v>
      </c>
      <c r="AV72" s="118">
        <f t="shared" si="19"/>
        <v>845000</v>
      </c>
      <c r="AW72" s="16">
        <f t="shared" si="11"/>
        <v>0</v>
      </c>
      <c r="AX72" s="23">
        <v>675000</v>
      </c>
      <c r="AY72" s="88" t="str">
        <f t="shared" si="12"/>
        <v>SUNDARAM</v>
      </c>
      <c r="AZ72" s="86">
        <v>45420</v>
      </c>
      <c r="BA72" s="13">
        <v>45429</v>
      </c>
      <c r="BB72" s="23">
        <f>5000+165000</f>
        <v>170000</v>
      </c>
      <c r="BC72" s="23">
        <v>0</v>
      </c>
      <c r="BD72" s="22">
        <v>0</v>
      </c>
      <c r="BE72" s="22">
        <v>0</v>
      </c>
      <c r="BF72" s="22">
        <v>0</v>
      </c>
      <c r="BG72" s="22">
        <v>0</v>
      </c>
      <c r="BH72" s="18">
        <f>+AV72-AX72-BB72-BC72-BF72+BG72</f>
        <v>0</v>
      </c>
      <c r="BI72" s="22" t="s">
        <v>109</v>
      </c>
      <c r="BJ72" s="22"/>
      <c r="BK72" s="19"/>
    </row>
    <row r="73" spans="1:63" ht="17.25" customHeight="1" x14ac:dyDescent="0.3">
      <c r="A73" s="11">
        <v>45413</v>
      </c>
      <c r="B73" s="12">
        <v>72</v>
      </c>
      <c r="C73" s="12">
        <v>7</v>
      </c>
      <c r="D73" s="13">
        <v>45420</v>
      </c>
      <c r="E73" s="81" t="s">
        <v>403</v>
      </c>
      <c r="F73" s="21">
        <v>9098497575</v>
      </c>
      <c r="G73" s="24">
        <f t="shared" si="13"/>
        <v>45420</v>
      </c>
      <c r="H73" s="21" t="s">
        <v>404</v>
      </c>
      <c r="I73" s="23" t="s">
        <v>64</v>
      </c>
      <c r="J73" s="21" t="s">
        <v>65</v>
      </c>
      <c r="K73" s="21" t="s">
        <v>97</v>
      </c>
      <c r="L73" s="21">
        <v>4441481</v>
      </c>
      <c r="M73" s="21">
        <v>718973</v>
      </c>
      <c r="N73" s="21" t="s">
        <v>147</v>
      </c>
      <c r="O73" s="25">
        <v>680000</v>
      </c>
      <c r="P73" s="26" t="s">
        <v>81</v>
      </c>
      <c r="Q73" s="26" t="s">
        <v>90</v>
      </c>
      <c r="R73" s="23" t="s">
        <v>405</v>
      </c>
      <c r="S73" s="23" t="s">
        <v>147</v>
      </c>
      <c r="T73" s="23" t="s">
        <v>150</v>
      </c>
      <c r="U73" s="26" t="s">
        <v>332</v>
      </c>
      <c r="V73" s="94">
        <v>665742</v>
      </c>
      <c r="W73" s="21">
        <v>11328</v>
      </c>
      <c r="X73" s="21">
        <v>4307</v>
      </c>
      <c r="Y73" s="21">
        <v>885</v>
      </c>
      <c r="Z73" s="21">
        <v>500</v>
      </c>
      <c r="AA73" s="21">
        <v>60463</v>
      </c>
      <c r="AB73" s="21">
        <v>0</v>
      </c>
      <c r="AC73" s="21">
        <f t="shared" si="20"/>
        <v>0</v>
      </c>
      <c r="AD73" s="21">
        <v>25337</v>
      </c>
      <c r="AE73" s="83">
        <f t="shared" si="14"/>
        <v>768562</v>
      </c>
      <c r="AF73" s="21">
        <v>10000</v>
      </c>
      <c r="AG73" s="21">
        <v>15000</v>
      </c>
      <c r="AH73" s="21">
        <v>0</v>
      </c>
      <c r="AI73" s="21">
        <v>0</v>
      </c>
      <c r="AJ73" s="21">
        <v>2100</v>
      </c>
      <c r="AK73" s="21">
        <v>0</v>
      </c>
      <c r="AL73" s="21"/>
      <c r="AM73" s="21">
        <v>1162</v>
      </c>
      <c r="AN73" s="27">
        <f t="shared" si="15"/>
        <v>28262</v>
      </c>
      <c r="AO73" s="84">
        <f t="shared" si="16"/>
        <v>740300</v>
      </c>
      <c r="AP73" s="21">
        <v>33600</v>
      </c>
      <c r="AQ73" s="85">
        <v>0</v>
      </c>
      <c r="AR73" s="21">
        <f t="shared" si="17"/>
        <v>33600</v>
      </c>
      <c r="AS73" s="22">
        <v>0</v>
      </c>
      <c r="AT73" s="22">
        <v>0</v>
      </c>
      <c r="AU73" s="15">
        <f t="shared" si="18"/>
        <v>28262</v>
      </c>
      <c r="AV73" s="118">
        <f t="shared" si="19"/>
        <v>773900</v>
      </c>
      <c r="AW73" s="16">
        <f t="shared" si="11"/>
        <v>-60000</v>
      </c>
      <c r="AX73" s="23">
        <v>740000</v>
      </c>
      <c r="AY73" s="88" t="str">
        <f t="shared" si="12"/>
        <v>MPGB</v>
      </c>
      <c r="AZ73" s="86">
        <v>45420</v>
      </c>
      <c r="BA73" s="86">
        <v>45420</v>
      </c>
      <c r="BB73" s="23">
        <f>12000+10000</f>
        <v>22000</v>
      </c>
      <c r="BC73" s="23">
        <v>0</v>
      </c>
      <c r="BD73" s="22">
        <v>0</v>
      </c>
      <c r="BE73" s="22">
        <v>0</v>
      </c>
      <c r="BF73" s="22">
        <v>0</v>
      </c>
      <c r="BG73" s="22">
        <v>0</v>
      </c>
      <c r="BH73" s="18">
        <f>+AV73-AX73-BB73-BC73-BF73+BG73</f>
        <v>11900</v>
      </c>
      <c r="BI73" s="22" t="s">
        <v>209</v>
      </c>
      <c r="BJ73" s="22"/>
      <c r="BK73" s="19"/>
    </row>
    <row r="74" spans="1:63" ht="17.25" customHeight="1" x14ac:dyDescent="0.3">
      <c r="A74" s="11">
        <v>45413</v>
      </c>
      <c r="B74" s="12">
        <v>73</v>
      </c>
      <c r="C74" s="12">
        <v>8</v>
      </c>
      <c r="D74" s="13">
        <v>45420</v>
      </c>
      <c r="E74" s="81" t="s">
        <v>406</v>
      </c>
      <c r="F74" s="21">
        <v>9921842940</v>
      </c>
      <c r="G74" s="24">
        <f t="shared" si="13"/>
        <v>45420</v>
      </c>
      <c r="H74" s="21" t="s">
        <v>407</v>
      </c>
      <c r="I74" s="23" t="s">
        <v>78</v>
      </c>
      <c r="J74" s="21" t="s">
        <v>65</v>
      </c>
      <c r="K74" s="21" t="s">
        <v>66</v>
      </c>
      <c r="L74" s="21">
        <v>7482006</v>
      </c>
      <c r="M74" s="21">
        <v>250426</v>
      </c>
      <c r="N74" s="21" t="s">
        <v>105</v>
      </c>
      <c r="O74" s="25">
        <v>783000</v>
      </c>
      <c r="P74" s="26" t="s">
        <v>81</v>
      </c>
      <c r="Q74" s="26" t="s">
        <v>254</v>
      </c>
      <c r="R74" s="23" t="s">
        <v>408</v>
      </c>
      <c r="S74" s="23" t="s">
        <v>105</v>
      </c>
      <c r="T74" s="23" t="s">
        <v>107</v>
      </c>
      <c r="U74" s="26" t="s">
        <v>359</v>
      </c>
      <c r="V74" s="94">
        <v>751242</v>
      </c>
      <c r="W74" s="21">
        <v>0</v>
      </c>
      <c r="X74" s="21">
        <v>0</v>
      </c>
      <c r="Y74" s="21">
        <v>885</v>
      </c>
      <c r="Z74" s="21">
        <v>500</v>
      </c>
      <c r="AA74" s="21">
        <v>90000</v>
      </c>
      <c r="AB74" s="21">
        <v>4500</v>
      </c>
      <c r="AC74" s="21">
        <f t="shared" si="20"/>
        <v>0</v>
      </c>
      <c r="AD74" s="21">
        <v>27664</v>
      </c>
      <c r="AE74" s="83">
        <f t="shared" si="14"/>
        <v>874791</v>
      </c>
      <c r="AF74" s="21">
        <v>0</v>
      </c>
      <c r="AG74" s="21">
        <v>15000</v>
      </c>
      <c r="AH74" s="21">
        <v>0</v>
      </c>
      <c r="AI74" s="21">
        <v>1</v>
      </c>
      <c r="AJ74" s="21">
        <v>0</v>
      </c>
      <c r="AK74" s="21">
        <v>0</v>
      </c>
      <c r="AL74" s="21"/>
      <c r="AM74" s="21">
        <v>2790</v>
      </c>
      <c r="AN74" s="27">
        <f t="shared" si="15"/>
        <v>17791</v>
      </c>
      <c r="AO74" s="84">
        <f t="shared" si="16"/>
        <v>857000</v>
      </c>
      <c r="AP74" s="21">
        <v>35350</v>
      </c>
      <c r="AQ74" s="85">
        <v>8350</v>
      </c>
      <c r="AR74" s="21">
        <f t="shared" si="17"/>
        <v>27000</v>
      </c>
      <c r="AS74" s="22">
        <v>0</v>
      </c>
      <c r="AT74" s="22">
        <v>0</v>
      </c>
      <c r="AU74" s="15">
        <f t="shared" si="18"/>
        <v>26141</v>
      </c>
      <c r="AV74" s="118">
        <f t="shared" si="19"/>
        <v>884000</v>
      </c>
      <c r="AW74" s="16">
        <f t="shared" si="11"/>
        <v>-84042</v>
      </c>
      <c r="AX74" s="23">
        <v>867042</v>
      </c>
      <c r="AY74" s="88" t="str">
        <f t="shared" si="12"/>
        <v>BANK OF BARODA</v>
      </c>
      <c r="AZ74" s="86">
        <v>45421</v>
      </c>
      <c r="BA74" s="13">
        <v>45421</v>
      </c>
      <c r="BB74" s="23">
        <v>0</v>
      </c>
      <c r="BC74" s="23">
        <f>5100+25000</f>
        <v>30100</v>
      </c>
      <c r="BD74" s="22">
        <v>0</v>
      </c>
      <c r="BE74" s="22">
        <v>0</v>
      </c>
      <c r="BF74" s="22">
        <v>0</v>
      </c>
      <c r="BG74" s="22">
        <v>0</v>
      </c>
      <c r="BH74" s="18">
        <f>+AV74-AX74-BB74-BC74-BF74+BG74</f>
        <v>-13142</v>
      </c>
      <c r="BI74" s="22" t="s">
        <v>109</v>
      </c>
      <c r="BJ74" s="22" t="s">
        <v>409</v>
      </c>
      <c r="BK74" s="19"/>
    </row>
    <row r="75" spans="1:63" ht="17.25" customHeight="1" x14ac:dyDescent="0.3">
      <c r="A75" s="11">
        <v>45413</v>
      </c>
      <c r="B75" s="12">
        <v>74</v>
      </c>
      <c r="C75" s="12">
        <v>9</v>
      </c>
      <c r="D75" s="13">
        <v>45422</v>
      </c>
      <c r="E75" s="81" t="s">
        <v>410</v>
      </c>
      <c r="F75" s="21">
        <v>9131220380</v>
      </c>
      <c r="G75" s="24">
        <f t="shared" si="13"/>
        <v>45422</v>
      </c>
      <c r="H75" s="21" t="s">
        <v>411</v>
      </c>
      <c r="I75" s="23" t="s">
        <v>78</v>
      </c>
      <c r="J75" s="21" t="s">
        <v>104</v>
      </c>
      <c r="K75" s="21" t="s">
        <v>66</v>
      </c>
      <c r="L75" s="21">
        <v>7499085</v>
      </c>
      <c r="M75" s="21">
        <v>266185</v>
      </c>
      <c r="N75" s="21" t="s">
        <v>155</v>
      </c>
      <c r="O75" s="25">
        <v>800000</v>
      </c>
      <c r="P75" s="26" t="s">
        <v>68</v>
      </c>
      <c r="Q75" s="26" t="s">
        <v>191</v>
      </c>
      <c r="R75" s="23" t="s">
        <v>155</v>
      </c>
      <c r="S75" s="23" t="s">
        <v>155</v>
      </c>
      <c r="T75" s="23" t="s">
        <v>157</v>
      </c>
      <c r="U75" s="26" t="s">
        <v>158</v>
      </c>
      <c r="V75" s="94">
        <v>932242</v>
      </c>
      <c r="W75" s="21">
        <v>15847</v>
      </c>
      <c r="X75" s="21">
        <v>0</v>
      </c>
      <c r="Y75" s="21">
        <v>885</v>
      </c>
      <c r="Z75" s="21">
        <v>0</v>
      </c>
      <c r="AA75" s="21">
        <v>81783</v>
      </c>
      <c r="AB75" s="21">
        <v>0</v>
      </c>
      <c r="AC75" s="21">
        <f t="shared" si="20"/>
        <v>0</v>
      </c>
      <c r="AD75" s="21">
        <v>30394</v>
      </c>
      <c r="AE75" s="83">
        <f t="shared" si="14"/>
        <v>1061151</v>
      </c>
      <c r="AF75" s="21">
        <v>0</v>
      </c>
      <c r="AG75" s="21">
        <v>0</v>
      </c>
      <c r="AH75" s="21">
        <v>0</v>
      </c>
      <c r="AI75" s="21">
        <v>1</v>
      </c>
      <c r="AJ75" s="21">
        <v>0</v>
      </c>
      <c r="AK75" s="21">
        <v>0</v>
      </c>
      <c r="AL75" s="21"/>
      <c r="AM75" s="21">
        <v>12650</v>
      </c>
      <c r="AN75" s="27">
        <f t="shared" si="15"/>
        <v>12651</v>
      </c>
      <c r="AO75" s="84">
        <f t="shared" si="16"/>
        <v>1048500</v>
      </c>
      <c r="AP75" s="21">
        <v>11880</v>
      </c>
      <c r="AQ75" s="85">
        <v>0</v>
      </c>
      <c r="AR75" s="21">
        <f t="shared" si="17"/>
        <v>11880</v>
      </c>
      <c r="AS75" s="22">
        <v>0</v>
      </c>
      <c r="AT75" s="22">
        <v>0</v>
      </c>
      <c r="AU75" s="15">
        <f t="shared" si="18"/>
        <v>12651</v>
      </c>
      <c r="AV75" s="118">
        <f t="shared" si="19"/>
        <v>1060380</v>
      </c>
      <c r="AW75" s="16">
        <f t="shared" si="11"/>
        <v>0</v>
      </c>
      <c r="AX75" s="23">
        <v>800000</v>
      </c>
      <c r="AY75" s="88" t="str">
        <f t="shared" si="12"/>
        <v>SBI</v>
      </c>
      <c r="AZ75" s="86">
        <v>45422</v>
      </c>
      <c r="BA75" s="13"/>
      <c r="BB75" s="23">
        <f>10000+50000</f>
        <v>60000</v>
      </c>
      <c r="BC75" s="23">
        <f>200000</f>
        <v>200000</v>
      </c>
      <c r="BD75" s="22">
        <v>0</v>
      </c>
      <c r="BE75" s="22">
        <v>0</v>
      </c>
      <c r="BF75" s="22">
        <v>0</v>
      </c>
      <c r="BG75" s="22">
        <v>0</v>
      </c>
      <c r="BH75" s="18">
        <f>+AV75-AX75-BB75-BC75-BF75+BG75</f>
        <v>380</v>
      </c>
      <c r="BI75" s="22" t="s">
        <v>109</v>
      </c>
      <c r="BJ75" s="22" t="s">
        <v>413</v>
      </c>
      <c r="BK75" s="19"/>
    </row>
    <row r="76" spans="1:63" ht="17.25" customHeight="1" x14ac:dyDescent="0.3">
      <c r="A76" s="11">
        <v>45413</v>
      </c>
      <c r="B76" s="12">
        <v>75</v>
      </c>
      <c r="C76" s="12">
        <v>10</v>
      </c>
      <c r="D76" s="13">
        <v>45422</v>
      </c>
      <c r="E76" s="81" t="s">
        <v>414</v>
      </c>
      <c r="F76" s="21">
        <v>9926423871</v>
      </c>
      <c r="G76" s="24">
        <f t="shared" si="13"/>
        <v>45422</v>
      </c>
      <c r="H76" s="21" t="s">
        <v>415</v>
      </c>
      <c r="I76" s="23" t="s">
        <v>78</v>
      </c>
      <c r="J76" s="21" t="s">
        <v>65</v>
      </c>
      <c r="K76" s="21" t="s">
        <v>66</v>
      </c>
      <c r="L76" s="21">
        <v>7482002</v>
      </c>
      <c r="M76" s="21">
        <v>250430</v>
      </c>
      <c r="N76" s="21" t="s">
        <v>67</v>
      </c>
      <c r="O76" s="25">
        <v>700000</v>
      </c>
      <c r="P76" s="26" t="s">
        <v>68</v>
      </c>
      <c r="Q76" s="26" t="s">
        <v>191</v>
      </c>
      <c r="R76" s="23" t="s">
        <v>347</v>
      </c>
      <c r="S76" s="23" t="s">
        <v>67</v>
      </c>
      <c r="T76" s="23" t="s">
        <v>70</v>
      </c>
      <c r="U76" s="26" t="s">
        <v>234</v>
      </c>
      <c r="V76" s="94">
        <v>751242</v>
      </c>
      <c r="W76" s="21">
        <v>0</v>
      </c>
      <c r="X76" s="21">
        <v>0</v>
      </c>
      <c r="Y76" s="21">
        <v>885</v>
      </c>
      <c r="Z76" s="21">
        <v>500</v>
      </c>
      <c r="AA76" s="21">
        <v>67303</v>
      </c>
      <c r="AB76" s="21">
        <v>0</v>
      </c>
      <c r="AC76" s="21">
        <f t="shared" si="20"/>
        <v>0</v>
      </c>
      <c r="AD76" s="21">
        <v>26187</v>
      </c>
      <c r="AE76" s="83">
        <f t="shared" si="14"/>
        <v>846117</v>
      </c>
      <c r="AF76" s="21">
        <v>0</v>
      </c>
      <c r="AG76" s="21">
        <v>15000</v>
      </c>
      <c r="AH76" s="21">
        <v>0</v>
      </c>
      <c r="AI76" s="21">
        <v>1</v>
      </c>
      <c r="AJ76" s="21">
        <v>0</v>
      </c>
      <c r="AK76" s="21">
        <v>0</v>
      </c>
      <c r="AL76" s="21"/>
      <c r="AM76" s="21">
        <v>6116</v>
      </c>
      <c r="AN76" s="27">
        <f t="shared" si="15"/>
        <v>21117</v>
      </c>
      <c r="AO76" s="84">
        <f t="shared" si="16"/>
        <v>825000</v>
      </c>
      <c r="AP76" s="21">
        <v>0</v>
      </c>
      <c r="AQ76" s="85">
        <v>0</v>
      </c>
      <c r="AR76" s="21">
        <f t="shared" si="17"/>
        <v>0</v>
      </c>
      <c r="AS76" s="22">
        <v>0</v>
      </c>
      <c r="AT76" s="22">
        <v>0</v>
      </c>
      <c r="AU76" s="15">
        <f t="shared" si="18"/>
        <v>21117</v>
      </c>
      <c r="AV76" s="118">
        <f t="shared" si="19"/>
        <v>825000</v>
      </c>
      <c r="AW76" s="16">
        <f t="shared" si="11"/>
        <v>0</v>
      </c>
      <c r="AX76" s="23">
        <v>700000</v>
      </c>
      <c r="AY76" s="88" t="str">
        <f t="shared" si="12"/>
        <v>SBI</v>
      </c>
      <c r="AZ76" s="86">
        <v>45421</v>
      </c>
      <c r="BA76" s="86">
        <v>45421</v>
      </c>
      <c r="BB76" s="23">
        <v>0</v>
      </c>
      <c r="BC76" s="23">
        <f>5000+50000+70000</f>
        <v>125000</v>
      </c>
      <c r="BD76" s="22">
        <v>0</v>
      </c>
      <c r="BE76" s="22">
        <v>0</v>
      </c>
      <c r="BF76" s="22">
        <v>0</v>
      </c>
      <c r="BG76" s="22">
        <v>0</v>
      </c>
      <c r="BH76" s="18">
        <f>+AV76-AX76-BB76-BC76-BF76+BG76</f>
        <v>0</v>
      </c>
      <c r="BI76" s="22" t="s">
        <v>416</v>
      </c>
      <c r="BJ76" s="22" t="s">
        <v>417</v>
      </c>
      <c r="BK76" s="19"/>
    </row>
    <row r="77" spans="1:63" ht="17.25" customHeight="1" x14ac:dyDescent="0.3">
      <c r="A77" s="11">
        <v>45413</v>
      </c>
      <c r="B77" s="12">
        <v>76</v>
      </c>
      <c r="C77" s="12">
        <v>11</v>
      </c>
      <c r="D77" s="13">
        <v>45422</v>
      </c>
      <c r="E77" s="81" t="s">
        <v>418</v>
      </c>
      <c r="F77" s="21">
        <v>7089086245</v>
      </c>
      <c r="G77" s="24">
        <f t="shared" si="13"/>
        <v>45422</v>
      </c>
      <c r="H77" s="21" t="s">
        <v>419</v>
      </c>
      <c r="I77" s="23" t="s">
        <v>64</v>
      </c>
      <c r="J77" s="21" t="s">
        <v>135</v>
      </c>
      <c r="K77" s="21" t="s">
        <v>66</v>
      </c>
      <c r="L77" s="21">
        <v>4446462</v>
      </c>
      <c r="M77" s="21">
        <v>726437</v>
      </c>
      <c r="N77" s="21" t="s">
        <v>147</v>
      </c>
      <c r="O77" s="25">
        <v>700000</v>
      </c>
      <c r="P77" s="26" t="s">
        <v>68</v>
      </c>
      <c r="Q77" s="26" t="s">
        <v>191</v>
      </c>
      <c r="R77" s="23" t="s">
        <v>420</v>
      </c>
      <c r="S77" s="23" t="s">
        <v>147</v>
      </c>
      <c r="T77" s="23" t="s">
        <v>150</v>
      </c>
      <c r="U77" s="26" t="s">
        <v>151</v>
      </c>
      <c r="V77" s="94">
        <v>932742</v>
      </c>
      <c r="W77" s="21">
        <v>15859</v>
      </c>
      <c r="X77" s="21">
        <v>0</v>
      </c>
      <c r="Y77" s="21">
        <v>885</v>
      </c>
      <c r="Z77" s="21">
        <v>500</v>
      </c>
      <c r="AA77" s="21">
        <v>81823</v>
      </c>
      <c r="AB77" s="21">
        <v>0</v>
      </c>
      <c r="AC77" s="21">
        <f t="shared" si="20"/>
        <v>0</v>
      </c>
      <c r="AD77" s="21">
        <v>30208</v>
      </c>
      <c r="AE77" s="83">
        <f t="shared" si="14"/>
        <v>1062017</v>
      </c>
      <c r="AF77" s="21">
        <v>0</v>
      </c>
      <c r="AG77" s="21">
        <v>10000</v>
      </c>
      <c r="AH77" s="21">
        <v>0</v>
      </c>
      <c r="AI77" s="21">
        <v>5000</v>
      </c>
      <c r="AJ77" s="21">
        <v>0</v>
      </c>
      <c r="AK77" s="21">
        <v>0</v>
      </c>
      <c r="AL77" s="21"/>
      <c r="AM77" s="21">
        <v>3017</v>
      </c>
      <c r="AN77" s="27">
        <f t="shared" si="15"/>
        <v>18017</v>
      </c>
      <c r="AO77" s="84">
        <f t="shared" si="16"/>
        <v>1044000</v>
      </c>
      <c r="AP77" s="21">
        <v>14200</v>
      </c>
      <c r="AQ77" s="85">
        <v>200</v>
      </c>
      <c r="AR77" s="21">
        <f t="shared" si="17"/>
        <v>14000</v>
      </c>
      <c r="AS77" s="22">
        <v>0</v>
      </c>
      <c r="AT77" s="22">
        <v>0</v>
      </c>
      <c r="AU77" s="15">
        <f t="shared" si="18"/>
        <v>18217</v>
      </c>
      <c r="AV77" s="118">
        <f t="shared" si="19"/>
        <v>1058000</v>
      </c>
      <c r="AW77" s="16">
        <f t="shared" si="11"/>
        <v>0</v>
      </c>
      <c r="AX77" s="23">
        <v>700000</v>
      </c>
      <c r="AY77" s="88" t="str">
        <f t="shared" si="12"/>
        <v>SBI</v>
      </c>
      <c r="AZ77" s="86">
        <v>45415</v>
      </c>
      <c r="BA77" s="13">
        <v>45420</v>
      </c>
      <c r="BB77" s="23">
        <f>47000</f>
        <v>47000</v>
      </c>
      <c r="BC77" s="23">
        <f>11000+300000</f>
        <v>311000</v>
      </c>
      <c r="BD77" s="22">
        <v>0</v>
      </c>
      <c r="BE77" s="22">
        <v>0</v>
      </c>
      <c r="BF77" s="22">
        <v>0</v>
      </c>
      <c r="BG77" s="22">
        <v>0</v>
      </c>
      <c r="BH77" s="18">
        <f>+AV77-AX77-BB77-BC77-BF77+BG77</f>
        <v>0</v>
      </c>
      <c r="BI77" s="22" t="s">
        <v>416</v>
      </c>
      <c r="BJ77" s="22" t="s">
        <v>417</v>
      </c>
      <c r="BK77" s="19"/>
    </row>
    <row r="78" spans="1:63" ht="17.25" customHeight="1" x14ac:dyDescent="0.3">
      <c r="A78" s="11">
        <v>45413</v>
      </c>
      <c r="B78" s="12">
        <v>77</v>
      </c>
      <c r="C78" s="12">
        <v>12</v>
      </c>
      <c r="D78" s="13">
        <v>45422</v>
      </c>
      <c r="E78" s="81" t="s">
        <v>421</v>
      </c>
      <c r="F78" s="21">
        <v>8989519467</v>
      </c>
      <c r="G78" s="24">
        <f t="shared" si="13"/>
        <v>45422</v>
      </c>
      <c r="H78" s="21" t="s">
        <v>422</v>
      </c>
      <c r="I78" s="23" t="s">
        <v>64</v>
      </c>
      <c r="J78" s="21" t="s">
        <v>65</v>
      </c>
      <c r="K78" s="21" t="s">
        <v>66</v>
      </c>
      <c r="L78" s="21">
        <v>4425069</v>
      </c>
      <c r="M78" s="21">
        <v>688738</v>
      </c>
      <c r="N78" s="21" t="s">
        <v>106</v>
      </c>
      <c r="O78" s="25">
        <v>450000</v>
      </c>
      <c r="P78" s="26" t="s">
        <v>68</v>
      </c>
      <c r="Q78" s="26" t="s">
        <v>191</v>
      </c>
      <c r="R78" s="26" t="s">
        <v>423</v>
      </c>
      <c r="S78" s="23" t="s">
        <v>106</v>
      </c>
      <c r="T78" s="23" t="s">
        <v>124</v>
      </c>
      <c r="U78" s="26" t="s">
        <v>125</v>
      </c>
      <c r="V78" s="94">
        <v>665742</v>
      </c>
      <c r="W78" s="21">
        <v>11328</v>
      </c>
      <c r="X78" s="21">
        <v>4307</v>
      </c>
      <c r="Y78" s="21">
        <v>885</v>
      </c>
      <c r="Z78" s="21">
        <v>0</v>
      </c>
      <c r="AA78" s="21">
        <v>60463</v>
      </c>
      <c r="AB78" s="21">
        <v>0</v>
      </c>
      <c r="AC78" s="21">
        <f t="shared" si="20"/>
        <v>0</v>
      </c>
      <c r="AD78" s="21">
        <v>25337</v>
      </c>
      <c r="AE78" s="83">
        <f t="shared" si="14"/>
        <v>768062</v>
      </c>
      <c r="AF78" s="21">
        <v>10000</v>
      </c>
      <c r="AG78" s="21">
        <v>15000</v>
      </c>
      <c r="AH78" s="21">
        <v>0</v>
      </c>
      <c r="AI78" s="21">
        <v>5000</v>
      </c>
      <c r="AJ78" s="21">
        <v>0</v>
      </c>
      <c r="AK78" s="21">
        <v>0</v>
      </c>
      <c r="AL78" s="21"/>
      <c r="AM78" s="21">
        <v>812</v>
      </c>
      <c r="AN78" s="27">
        <f t="shared" si="15"/>
        <v>30812</v>
      </c>
      <c r="AO78" s="84">
        <f t="shared" si="16"/>
        <v>737250</v>
      </c>
      <c r="AP78" s="21">
        <v>35300</v>
      </c>
      <c r="AQ78" s="85">
        <v>100</v>
      </c>
      <c r="AR78" s="21">
        <f t="shared" si="17"/>
        <v>35200</v>
      </c>
      <c r="AS78" s="22">
        <v>0</v>
      </c>
      <c r="AT78" s="22">
        <v>0</v>
      </c>
      <c r="AU78" s="15">
        <f t="shared" si="18"/>
        <v>30912</v>
      </c>
      <c r="AV78" s="118">
        <f t="shared" si="19"/>
        <v>772450</v>
      </c>
      <c r="AW78" s="16">
        <f t="shared" si="11"/>
        <v>0</v>
      </c>
      <c r="AX78" s="23">
        <v>450000</v>
      </c>
      <c r="AY78" s="88" t="str">
        <f t="shared" si="12"/>
        <v>SBI</v>
      </c>
      <c r="AZ78" s="86">
        <v>45421</v>
      </c>
      <c r="BA78" s="13">
        <v>45423</v>
      </c>
      <c r="BB78" s="23">
        <v>0</v>
      </c>
      <c r="BC78" s="23">
        <f>300000+22450</f>
        <v>322450</v>
      </c>
      <c r="BD78" s="22">
        <v>0</v>
      </c>
      <c r="BE78" s="22">
        <v>0</v>
      </c>
      <c r="BF78" s="22">
        <v>0</v>
      </c>
      <c r="BG78" s="22">
        <v>0</v>
      </c>
      <c r="BH78" s="18">
        <f>+AV78-AX78-BB78-BC78-BF78+BG78</f>
        <v>0</v>
      </c>
      <c r="BI78" s="22" t="s">
        <v>109</v>
      </c>
      <c r="BJ78" s="22"/>
      <c r="BK78" s="19"/>
    </row>
    <row r="79" spans="1:63" ht="17.25" customHeight="1" x14ac:dyDescent="0.3">
      <c r="A79" s="11">
        <v>45413</v>
      </c>
      <c r="B79" s="12">
        <v>78</v>
      </c>
      <c r="C79" s="12">
        <v>13</v>
      </c>
      <c r="D79" s="13">
        <v>45422</v>
      </c>
      <c r="E79" s="81" t="s">
        <v>424</v>
      </c>
      <c r="F79" s="21">
        <v>8823826909</v>
      </c>
      <c r="G79" s="24">
        <f t="shared" si="13"/>
        <v>45422</v>
      </c>
      <c r="H79" s="21" t="s">
        <v>425</v>
      </c>
      <c r="I79" s="23" t="s">
        <v>64</v>
      </c>
      <c r="J79" s="21" t="s">
        <v>65</v>
      </c>
      <c r="K79" s="21" t="s">
        <v>66</v>
      </c>
      <c r="L79" s="21">
        <v>1601677</v>
      </c>
      <c r="M79" s="21">
        <v>687164</v>
      </c>
      <c r="N79" s="21" t="s">
        <v>80</v>
      </c>
      <c r="O79" s="25">
        <v>670000</v>
      </c>
      <c r="P79" s="26" t="s">
        <v>68</v>
      </c>
      <c r="Q79" s="26" t="s">
        <v>136</v>
      </c>
      <c r="R79" s="23" t="s">
        <v>80</v>
      </c>
      <c r="S79" s="23" t="s">
        <v>80</v>
      </c>
      <c r="T79" s="23" t="s">
        <v>84</v>
      </c>
      <c r="U79" s="26" t="s">
        <v>92</v>
      </c>
      <c r="V79" s="94">
        <v>665742</v>
      </c>
      <c r="W79" s="21">
        <v>0</v>
      </c>
      <c r="X79" s="21">
        <v>0</v>
      </c>
      <c r="Y79" s="21" t="s">
        <v>180</v>
      </c>
      <c r="Z79" s="21">
        <v>0</v>
      </c>
      <c r="AA79" s="21">
        <v>60463</v>
      </c>
      <c r="AB79" s="21">
        <v>0</v>
      </c>
      <c r="AC79" s="21">
        <f t="shared" si="20"/>
        <v>0</v>
      </c>
      <c r="AD79" s="21">
        <v>25337</v>
      </c>
      <c r="AE79" s="83">
        <f t="shared" si="14"/>
        <v>751542</v>
      </c>
      <c r="AF79" s="21">
        <v>10000</v>
      </c>
      <c r="AG79" s="21">
        <v>15000</v>
      </c>
      <c r="AH79" s="21">
        <v>0</v>
      </c>
      <c r="AI79" s="21">
        <v>1</v>
      </c>
      <c r="AJ79" s="21">
        <v>0</v>
      </c>
      <c r="AK79" s="21">
        <v>0</v>
      </c>
      <c r="AL79" s="21"/>
      <c r="AM79" s="21">
        <v>21341</v>
      </c>
      <c r="AN79" s="27">
        <f t="shared" si="15"/>
        <v>46342</v>
      </c>
      <c r="AO79" s="84">
        <f t="shared" si="16"/>
        <v>705200</v>
      </c>
      <c r="AP79" s="21">
        <v>16000</v>
      </c>
      <c r="AQ79" s="85">
        <v>0</v>
      </c>
      <c r="AR79" s="21">
        <f t="shared" si="17"/>
        <v>16000</v>
      </c>
      <c r="AS79" s="22">
        <v>0</v>
      </c>
      <c r="AT79" s="22">
        <v>0</v>
      </c>
      <c r="AU79" s="15">
        <f t="shared" si="18"/>
        <v>46342</v>
      </c>
      <c r="AV79" s="118">
        <f t="shared" si="19"/>
        <v>721200</v>
      </c>
      <c r="AW79" s="16">
        <f t="shared" si="11"/>
        <v>18500</v>
      </c>
      <c r="AX79" s="23">
        <v>651500</v>
      </c>
      <c r="AY79" s="88" t="str">
        <f t="shared" si="12"/>
        <v>CHOLA</v>
      </c>
      <c r="AZ79" s="86">
        <v>45422</v>
      </c>
      <c r="BA79" s="13"/>
      <c r="BB79" s="23">
        <v>64600</v>
      </c>
      <c r="BC79" s="23">
        <v>0</v>
      </c>
      <c r="BD79" s="22">
        <v>0</v>
      </c>
      <c r="BE79" s="22">
        <v>0</v>
      </c>
      <c r="BF79" s="22">
        <v>0</v>
      </c>
      <c r="BG79" s="22">
        <v>0</v>
      </c>
      <c r="BH79" s="18">
        <f>+AV79-AX79-BB79-BC79-BF79+BG79</f>
        <v>5100</v>
      </c>
      <c r="BI79" s="22" t="s">
        <v>109</v>
      </c>
      <c r="BJ79" s="22" t="s">
        <v>426</v>
      </c>
      <c r="BK79" s="19"/>
    </row>
    <row r="80" spans="1:63" ht="17.25" customHeight="1" x14ac:dyDescent="0.3">
      <c r="A80" s="11">
        <v>45413</v>
      </c>
      <c r="B80" s="12">
        <v>79</v>
      </c>
      <c r="C80" s="12">
        <v>14</v>
      </c>
      <c r="D80" s="13">
        <v>45422</v>
      </c>
      <c r="E80" s="81" t="s">
        <v>427</v>
      </c>
      <c r="F80" s="21">
        <v>9575928723</v>
      </c>
      <c r="G80" s="24">
        <f t="shared" si="13"/>
        <v>45422</v>
      </c>
      <c r="H80" s="21" t="s">
        <v>128</v>
      </c>
      <c r="I80" s="23" t="s">
        <v>397</v>
      </c>
      <c r="J80" s="21" t="s">
        <v>428</v>
      </c>
      <c r="K80" s="21" t="s">
        <v>66</v>
      </c>
      <c r="L80" s="21">
        <v>4863940</v>
      </c>
      <c r="M80" s="21">
        <v>435835</v>
      </c>
      <c r="N80" s="21" t="s">
        <v>67</v>
      </c>
      <c r="O80" s="25">
        <v>500000</v>
      </c>
      <c r="P80" s="26" t="s">
        <v>68</v>
      </c>
      <c r="Q80" s="26" t="s">
        <v>69</v>
      </c>
      <c r="R80" s="23" t="s">
        <v>67</v>
      </c>
      <c r="S80" s="23" t="s">
        <v>67</v>
      </c>
      <c r="T80" s="23" t="s">
        <v>115</v>
      </c>
      <c r="U80" s="26" t="s">
        <v>137</v>
      </c>
      <c r="V80" s="94">
        <v>584000</v>
      </c>
      <c r="W80" s="21">
        <v>9924</v>
      </c>
      <c r="X80" s="21">
        <v>3776</v>
      </c>
      <c r="Y80" s="21">
        <v>885</v>
      </c>
      <c r="Z80" s="21">
        <v>500</v>
      </c>
      <c r="AA80" s="21">
        <v>53924</v>
      </c>
      <c r="AB80" s="21">
        <v>0</v>
      </c>
      <c r="AC80" s="21">
        <f t="shared" si="20"/>
        <v>0</v>
      </c>
      <c r="AD80" s="21">
        <v>24628</v>
      </c>
      <c r="AE80" s="83">
        <f t="shared" si="14"/>
        <v>677637</v>
      </c>
      <c r="AF80" s="21">
        <v>10000</v>
      </c>
      <c r="AG80" s="21">
        <v>25000</v>
      </c>
      <c r="AH80" s="21">
        <v>0</v>
      </c>
      <c r="AI80" s="21">
        <v>0</v>
      </c>
      <c r="AJ80" s="21">
        <v>2100</v>
      </c>
      <c r="AK80" s="21">
        <v>0</v>
      </c>
      <c r="AL80" s="21"/>
      <c r="AM80" s="21">
        <v>16237</v>
      </c>
      <c r="AN80" s="27">
        <f t="shared" si="15"/>
        <v>53337</v>
      </c>
      <c r="AO80" s="84">
        <f t="shared" si="16"/>
        <v>624300</v>
      </c>
      <c r="AP80" s="21">
        <v>40940</v>
      </c>
      <c r="AQ80" s="85">
        <v>0</v>
      </c>
      <c r="AR80" s="21">
        <f t="shared" si="17"/>
        <v>40940</v>
      </c>
      <c r="AS80" s="22">
        <v>0</v>
      </c>
      <c r="AT80" s="22">
        <v>0</v>
      </c>
      <c r="AU80" s="15">
        <f t="shared" si="18"/>
        <v>53337</v>
      </c>
      <c r="AV80" s="118">
        <f t="shared" si="19"/>
        <v>665240</v>
      </c>
      <c r="AW80" s="16">
        <f t="shared" si="11"/>
        <v>5000</v>
      </c>
      <c r="AX80" s="23">
        <v>495000</v>
      </c>
      <c r="AY80" s="88" t="str">
        <f t="shared" si="12"/>
        <v>SUNDARAM</v>
      </c>
      <c r="AZ80" s="86">
        <v>45422</v>
      </c>
      <c r="BA80" s="13"/>
      <c r="BB80" s="23">
        <f>165000+5000</f>
        <v>170000</v>
      </c>
      <c r="BC80" s="23">
        <v>0</v>
      </c>
      <c r="BD80" s="22">
        <v>0</v>
      </c>
      <c r="BE80" s="22">
        <v>0</v>
      </c>
      <c r="BF80" s="22">
        <v>0</v>
      </c>
      <c r="BG80" s="22">
        <v>0</v>
      </c>
      <c r="BH80" s="18">
        <f>+AV80-AX80-BB80-BC80-BF80+BG80</f>
        <v>240</v>
      </c>
      <c r="BI80" s="22" t="s">
        <v>109</v>
      </c>
      <c r="BJ80" s="22" t="s">
        <v>429</v>
      </c>
      <c r="BK80" s="19"/>
    </row>
    <row r="81" spans="1:63" ht="17.25" customHeight="1" x14ac:dyDescent="0.3">
      <c r="A81" s="11">
        <v>45413</v>
      </c>
      <c r="B81" s="12">
        <v>80</v>
      </c>
      <c r="C81" s="12">
        <v>15</v>
      </c>
      <c r="D81" s="13">
        <v>45422</v>
      </c>
      <c r="E81" s="81" t="s">
        <v>430</v>
      </c>
      <c r="F81" s="21">
        <v>7489146464</v>
      </c>
      <c r="G81" s="24">
        <f t="shared" si="13"/>
        <v>45422</v>
      </c>
      <c r="H81" s="21" t="s">
        <v>431</v>
      </c>
      <c r="I81" s="23" t="s">
        <v>162</v>
      </c>
      <c r="J81" s="21" t="s">
        <v>135</v>
      </c>
      <c r="K81" s="21" t="s">
        <v>66</v>
      </c>
      <c r="L81" s="21">
        <v>9471854</v>
      </c>
      <c r="M81" s="21">
        <v>374170</v>
      </c>
      <c r="N81" s="21" t="s">
        <v>67</v>
      </c>
      <c r="O81" s="25">
        <v>800000</v>
      </c>
      <c r="P81" s="26" t="s">
        <v>81</v>
      </c>
      <c r="Q81" s="26" t="s">
        <v>122</v>
      </c>
      <c r="R81" s="23" t="s">
        <v>432</v>
      </c>
      <c r="S81" s="23" t="s">
        <v>67</v>
      </c>
      <c r="T81" s="23" t="s">
        <v>70</v>
      </c>
      <c r="U81" s="26" t="s">
        <v>71</v>
      </c>
      <c r="V81" s="94">
        <v>1256000</v>
      </c>
      <c r="W81" s="21">
        <v>21346</v>
      </c>
      <c r="X81" s="21">
        <v>8118</v>
      </c>
      <c r="Y81" s="21">
        <v>885</v>
      </c>
      <c r="Z81" s="21">
        <v>500</v>
      </c>
      <c r="AA81" s="21">
        <v>132830</v>
      </c>
      <c r="AB81" s="21">
        <v>0</v>
      </c>
      <c r="AC81" s="21">
        <f t="shared" si="20"/>
        <v>12560</v>
      </c>
      <c r="AD81" s="21">
        <v>36194</v>
      </c>
      <c r="AE81" s="83">
        <f t="shared" si="14"/>
        <v>1468433</v>
      </c>
      <c r="AF81" s="21">
        <v>0</v>
      </c>
      <c r="AG81" s="21">
        <v>0</v>
      </c>
      <c r="AH81" s="21">
        <v>0</v>
      </c>
      <c r="AI81" s="21">
        <v>1</v>
      </c>
      <c r="AJ81" s="21">
        <v>0</v>
      </c>
      <c r="AK81" s="21">
        <v>0</v>
      </c>
      <c r="AL81" s="21"/>
      <c r="AM81" s="21">
        <v>0</v>
      </c>
      <c r="AN81" s="27">
        <f t="shared" si="15"/>
        <v>1</v>
      </c>
      <c r="AO81" s="84">
        <f t="shared" si="16"/>
        <v>1468432</v>
      </c>
      <c r="AP81" s="21">
        <v>18700</v>
      </c>
      <c r="AQ81" s="85">
        <v>0</v>
      </c>
      <c r="AR81" s="21">
        <f t="shared" si="17"/>
        <v>18700</v>
      </c>
      <c r="AS81" s="22">
        <v>0</v>
      </c>
      <c r="AT81" s="22">
        <v>0</v>
      </c>
      <c r="AU81" s="15">
        <f t="shared" si="18"/>
        <v>1</v>
      </c>
      <c r="AV81" s="118">
        <f t="shared" si="19"/>
        <v>1487132</v>
      </c>
      <c r="AW81" s="16">
        <f t="shared" si="11"/>
        <v>0</v>
      </c>
      <c r="AX81" s="23">
        <v>800000</v>
      </c>
      <c r="AY81" s="88" t="str">
        <f t="shared" si="12"/>
        <v>BOI</v>
      </c>
      <c r="AZ81" s="86">
        <v>45422</v>
      </c>
      <c r="BA81" s="13">
        <v>45428</v>
      </c>
      <c r="BB81" s="23">
        <f>5000+66000+18000</f>
        <v>89000</v>
      </c>
      <c r="BC81" s="23">
        <v>599000</v>
      </c>
      <c r="BD81" s="22">
        <v>0</v>
      </c>
      <c r="BE81" s="22">
        <v>0</v>
      </c>
      <c r="BF81" s="22">
        <v>0</v>
      </c>
      <c r="BG81" s="22">
        <v>0</v>
      </c>
      <c r="BH81" s="18">
        <f>+AV81-AX81-BB81-BC81-BF81+BG81</f>
        <v>-868</v>
      </c>
      <c r="BI81" s="22" t="s">
        <v>109</v>
      </c>
      <c r="BJ81" s="22"/>
      <c r="BK81" s="19"/>
    </row>
    <row r="82" spans="1:63" ht="17.25" customHeight="1" x14ac:dyDescent="0.3">
      <c r="A82" s="11">
        <v>45413</v>
      </c>
      <c r="B82" s="12">
        <v>81</v>
      </c>
      <c r="C82" s="12">
        <v>16</v>
      </c>
      <c r="D82" s="13">
        <v>45422</v>
      </c>
      <c r="E82" s="81" t="s">
        <v>433</v>
      </c>
      <c r="F82" s="21">
        <v>7000975705</v>
      </c>
      <c r="G82" s="24">
        <f t="shared" si="13"/>
        <v>45422</v>
      </c>
      <c r="H82" s="21" t="s">
        <v>434</v>
      </c>
      <c r="I82" s="23" t="s">
        <v>121</v>
      </c>
      <c r="J82" s="21" t="s">
        <v>104</v>
      </c>
      <c r="K82" s="21" t="s">
        <v>66</v>
      </c>
      <c r="L82" s="21">
        <v>7383364</v>
      </c>
      <c r="M82" s="21">
        <v>118134</v>
      </c>
      <c r="N82" s="21" t="s">
        <v>80</v>
      </c>
      <c r="O82" s="25">
        <v>1340000</v>
      </c>
      <c r="P82" s="26" t="s">
        <v>68</v>
      </c>
      <c r="Q82" s="26" t="s">
        <v>254</v>
      </c>
      <c r="R82" s="23" t="s">
        <v>91</v>
      </c>
      <c r="S82" s="23" t="s">
        <v>80</v>
      </c>
      <c r="T82" s="23" t="s">
        <v>84</v>
      </c>
      <c r="U82" s="26" t="s">
        <v>92</v>
      </c>
      <c r="V82" s="94">
        <v>1314601</v>
      </c>
      <c r="W82" s="21">
        <v>0</v>
      </c>
      <c r="X82" s="21">
        <v>0</v>
      </c>
      <c r="Y82" s="21">
        <v>885</v>
      </c>
      <c r="Z82" s="21">
        <v>0</v>
      </c>
      <c r="AA82" s="21">
        <v>138690</v>
      </c>
      <c r="AB82" s="21">
        <v>0</v>
      </c>
      <c r="AC82" s="21">
        <v>12928</v>
      </c>
      <c r="AD82" s="21">
        <v>35538</v>
      </c>
      <c r="AE82" s="83">
        <f t="shared" si="14"/>
        <v>1502642</v>
      </c>
      <c r="AF82" s="21">
        <v>0</v>
      </c>
      <c r="AG82" s="21">
        <v>0</v>
      </c>
      <c r="AH82" s="21">
        <v>0</v>
      </c>
      <c r="AI82" s="21">
        <v>1</v>
      </c>
      <c r="AJ82" s="21">
        <v>0</v>
      </c>
      <c r="AK82" s="21">
        <v>0</v>
      </c>
      <c r="AL82" s="21"/>
      <c r="AM82" s="21">
        <v>21796</v>
      </c>
      <c r="AN82" s="27">
        <f t="shared" si="15"/>
        <v>21797</v>
      </c>
      <c r="AO82" s="84">
        <f t="shared" si="16"/>
        <v>1480845</v>
      </c>
      <c r="AP82" s="21">
        <v>1800</v>
      </c>
      <c r="AQ82" s="85">
        <v>1800</v>
      </c>
      <c r="AR82" s="21">
        <f t="shared" si="17"/>
        <v>0</v>
      </c>
      <c r="AS82" s="22">
        <v>0</v>
      </c>
      <c r="AT82" s="22">
        <v>0</v>
      </c>
      <c r="AU82" s="15">
        <f t="shared" si="18"/>
        <v>23597</v>
      </c>
      <c r="AV82" s="118">
        <f t="shared" si="19"/>
        <v>1480845</v>
      </c>
      <c r="AW82" s="16">
        <f t="shared" si="11"/>
        <v>0</v>
      </c>
      <c r="AX82" s="23">
        <v>1340000</v>
      </c>
      <c r="AY82" s="88" t="str">
        <f t="shared" si="12"/>
        <v>BANK OF BARODA</v>
      </c>
      <c r="AZ82" s="86">
        <v>45422</v>
      </c>
      <c r="BA82" s="13"/>
      <c r="BB82" s="23">
        <v>0</v>
      </c>
      <c r="BC82" s="23">
        <f>11000+100000+61635</f>
        <v>172635</v>
      </c>
      <c r="BD82" s="22" t="s">
        <v>435</v>
      </c>
      <c r="BE82" s="22" t="s">
        <v>436</v>
      </c>
      <c r="BF82" s="22">
        <v>720000</v>
      </c>
      <c r="BG82" s="22">
        <v>750000</v>
      </c>
      <c r="BH82" s="18">
        <f>+AV82-AX82-BB82-BC82-BF82+BG82</f>
        <v>-1790</v>
      </c>
      <c r="BI82" s="22" t="s">
        <v>437</v>
      </c>
      <c r="BJ82" s="22"/>
      <c r="BK82" s="19"/>
    </row>
    <row r="83" spans="1:63" ht="17.25" customHeight="1" x14ac:dyDescent="0.3">
      <c r="A83" s="11">
        <v>45413</v>
      </c>
      <c r="B83" s="12">
        <v>82</v>
      </c>
      <c r="C83" s="12">
        <v>17</v>
      </c>
      <c r="D83" s="13">
        <v>45422</v>
      </c>
      <c r="E83" s="81" t="s">
        <v>438</v>
      </c>
      <c r="F83" s="21">
        <v>9009080611</v>
      </c>
      <c r="G83" s="24">
        <f t="shared" si="13"/>
        <v>45422</v>
      </c>
      <c r="H83" s="21" t="s">
        <v>439</v>
      </c>
      <c r="I83" s="23" t="s">
        <v>78</v>
      </c>
      <c r="J83" s="21" t="s">
        <v>65</v>
      </c>
      <c r="K83" s="21" t="s">
        <v>66</v>
      </c>
      <c r="L83" s="21">
        <v>7464756</v>
      </c>
      <c r="M83" s="21">
        <v>238732</v>
      </c>
      <c r="N83" s="21" t="s">
        <v>67</v>
      </c>
      <c r="O83" s="25">
        <v>790000</v>
      </c>
      <c r="P83" s="26" t="s">
        <v>68</v>
      </c>
      <c r="Q83" s="26" t="s">
        <v>136</v>
      </c>
      <c r="R83" s="23" t="s">
        <v>67</v>
      </c>
      <c r="S83" s="23" t="s">
        <v>67</v>
      </c>
      <c r="T83" s="23" t="s">
        <v>115</v>
      </c>
      <c r="U83" s="26" t="s">
        <v>440</v>
      </c>
      <c r="V83" s="94">
        <v>751242</v>
      </c>
      <c r="W83" s="21">
        <v>0</v>
      </c>
      <c r="X83" s="21">
        <v>0</v>
      </c>
      <c r="Y83" s="21">
        <v>885</v>
      </c>
      <c r="Z83" s="21">
        <v>500</v>
      </c>
      <c r="AA83" s="21">
        <v>67303</v>
      </c>
      <c r="AB83" s="21">
        <v>0</v>
      </c>
      <c r="AC83" s="21">
        <f>IF(V83&gt;=1000000,V83*1%,0)</f>
        <v>0</v>
      </c>
      <c r="AD83" s="21">
        <v>26187</v>
      </c>
      <c r="AE83" s="83">
        <f t="shared" si="14"/>
        <v>846117</v>
      </c>
      <c r="AF83" s="21">
        <v>0</v>
      </c>
      <c r="AG83" s="21">
        <v>15000</v>
      </c>
      <c r="AH83" s="21">
        <v>10000</v>
      </c>
      <c r="AI83" s="21">
        <v>1</v>
      </c>
      <c r="AJ83" s="21">
        <v>0</v>
      </c>
      <c r="AK83" s="21">
        <v>0</v>
      </c>
      <c r="AL83" s="21"/>
      <c r="AM83" s="21">
        <v>1616</v>
      </c>
      <c r="AN83" s="27">
        <f t="shared" si="15"/>
        <v>26617</v>
      </c>
      <c r="AO83" s="84">
        <f t="shared" si="16"/>
        <v>819500</v>
      </c>
      <c r="AP83" s="21">
        <v>45000</v>
      </c>
      <c r="AQ83" s="85">
        <v>500</v>
      </c>
      <c r="AR83" s="21">
        <f t="shared" si="17"/>
        <v>44500</v>
      </c>
      <c r="AS83" s="22">
        <v>0</v>
      </c>
      <c r="AT83" s="22">
        <v>0</v>
      </c>
      <c r="AU83" s="15">
        <f t="shared" si="18"/>
        <v>27117</v>
      </c>
      <c r="AV83" s="118">
        <f t="shared" si="19"/>
        <v>864000</v>
      </c>
      <c r="AW83" s="16">
        <f t="shared" si="11"/>
        <v>11000</v>
      </c>
      <c r="AX83" s="23">
        <v>779000</v>
      </c>
      <c r="AY83" s="88" t="str">
        <f t="shared" si="12"/>
        <v>CHOLA</v>
      </c>
      <c r="AZ83" s="86">
        <v>45422</v>
      </c>
      <c r="BA83" s="13"/>
      <c r="BB83" s="23">
        <f>50000</f>
        <v>50000</v>
      </c>
      <c r="BC83" s="23">
        <v>0</v>
      </c>
      <c r="BD83" s="22">
        <v>0</v>
      </c>
      <c r="BE83" s="22" t="s">
        <v>441</v>
      </c>
      <c r="BF83" s="22">
        <v>35000</v>
      </c>
      <c r="BG83" s="22">
        <v>0</v>
      </c>
      <c r="BH83" s="18">
        <f>+AV83-AX83-BB83-BC83-BF83+BG83</f>
        <v>0</v>
      </c>
      <c r="BI83" s="22" t="s">
        <v>109</v>
      </c>
      <c r="BJ83" s="22"/>
      <c r="BK83" s="19"/>
    </row>
    <row r="84" spans="1:63" ht="17.25" customHeight="1" x14ac:dyDescent="0.3">
      <c r="A84" s="11">
        <v>45413</v>
      </c>
      <c r="B84" s="12">
        <v>83</v>
      </c>
      <c r="C84" s="12">
        <v>18</v>
      </c>
      <c r="D84" s="13">
        <v>45425</v>
      </c>
      <c r="E84" s="81" t="s">
        <v>442</v>
      </c>
      <c r="F84" s="21">
        <v>9599168705</v>
      </c>
      <c r="G84" s="24">
        <f t="shared" si="13"/>
        <v>45425</v>
      </c>
      <c r="H84" s="21" t="s">
        <v>443</v>
      </c>
      <c r="I84" s="23" t="s">
        <v>121</v>
      </c>
      <c r="J84" s="21" t="s">
        <v>104</v>
      </c>
      <c r="K84" s="21" t="s">
        <v>97</v>
      </c>
      <c r="L84" s="21">
        <v>7427564</v>
      </c>
      <c r="M84" s="21">
        <v>121148</v>
      </c>
      <c r="N84" s="21" t="s">
        <v>80</v>
      </c>
      <c r="O84" s="25">
        <v>0</v>
      </c>
      <c r="P84" s="26" t="s">
        <v>81</v>
      </c>
      <c r="Q84" s="26" t="s">
        <v>148</v>
      </c>
      <c r="R84" s="23" t="s">
        <v>149</v>
      </c>
      <c r="S84" s="23" t="s">
        <v>80</v>
      </c>
      <c r="T84" s="23" t="s">
        <v>84</v>
      </c>
      <c r="U84" s="26" t="s">
        <v>366</v>
      </c>
      <c r="V84" s="94">
        <v>1314601</v>
      </c>
      <c r="W84" s="21">
        <v>22349</v>
      </c>
      <c r="X84" s="21">
        <v>0</v>
      </c>
      <c r="Y84" s="22">
        <v>885</v>
      </c>
      <c r="Z84" s="22">
        <v>0</v>
      </c>
      <c r="AA84" s="25">
        <v>138690</v>
      </c>
      <c r="AB84" s="25">
        <v>0</v>
      </c>
      <c r="AC84" s="25">
        <v>12897</v>
      </c>
      <c r="AD84" s="21">
        <v>35538</v>
      </c>
      <c r="AE84" s="95">
        <f t="shared" si="14"/>
        <v>1524960</v>
      </c>
      <c r="AF84" s="21">
        <v>0</v>
      </c>
      <c r="AG84" s="21">
        <v>0</v>
      </c>
      <c r="AH84" s="21">
        <v>0</v>
      </c>
      <c r="AI84" s="21">
        <v>1</v>
      </c>
      <c r="AJ84" s="21">
        <v>0</v>
      </c>
      <c r="AK84" s="21">
        <v>0</v>
      </c>
      <c r="AL84" s="21"/>
      <c r="AM84" s="21">
        <v>24908</v>
      </c>
      <c r="AN84" s="27">
        <f t="shared" si="15"/>
        <v>24909</v>
      </c>
      <c r="AO84" s="96">
        <f t="shared" si="16"/>
        <v>1500051</v>
      </c>
      <c r="AP84" s="25">
        <v>45500</v>
      </c>
      <c r="AQ84" s="89">
        <v>551</v>
      </c>
      <c r="AR84" s="25">
        <f t="shared" si="17"/>
        <v>44949</v>
      </c>
      <c r="AS84" s="22">
        <v>0</v>
      </c>
      <c r="AT84" s="22">
        <v>0</v>
      </c>
      <c r="AU84" s="15">
        <f t="shared" si="18"/>
        <v>25460</v>
      </c>
      <c r="AV84" s="118">
        <f t="shared" si="19"/>
        <v>1545000</v>
      </c>
      <c r="AW84" s="16">
        <f t="shared" si="11"/>
        <v>-750000</v>
      </c>
      <c r="AX84" s="23">
        <f>750000</f>
        <v>750000</v>
      </c>
      <c r="AY84" s="88" t="str">
        <f t="shared" si="12"/>
        <v>CHEQUE</v>
      </c>
      <c r="AZ84" s="86">
        <v>45425</v>
      </c>
      <c r="BA84" s="86">
        <v>45425</v>
      </c>
      <c r="BB84" s="23">
        <v>35000</v>
      </c>
      <c r="BC84" s="23">
        <f>750000+10000</f>
        <v>760000</v>
      </c>
      <c r="BD84" s="22">
        <v>0</v>
      </c>
      <c r="BE84" s="22">
        <v>0</v>
      </c>
      <c r="BF84" s="22">
        <v>0</v>
      </c>
      <c r="BG84" s="22">
        <v>0</v>
      </c>
      <c r="BH84" s="18">
        <f>+AV84-AX84-BB84-BC84-BF84+BG84</f>
        <v>0</v>
      </c>
      <c r="BI84" s="22" t="s">
        <v>444</v>
      </c>
      <c r="BJ84" s="22"/>
      <c r="BK84" s="19"/>
    </row>
    <row r="85" spans="1:63" ht="17.25" customHeight="1" x14ac:dyDescent="0.3">
      <c r="A85" s="11">
        <v>45413</v>
      </c>
      <c r="B85" s="12">
        <v>84</v>
      </c>
      <c r="C85" s="12">
        <v>19</v>
      </c>
      <c r="D85" s="13">
        <v>45427</v>
      </c>
      <c r="E85" s="81" t="s">
        <v>445</v>
      </c>
      <c r="F85" s="21">
        <v>7828335485</v>
      </c>
      <c r="G85" s="24">
        <f t="shared" si="13"/>
        <v>45427</v>
      </c>
      <c r="H85" s="21" t="s">
        <v>446</v>
      </c>
      <c r="I85" s="23" t="s">
        <v>78</v>
      </c>
      <c r="J85" s="21" t="s">
        <v>65</v>
      </c>
      <c r="K85" s="21" t="s">
        <v>66</v>
      </c>
      <c r="L85" s="21">
        <v>7485181</v>
      </c>
      <c r="M85" s="21">
        <v>252258</v>
      </c>
      <c r="N85" s="21" t="s">
        <v>67</v>
      </c>
      <c r="O85" s="25">
        <v>700000</v>
      </c>
      <c r="P85" s="26" t="s">
        <v>68</v>
      </c>
      <c r="Q85" s="26" t="s">
        <v>191</v>
      </c>
      <c r="R85" s="23" t="s">
        <v>447</v>
      </c>
      <c r="S85" s="23" t="s">
        <v>67</v>
      </c>
      <c r="T85" s="23" t="s">
        <v>115</v>
      </c>
      <c r="U85" s="26" t="s">
        <v>137</v>
      </c>
      <c r="V85" s="94">
        <v>751242</v>
      </c>
      <c r="W85" s="21">
        <v>0</v>
      </c>
      <c r="X85" s="21">
        <v>0</v>
      </c>
      <c r="Y85" s="22">
        <v>885</v>
      </c>
      <c r="Z85" s="22">
        <v>500</v>
      </c>
      <c r="AA85" s="25">
        <v>67303</v>
      </c>
      <c r="AB85" s="25">
        <v>0</v>
      </c>
      <c r="AC85" s="25">
        <f>IF(V85&gt;=1000000,V85*1%,0)</f>
        <v>0</v>
      </c>
      <c r="AD85" s="21">
        <v>28712</v>
      </c>
      <c r="AE85" s="95">
        <f t="shared" si="14"/>
        <v>848642</v>
      </c>
      <c r="AF85" s="21">
        <v>0</v>
      </c>
      <c r="AG85" s="21">
        <f>15000</f>
        <v>15000</v>
      </c>
      <c r="AH85" s="21">
        <v>0</v>
      </c>
      <c r="AI85" s="21">
        <v>1</v>
      </c>
      <c r="AJ85" s="21">
        <v>0</v>
      </c>
      <c r="AK85" s="21">
        <v>0</v>
      </c>
      <c r="AL85" s="21"/>
      <c r="AM85" s="21">
        <v>20841</v>
      </c>
      <c r="AN85" s="27">
        <f t="shared" si="15"/>
        <v>35842</v>
      </c>
      <c r="AO85" s="96">
        <f t="shared" si="16"/>
        <v>812800</v>
      </c>
      <c r="AP85" s="25">
        <v>22700</v>
      </c>
      <c r="AQ85" s="89">
        <v>0</v>
      </c>
      <c r="AR85" s="25">
        <f t="shared" si="17"/>
        <v>22700</v>
      </c>
      <c r="AS85" s="22">
        <v>0</v>
      </c>
      <c r="AT85" s="22">
        <v>0</v>
      </c>
      <c r="AU85" s="15">
        <f t="shared" si="18"/>
        <v>35842</v>
      </c>
      <c r="AV85" s="118">
        <f t="shared" si="19"/>
        <v>835500</v>
      </c>
      <c r="AW85" s="16">
        <f t="shared" si="11"/>
        <v>0</v>
      </c>
      <c r="AX85" s="23">
        <v>700000</v>
      </c>
      <c r="AY85" s="88" t="str">
        <f t="shared" si="12"/>
        <v>SBI</v>
      </c>
      <c r="AZ85" s="86">
        <v>45427</v>
      </c>
      <c r="BA85" s="13">
        <f>AZ85</f>
        <v>45427</v>
      </c>
      <c r="BB85" s="23">
        <f>90000+5000</f>
        <v>95000</v>
      </c>
      <c r="BC85" s="23">
        <f>40000</f>
        <v>40000</v>
      </c>
      <c r="BD85" s="22">
        <v>0</v>
      </c>
      <c r="BE85" s="22">
        <v>0</v>
      </c>
      <c r="BF85" s="22">
        <v>0</v>
      </c>
      <c r="BG85" s="22">
        <v>0</v>
      </c>
      <c r="BH85" s="18">
        <f>+AV85-AX85-BB85-BC85-BF85+BG85</f>
        <v>500</v>
      </c>
      <c r="BI85" s="22" t="s">
        <v>109</v>
      </c>
      <c r="BJ85" s="22"/>
      <c r="BK85" s="19"/>
    </row>
    <row r="86" spans="1:63" ht="17.25" customHeight="1" x14ac:dyDescent="0.3">
      <c r="A86" s="11">
        <v>45413</v>
      </c>
      <c r="B86" s="12">
        <v>85</v>
      </c>
      <c r="C86" s="12">
        <v>20</v>
      </c>
      <c r="D86" s="13">
        <v>45428</v>
      </c>
      <c r="E86" s="81" t="s">
        <v>448</v>
      </c>
      <c r="F86" s="21">
        <v>9998652183</v>
      </c>
      <c r="G86" s="24">
        <f t="shared" si="13"/>
        <v>45428</v>
      </c>
      <c r="H86" s="21" t="s">
        <v>449</v>
      </c>
      <c r="I86" s="23" t="s">
        <v>397</v>
      </c>
      <c r="J86" s="21" t="s">
        <v>113</v>
      </c>
      <c r="K86" s="21" t="s">
        <v>213</v>
      </c>
      <c r="L86" s="21">
        <v>4864120</v>
      </c>
      <c r="M86" s="21">
        <v>435834</v>
      </c>
      <c r="N86" s="21" t="s">
        <v>106</v>
      </c>
      <c r="O86" s="25">
        <v>0</v>
      </c>
      <c r="P86" s="26" t="s">
        <v>81</v>
      </c>
      <c r="Q86" s="26" t="s">
        <v>148</v>
      </c>
      <c r="R86" s="23" t="s">
        <v>149</v>
      </c>
      <c r="S86" s="23" t="s">
        <v>106</v>
      </c>
      <c r="T86" s="23" t="s">
        <v>124</v>
      </c>
      <c r="U86" s="26" t="s">
        <v>125</v>
      </c>
      <c r="V86" s="94">
        <v>696000</v>
      </c>
      <c r="W86" s="21">
        <v>12071</v>
      </c>
      <c r="X86" s="21">
        <v>4590</v>
      </c>
      <c r="Y86" s="22">
        <v>885</v>
      </c>
      <c r="Z86" s="22">
        <v>0</v>
      </c>
      <c r="AA86" s="25">
        <v>62884</v>
      </c>
      <c r="AB86" s="25">
        <v>0</v>
      </c>
      <c r="AC86" s="25">
        <f>IF(V86&gt;=1000000,V86*1%,0)</f>
        <v>0</v>
      </c>
      <c r="AD86" s="21">
        <v>26546</v>
      </c>
      <c r="AE86" s="95">
        <f t="shared" si="14"/>
        <v>802976</v>
      </c>
      <c r="AF86" s="21">
        <v>10000</v>
      </c>
      <c r="AG86" s="21">
        <v>25000</v>
      </c>
      <c r="AH86" s="21">
        <v>0</v>
      </c>
      <c r="AI86" s="21">
        <v>3000</v>
      </c>
      <c r="AJ86" s="21">
        <v>0</v>
      </c>
      <c r="AK86" s="21">
        <v>0</v>
      </c>
      <c r="AL86" s="21"/>
      <c r="AM86" s="21">
        <v>34776</v>
      </c>
      <c r="AN86" s="27">
        <f t="shared" si="15"/>
        <v>72776</v>
      </c>
      <c r="AO86" s="96">
        <f t="shared" si="16"/>
        <v>730200</v>
      </c>
      <c r="AP86" s="25">
        <v>13500</v>
      </c>
      <c r="AQ86" s="89">
        <v>0</v>
      </c>
      <c r="AR86" s="25">
        <f t="shared" si="17"/>
        <v>13500</v>
      </c>
      <c r="AS86" s="22">
        <v>0</v>
      </c>
      <c r="AT86" s="22">
        <v>0</v>
      </c>
      <c r="AU86" s="15">
        <f t="shared" si="18"/>
        <v>72776</v>
      </c>
      <c r="AV86" s="118">
        <f t="shared" si="19"/>
        <v>743700</v>
      </c>
      <c r="AW86" s="16">
        <f t="shared" si="11"/>
        <v>-735000</v>
      </c>
      <c r="AX86" s="23">
        <v>735000</v>
      </c>
      <c r="AY86" s="88" t="str">
        <f t="shared" si="12"/>
        <v>CHEQUE</v>
      </c>
      <c r="AZ86" s="86">
        <v>0</v>
      </c>
      <c r="BA86" s="13">
        <v>0</v>
      </c>
      <c r="BB86" s="23">
        <v>0</v>
      </c>
      <c r="BC86" s="23">
        <f>3500+5000</f>
        <v>8500</v>
      </c>
      <c r="BD86" s="22">
        <v>0</v>
      </c>
      <c r="BE86" s="22">
        <v>0</v>
      </c>
      <c r="BF86" s="22">
        <v>0</v>
      </c>
      <c r="BG86" s="22">
        <v>0</v>
      </c>
      <c r="BH86" s="18">
        <f>+AV86-AX86-BB86-BC86-BF86+BG86</f>
        <v>200</v>
      </c>
      <c r="BI86" s="22" t="s">
        <v>109</v>
      </c>
      <c r="BJ86" s="22"/>
      <c r="BK86" s="19"/>
    </row>
    <row r="87" spans="1:63" ht="17.25" customHeight="1" x14ac:dyDescent="0.3">
      <c r="A87" s="11">
        <v>45413</v>
      </c>
      <c r="B87" s="12">
        <v>86</v>
      </c>
      <c r="C87" s="12">
        <v>21</v>
      </c>
      <c r="D87" s="13">
        <v>45426</v>
      </c>
      <c r="E87" s="81" t="s">
        <v>450</v>
      </c>
      <c r="F87" s="21">
        <v>9755352700</v>
      </c>
      <c r="G87" s="24">
        <f t="shared" si="13"/>
        <v>45426</v>
      </c>
      <c r="H87" s="21" t="s">
        <v>451</v>
      </c>
      <c r="I87" s="23" t="s">
        <v>121</v>
      </c>
      <c r="J87" s="21" t="s">
        <v>452</v>
      </c>
      <c r="K87" s="21" t="s">
        <v>213</v>
      </c>
      <c r="L87" s="21" t="s">
        <v>453</v>
      </c>
      <c r="M87" s="21">
        <v>122934</v>
      </c>
      <c r="N87" s="21" t="s">
        <v>67</v>
      </c>
      <c r="O87" s="25">
        <v>600000</v>
      </c>
      <c r="P87" s="26" t="s">
        <v>68</v>
      </c>
      <c r="Q87" s="26" t="s">
        <v>69</v>
      </c>
      <c r="R87" s="23" t="s">
        <v>67</v>
      </c>
      <c r="S87" s="23" t="s">
        <v>67</v>
      </c>
      <c r="T87" s="23" t="s">
        <v>70</v>
      </c>
      <c r="U87" s="26" t="s">
        <v>100</v>
      </c>
      <c r="V87" s="94">
        <v>1992607</v>
      </c>
      <c r="W87" s="21" t="s">
        <v>180</v>
      </c>
      <c r="X87" s="21">
        <v>12968</v>
      </c>
      <c r="Y87" s="22" t="s">
        <v>180</v>
      </c>
      <c r="Z87" s="22">
        <v>500</v>
      </c>
      <c r="AA87" s="25">
        <v>206491</v>
      </c>
      <c r="AB87" s="25">
        <v>0</v>
      </c>
      <c r="AC87" s="25">
        <v>18875</v>
      </c>
      <c r="AD87" s="21">
        <v>53344</v>
      </c>
      <c r="AE87" s="95">
        <f t="shared" si="14"/>
        <v>2284785</v>
      </c>
      <c r="AF87" s="21">
        <v>0</v>
      </c>
      <c r="AG87" s="21">
        <v>20000</v>
      </c>
      <c r="AH87" s="21">
        <v>50000</v>
      </c>
      <c r="AI87" s="21">
        <v>0</v>
      </c>
      <c r="AJ87" s="21">
        <v>3100</v>
      </c>
      <c r="AK87" s="21">
        <v>0</v>
      </c>
      <c r="AL87" s="21"/>
      <c r="AM87" s="21">
        <v>31970</v>
      </c>
      <c r="AN87" s="27">
        <f t="shared" si="15"/>
        <v>105070</v>
      </c>
      <c r="AO87" s="96">
        <f t="shared" si="16"/>
        <v>2179715</v>
      </c>
      <c r="AP87" s="25">
        <v>15285</v>
      </c>
      <c r="AQ87" s="89">
        <v>0</v>
      </c>
      <c r="AR87" s="25">
        <f t="shared" si="17"/>
        <v>15285</v>
      </c>
      <c r="AS87" s="22"/>
      <c r="AT87" s="22">
        <v>5000</v>
      </c>
      <c r="AU87" s="15">
        <f t="shared" si="18"/>
        <v>105070</v>
      </c>
      <c r="AV87" s="118">
        <f t="shared" si="19"/>
        <v>2200000</v>
      </c>
      <c r="AW87" s="16">
        <f t="shared" si="11"/>
        <v>0</v>
      </c>
      <c r="AX87" s="23">
        <v>600000</v>
      </c>
      <c r="AY87" s="88" t="str">
        <f t="shared" si="12"/>
        <v>SUNDARAM</v>
      </c>
      <c r="AZ87" s="86">
        <v>45426</v>
      </c>
      <c r="BA87" s="13">
        <v>45437</v>
      </c>
      <c r="BB87" s="23">
        <f>150000</f>
        <v>150000</v>
      </c>
      <c r="BC87" s="23">
        <f>700000</f>
        <v>700000</v>
      </c>
      <c r="BD87" s="23" t="s">
        <v>454</v>
      </c>
      <c r="BE87" s="23" t="s">
        <v>455</v>
      </c>
      <c r="BF87" s="22">
        <v>750000</v>
      </c>
      <c r="BG87" s="22">
        <v>0</v>
      </c>
      <c r="BH87" s="18">
        <f>+AV87-AX87-BB87-BC87-BF87+BG87</f>
        <v>0</v>
      </c>
      <c r="BI87" s="22" t="s">
        <v>456</v>
      </c>
      <c r="BJ87" s="22"/>
      <c r="BK87" s="19"/>
    </row>
    <row r="88" spans="1:63" ht="17.25" customHeight="1" x14ac:dyDescent="0.3">
      <c r="A88" s="11">
        <v>45413</v>
      </c>
      <c r="B88" s="12">
        <v>87</v>
      </c>
      <c r="C88" s="12">
        <v>22</v>
      </c>
      <c r="D88" s="13">
        <v>45430</v>
      </c>
      <c r="E88" s="81" t="s">
        <v>457</v>
      </c>
      <c r="F88" s="21">
        <v>7693830036</v>
      </c>
      <c r="G88" s="24">
        <f t="shared" si="13"/>
        <v>45430</v>
      </c>
      <c r="H88" s="21" t="s">
        <v>458</v>
      </c>
      <c r="I88" s="23" t="s">
        <v>78</v>
      </c>
      <c r="J88" s="21" t="s">
        <v>324</v>
      </c>
      <c r="K88" s="21" t="s">
        <v>66</v>
      </c>
      <c r="L88" s="21">
        <v>7461835</v>
      </c>
      <c r="M88" s="21">
        <v>236539</v>
      </c>
      <c r="N88" s="21" t="s">
        <v>67</v>
      </c>
      <c r="O88" s="25">
        <v>525000</v>
      </c>
      <c r="P88" s="90" t="s">
        <v>81</v>
      </c>
      <c r="Q88" s="90" t="s">
        <v>122</v>
      </c>
      <c r="R88" s="90" t="s">
        <v>459</v>
      </c>
      <c r="S88" s="23" t="s">
        <v>67</v>
      </c>
      <c r="T88" s="23" t="s">
        <v>115</v>
      </c>
      <c r="U88" s="26" t="s">
        <v>282</v>
      </c>
      <c r="V88" s="94">
        <v>877242</v>
      </c>
      <c r="W88" s="21">
        <v>14915</v>
      </c>
      <c r="X88" s="21">
        <v>5664</v>
      </c>
      <c r="Y88" s="22">
        <v>885</v>
      </c>
      <c r="Z88" s="22">
        <v>500</v>
      </c>
      <c r="AA88" s="25">
        <v>77383</v>
      </c>
      <c r="AB88" s="25">
        <v>0</v>
      </c>
      <c r="AC88" s="25">
        <f t="shared" ref="AC88:AC101" si="21">IF(V88&gt;=1000000,V88*1%,0)</f>
        <v>0</v>
      </c>
      <c r="AD88" s="21">
        <v>28124</v>
      </c>
      <c r="AE88" s="95">
        <f t="shared" si="14"/>
        <v>1004713</v>
      </c>
      <c r="AF88" s="21">
        <v>0</v>
      </c>
      <c r="AG88" s="21">
        <v>15000</v>
      </c>
      <c r="AH88" s="21">
        <v>10000</v>
      </c>
      <c r="AI88" s="21">
        <v>1</v>
      </c>
      <c r="AJ88" s="21">
        <v>0</v>
      </c>
      <c r="AK88" s="21">
        <v>0</v>
      </c>
      <c r="AL88" s="21"/>
      <c r="AM88" s="21">
        <v>0</v>
      </c>
      <c r="AN88" s="27">
        <f t="shared" si="15"/>
        <v>25001</v>
      </c>
      <c r="AO88" s="96">
        <f t="shared" si="16"/>
        <v>979712</v>
      </c>
      <c r="AP88" s="25">
        <v>27288</v>
      </c>
      <c r="AQ88" s="89">
        <v>0</v>
      </c>
      <c r="AR88" s="25">
        <f t="shared" si="17"/>
        <v>27288</v>
      </c>
      <c r="AS88" s="22">
        <v>0</v>
      </c>
      <c r="AT88" s="22">
        <v>0</v>
      </c>
      <c r="AU88" s="15">
        <f t="shared" si="18"/>
        <v>25001</v>
      </c>
      <c r="AV88" s="118">
        <f t="shared" si="19"/>
        <v>1007000</v>
      </c>
      <c r="AW88" s="16">
        <f t="shared" si="11"/>
        <v>0</v>
      </c>
      <c r="AX88" s="23">
        <v>525000</v>
      </c>
      <c r="AY88" s="88" t="str">
        <f t="shared" si="12"/>
        <v>BOI</v>
      </c>
      <c r="AZ88" s="86">
        <v>45430</v>
      </c>
      <c r="BA88" s="13">
        <v>45440</v>
      </c>
      <c r="BB88" s="23">
        <v>0</v>
      </c>
      <c r="BC88" s="23">
        <f>7000</f>
        <v>7000</v>
      </c>
      <c r="BD88" s="22" t="s">
        <v>460</v>
      </c>
      <c r="BE88" s="22" t="s">
        <v>461</v>
      </c>
      <c r="BF88" s="22">
        <v>475000</v>
      </c>
      <c r="BG88" s="22">
        <v>0</v>
      </c>
      <c r="BH88" s="18">
        <f>+AV88-AX88-BB88-BC88-BF88+BG88</f>
        <v>0</v>
      </c>
      <c r="BI88" s="22" t="s">
        <v>109</v>
      </c>
      <c r="BJ88" s="22"/>
      <c r="BK88" s="19"/>
    </row>
    <row r="89" spans="1:63" ht="17.25" customHeight="1" x14ac:dyDescent="0.3">
      <c r="A89" s="11">
        <v>45413</v>
      </c>
      <c r="B89" s="12">
        <v>88</v>
      </c>
      <c r="C89" s="12">
        <v>23</v>
      </c>
      <c r="D89" s="13">
        <v>45431</v>
      </c>
      <c r="E89" s="81" t="s">
        <v>462</v>
      </c>
      <c r="F89" s="21">
        <v>9977817563</v>
      </c>
      <c r="G89" s="24">
        <f t="shared" si="13"/>
        <v>45431</v>
      </c>
      <c r="H89" s="21" t="s">
        <v>463</v>
      </c>
      <c r="I89" s="23" t="s">
        <v>64</v>
      </c>
      <c r="J89" s="21" t="s">
        <v>113</v>
      </c>
      <c r="K89" s="21" t="s">
        <v>66</v>
      </c>
      <c r="L89" s="21">
        <v>4427325</v>
      </c>
      <c r="M89" s="21">
        <v>692838</v>
      </c>
      <c r="N89" s="21" t="s">
        <v>105</v>
      </c>
      <c r="O89" s="25">
        <v>840000</v>
      </c>
      <c r="P89" s="26" t="s">
        <v>68</v>
      </c>
      <c r="Q89" s="26" t="s">
        <v>179</v>
      </c>
      <c r="R89" s="23" t="s">
        <v>105</v>
      </c>
      <c r="S89" s="23" t="s">
        <v>105</v>
      </c>
      <c r="T89" s="23" t="s">
        <v>464</v>
      </c>
      <c r="U89" s="26" t="s">
        <v>260</v>
      </c>
      <c r="V89" s="94">
        <v>842742</v>
      </c>
      <c r="W89" s="21">
        <v>14325</v>
      </c>
      <c r="X89" s="21">
        <v>5452</v>
      </c>
      <c r="Y89" s="22">
        <v>885</v>
      </c>
      <c r="Z89" s="22">
        <v>500</v>
      </c>
      <c r="AA89" s="25">
        <v>74623</v>
      </c>
      <c r="AB89" s="25">
        <v>0</v>
      </c>
      <c r="AC89" s="25">
        <f t="shared" si="21"/>
        <v>0</v>
      </c>
      <c r="AD89" s="21">
        <v>30011</v>
      </c>
      <c r="AE89" s="95">
        <f t="shared" si="14"/>
        <v>968538</v>
      </c>
      <c r="AF89" s="21">
        <v>10000</v>
      </c>
      <c r="AG89" s="21">
        <v>15000</v>
      </c>
      <c r="AH89" s="21">
        <v>0</v>
      </c>
      <c r="AI89" s="21">
        <v>0</v>
      </c>
      <c r="AJ89" s="21">
        <v>2100</v>
      </c>
      <c r="AK89" s="21">
        <v>0</v>
      </c>
      <c r="AL89" s="21"/>
      <c r="AM89" s="21">
        <v>0</v>
      </c>
      <c r="AN89" s="27">
        <f t="shared" si="15"/>
        <v>27100</v>
      </c>
      <c r="AO89" s="96">
        <f t="shared" si="16"/>
        <v>941438</v>
      </c>
      <c r="AP89" s="25">
        <v>18000</v>
      </c>
      <c r="AQ89" s="89">
        <v>0</v>
      </c>
      <c r="AR89" s="25">
        <f t="shared" si="17"/>
        <v>18000</v>
      </c>
      <c r="AS89" s="22">
        <v>0</v>
      </c>
      <c r="AT89" s="22">
        <v>0</v>
      </c>
      <c r="AU89" s="15">
        <f t="shared" si="18"/>
        <v>27100</v>
      </c>
      <c r="AV89" s="118">
        <f t="shared" si="19"/>
        <v>959438</v>
      </c>
      <c r="AW89" s="16">
        <f t="shared" si="11"/>
        <v>4100</v>
      </c>
      <c r="AX89" s="23">
        <v>835900</v>
      </c>
      <c r="AY89" s="88" t="str">
        <f t="shared" si="12"/>
        <v>MAHINDRA</v>
      </c>
      <c r="AZ89" s="86">
        <v>45431</v>
      </c>
      <c r="BA89" s="13">
        <v>45435</v>
      </c>
      <c r="BB89" s="23">
        <f>109000+11360</f>
        <v>120360</v>
      </c>
      <c r="BC89" s="23">
        <f>5100</f>
        <v>5100</v>
      </c>
      <c r="BD89" s="22">
        <v>0</v>
      </c>
      <c r="BE89" s="22">
        <v>0</v>
      </c>
      <c r="BF89" s="22">
        <v>0</v>
      </c>
      <c r="BG89" s="22">
        <v>0</v>
      </c>
      <c r="BH89" s="18">
        <f>+AV89-AX89-BB89-BC89-BF89+BG89</f>
        <v>-1922</v>
      </c>
      <c r="BI89" s="22" t="s">
        <v>465</v>
      </c>
      <c r="BJ89" s="22"/>
      <c r="BK89" s="19"/>
    </row>
    <row r="90" spans="1:63" ht="17.25" customHeight="1" x14ac:dyDescent="0.3">
      <c r="A90" s="11">
        <v>45413</v>
      </c>
      <c r="B90" s="12">
        <v>89</v>
      </c>
      <c r="C90" s="12">
        <v>24</v>
      </c>
      <c r="D90" s="13">
        <v>45431</v>
      </c>
      <c r="E90" s="81" t="s">
        <v>466</v>
      </c>
      <c r="F90" s="21">
        <v>7400893530</v>
      </c>
      <c r="G90" s="24">
        <f t="shared" si="13"/>
        <v>45431</v>
      </c>
      <c r="H90" s="21" t="s">
        <v>467</v>
      </c>
      <c r="I90" s="23" t="s">
        <v>64</v>
      </c>
      <c r="J90" s="21" t="s">
        <v>65</v>
      </c>
      <c r="K90" s="21" t="s">
        <v>66</v>
      </c>
      <c r="L90" s="21">
        <v>7464335</v>
      </c>
      <c r="M90" s="21">
        <v>705510</v>
      </c>
      <c r="N90" s="21" t="s">
        <v>147</v>
      </c>
      <c r="O90" s="25">
        <v>637900</v>
      </c>
      <c r="P90" s="90" t="s">
        <v>81</v>
      </c>
      <c r="Q90" s="90" t="s">
        <v>82</v>
      </c>
      <c r="R90" s="91" t="s">
        <v>468</v>
      </c>
      <c r="S90" s="91" t="s">
        <v>147</v>
      </c>
      <c r="T90" s="23" t="s">
        <v>150</v>
      </c>
      <c r="U90" s="26" t="s">
        <v>469</v>
      </c>
      <c r="V90" s="94">
        <v>665742</v>
      </c>
      <c r="W90" s="21">
        <v>11328</v>
      </c>
      <c r="X90" s="21">
        <v>0</v>
      </c>
      <c r="Y90" s="22">
        <v>885</v>
      </c>
      <c r="Z90" s="22">
        <v>500</v>
      </c>
      <c r="AA90" s="25">
        <v>60463</v>
      </c>
      <c r="AB90" s="25">
        <v>0</v>
      </c>
      <c r="AC90" s="25">
        <f t="shared" si="21"/>
        <v>0</v>
      </c>
      <c r="AD90" s="21">
        <v>25337</v>
      </c>
      <c r="AE90" s="95">
        <f t="shared" si="14"/>
        <v>764255</v>
      </c>
      <c r="AF90" s="21">
        <v>10000</v>
      </c>
      <c r="AG90" s="21">
        <v>15000</v>
      </c>
      <c r="AH90" s="21">
        <v>0</v>
      </c>
      <c r="AI90" s="21">
        <v>1</v>
      </c>
      <c r="AJ90" s="21">
        <v>0</v>
      </c>
      <c r="AK90" s="21">
        <v>0</v>
      </c>
      <c r="AL90" s="21"/>
      <c r="AM90" s="21">
        <v>22754</v>
      </c>
      <c r="AN90" s="27">
        <f t="shared" si="15"/>
        <v>47755</v>
      </c>
      <c r="AO90" s="96">
        <f t="shared" si="16"/>
        <v>716500</v>
      </c>
      <c r="AP90" s="25">
        <v>54000</v>
      </c>
      <c r="AQ90" s="89">
        <v>0</v>
      </c>
      <c r="AR90" s="25">
        <f t="shared" si="17"/>
        <v>54000</v>
      </c>
      <c r="AS90" s="22">
        <v>0</v>
      </c>
      <c r="AT90" s="22">
        <v>0</v>
      </c>
      <c r="AU90" s="15">
        <f t="shared" si="18"/>
        <v>47755</v>
      </c>
      <c r="AV90" s="118">
        <f t="shared" si="19"/>
        <v>770500</v>
      </c>
      <c r="AW90" s="16">
        <f t="shared" si="11"/>
        <v>0</v>
      </c>
      <c r="AX90" s="23">
        <v>637900</v>
      </c>
      <c r="AY90" s="88" t="str">
        <f t="shared" si="12"/>
        <v>BOB</v>
      </c>
      <c r="AZ90" s="86">
        <v>45431</v>
      </c>
      <c r="BA90" s="13">
        <v>45434</v>
      </c>
      <c r="BB90" s="23">
        <f>130000</f>
        <v>130000</v>
      </c>
      <c r="BC90" s="23">
        <v>2100</v>
      </c>
      <c r="BD90" s="22">
        <v>0</v>
      </c>
      <c r="BE90" s="22">
        <v>0</v>
      </c>
      <c r="BF90" s="22">
        <v>0</v>
      </c>
      <c r="BG90" s="22">
        <v>0</v>
      </c>
      <c r="BH90" s="18">
        <f>+AV90-AX90-BB90-BC90-BF90+BG90</f>
        <v>500</v>
      </c>
      <c r="BI90" s="22" t="s">
        <v>470</v>
      </c>
      <c r="BJ90" s="22"/>
      <c r="BK90" s="19"/>
    </row>
    <row r="91" spans="1:63" ht="17.25" customHeight="1" x14ac:dyDescent="0.3">
      <c r="A91" s="11">
        <v>45413</v>
      </c>
      <c r="B91" s="12">
        <v>90</v>
      </c>
      <c r="C91" s="12">
        <v>25</v>
      </c>
      <c r="D91" s="13">
        <v>45431</v>
      </c>
      <c r="E91" s="81" t="s">
        <v>471</v>
      </c>
      <c r="F91" s="21">
        <v>9406970300</v>
      </c>
      <c r="G91" s="24">
        <f t="shared" si="13"/>
        <v>45431</v>
      </c>
      <c r="H91" s="21"/>
      <c r="I91" s="23" t="s">
        <v>78</v>
      </c>
      <c r="J91" s="21" t="s">
        <v>65</v>
      </c>
      <c r="K91" s="21" t="s">
        <v>66</v>
      </c>
      <c r="L91" s="21">
        <v>7508279</v>
      </c>
      <c r="M91" s="21">
        <v>276701</v>
      </c>
      <c r="N91" s="21" t="s">
        <v>105</v>
      </c>
      <c r="O91" s="25">
        <v>735000</v>
      </c>
      <c r="P91" s="26" t="s">
        <v>68</v>
      </c>
      <c r="Q91" s="26" t="s">
        <v>388</v>
      </c>
      <c r="R91" s="23" t="s">
        <v>105</v>
      </c>
      <c r="S91" s="23" t="s">
        <v>105</v>
      </c>
      <c r="T91" s="23" t="s">
        <v>464</v>
      </c>
      <c r="U91" s="26" t="s">
        <v>297</v>
      </c>
      <c r="V91" s="94">
        <v>751242</v>
      </c>
      <c r="W91" s="21">
        <v>12779</v>
      </c>
      <c r="X91" s="21">
        <v>4862</v>
      </c>
      <c r="Y91" s="22">
        <v>885</v>
      </c>
      <c r="Z91" s="22">
        <v>500</v>
      </c>
      <c r="AA91" s="25">
        <v>67303</v>
      </c>
      <c r="AB91" s="25">
        <v>0</v>
      </c>
      <c r="AC91" s="25">
        <f t="shared" si="21"/>
        <v>0</v>
      </c>
      <c r="AD91" s="21">
        <v>28295</v>
      </c>
      <c r="AE91" s="95">
        <f t="shared" si="14"/>
        <v>865866</v>
      </c>
      <c r="AF91" s="21">
        <v>0</v>
      </c>
      <c r="AG91" s="21">
        <v>15000</v>
      </c>
      <c r="AH91" s="21">
        <v>0</v>
      </c>
      <c r="AI91" s="21">
        <v>1</v>
      </c>
      <c r="AJ91" s="21">
        <v>0</v>
      </c>
      <c r="AK91" s="21">
        <v>0</v>
      </c>
      <c r="AL91" s="21"/>
      <c r="AM91" s="21">
        <v>6290</v>
      </c>
      <c r="AN91" s="27">
        <f t="shared" si="15"/>
        <v>21291</v>
      </c>
      <c r="AO91" s="96">
        <f t="shared" si="16"/>
        <v>844575</v>
      </c>
      <c r="AP91" s="25">
        <v>16000</v>
      </c>
      <c r="AQ91" s="89">
        <v>200</v>
      </c>
      <c r="AR91" s="25">
        <f t="shared" si="17"/>
        <v>15800</v>
      </c>
      <c r="AS91" s="22">
        <v>0</v>
      </c>
      <c r="AT91" s="22">
        <v>0</v>
      </c>
      <c r="AU91" s="15">
        <f t="shared" si="18"/>
        <v>21491</v>
      </c>
      <c r="AV91" s="118">
        <f t="shared" si="19"/>
        <v>860375</v>
      </c>
      <c r="AW91" s="16">
        <f t="shared" si="11"/>
        <v>26625</v>
      </c>
      <c r="AX91" s="23">
        <v>708375</v>
      </c>
      <c r="AY91" s="88" t="str">
        <f t="shared" si="12"/>
        <v>AU BANK</v>
      </c>
      <c r="AZ91" s="86">
        <v>45430</v>
      </c>
      <c r="BA91" s="13">
        <v>45436</v>
      </c>
      <c r="BB91" s="23">
        <f>110000</f>
        <v>110000</v>
      </c>
      <c r="BC91" s="23">
        <f>11000+22000</f>
        <v>33000</v>
      </c>
      <c r="BD91" s="22">
        <v>0</v>
      </c>
      <c r="BE91" s="22">
        <v>0</v>
      </c>
      <c r="BF91" s="22">
        <v>0</v>
      </c>
      <c r="BG91" s="22">
        <v>0</v>
      </c>
      <c r="BH91" s="18">
        <f>+AV91-AX91-BB91-BC91-BF91+BG91</f>
        <v>9000</v>
      </c>
      <c r="BI91" s="22" t="s">
        <v>472</v>
      </c>
      <c r="BJ91" s="22"/>
      <c r="BK91" s="19"/>
    </row>
    <row r="92" spans="1:63" ht="17.25" customHeight="1" x14ac:dyDescent="0.3">
      <c r="A92" s="11">
        <v>45413</v>
      </c>
      <c r="B92" s="12">
        <v>91</v>
      </c>
      <c r="C92" s="12">
        <v>26</v>
      </c>
      <c r="D92" s="13">
        <v>45431</v>
      </c>
      <c r="E92" s="81" t="s">
        <v>473</v>
      </c>
      <c r="F92" s="21">
        <v>8839075027</v>
      </c>
      <c r="G92" s="24">
        <f t="shared" si="13"/>
        <v>45431</v>
      </c>
      <c r="H92" s="21" t="s">
        <v>474</v>
      </c>
      <c r="I92" s="23" t="s">
        <v>64</v>
      </c>
      <c r="J92" s="21" t="s">
        <v>65</v>
      </c>
      <c r="K92" s="21" t="s">
        <v>199</v>
      </c>
      <c r="L92" s="21">
        <v>4430567</v>
      </c>
      <c r="M92" s="21">
        <v>699154</v>
      </c>
      <c r="N92" s="21" t="s">
        <v>105</v>
      </c>
      <c r="O92" s="25">
        <v>485000</v>
      </c>
      <c r="P92" s="26" t="s">
        <v>68</v>
      </c>
      <c r="Q92" s="26" t="s">
        <v>179</v>
      </c>
      <c r="R92" s="23" t="s">
        <v>105</v>
      </c>
      <c r="S92" s="23" t="s">
        <v>105</v>
      </c>
      <c r="T92" s="23" t="s">
        <v>107</v>
      </c>
      <c r="U92" s="26" t="s">
        <v>359</v>
      </c>
      <c r="V92" s="94">
        <v>665742</v>
      </c>
      <c r="W92" s="21">
        <v>11328</v>
      </c>
      <c r="X92" s="21">
        <v>4307</v>
      </c>
      <c r="Y92" s="22">
        <v>885</v>
      </c>
      <c r="Z92" s="22">
        <v>500</v>
      </c>
      <c r="AA92" s="25">
        <v>60463</v>
      </c>
      <c r="AB92" s="25">
        <v>0</v>
      </c>
      <c r="AC92" s="25">
        <f t="shared" si="21"/>
        <v>0</v>
      </c>
      <c r="AD92" s="21">
        <v>27931</v>
      </c>
      <c r="AE92" s="95">
        <f t="shared" si="14"/>
        <v>771156</v>
      </c>
      <c r="AF92" s="21">
        <v>10000</v>
      </c>
      <c r="AG92" s="21">
        <v>15000</v>
      </c>
      <c r="AH92" s="21">
        <v>0</v>
      </c>
      <c r="AI92" s="21">
        <v>1</v>
      </c>
      <c r="AJ92" s="21">
        <v>0</v>
      </c>
      <c r="AK92" s="21">
        <v>0</v>
      </c>
      <c r="AL92" s="21"/>
      <c r="AM92" s="21">
        <v>14955</v>
      </c>
      <c r="AN92" s="27">
        <f t="shared" si="15"/>
        <v>39956</v>
      </c>
      <c r="AO92" s="96">
        <f t="shared" si="16"/>
        <v>731200</v>
      </c>
      <c r="AP92" s="25">
        <v>1280</v>
      </c>
      <c r="AQ92" s="89">
        <v>200</v>
      </c>
      <c r="AR92" s="25">
        <f t="shared" si="17"/>
        <v>1080</v>
      </c>
      <c r="AS92" s="22">
        <v>0</v>
      </c>
      <c r="AT92" s="22">
        <v>0</v>
      </c>
      <c r="AU92" s="15">
        <f t="shared" si="18"/>
        <v>40156</v>
      </c>
      <c r="AV92" s="118">
        <f t="shared" si="19"/>
        <v>732280</v>
      </c>
      <c r="AW92" s="16">
        <f t="shared" si="11"/>
        <v>10000</v>
      </c>
      <c r="AX92" s="23">
        <v>475000</v>
      </c>
      <c r="AY92" s="88" t="str">
        <f t="shared" si="12"/>
        <v>MAHINDRA</v>
      </c>
      <c r="AZ92" s="86">
        <v>45432</v>
      </c>
      <c r="BA92" s="13"/>
      <c r="BB92" s="23">
        <f>11000+185000</f>
        <v>196000</v>
      </c>
      <c r="BC92" s="23">
        <v>65000</v>
      </c>
      <c r="BD92" s="22">
        <v>0</v>
      </c>
      <c r="BE92" s="22">
        <v>0</v>
      </c>
      <c r="BF92" s="22">
        <v>0</v>
      </c>
      <c r="BG92" s="22">
        <v>0</v>
      </c>
      <c r="BH92" s="18">
        <f>+AV92-AX92-BB92-BC92-BF92+BG92</f>
        <v>-3720</v>
      </c>
      <c r="BI92" s="22" t="s">
        <v>209</v>
      </c>
      <c r="BJ92" s="22" t="s">
        <v>475</v>
      </c>
      <c r="BK92" s="19"/>
    </row>
    <row r="93" spans="1:63" ht="17.25" customHeight="1" x14ac:dyDescent="0.3">
      <c r="A93" s="11">
        <v>45413</v>
      </c>
      <c r="B93" s="12">
        <v>92</v>
      </c>
      <c r="C93" s="12">
        <v>27</v>
      </c>
      <c r="D93" s="13">
        <v>45431</v>
      </c>
      <c r="E93" s="81" t="s">
        <v>476</v>
      </c>
      <c r="F93" s="21">
        <v>9617847162</v>
      </c>
      <c r="G93" s="24">
        <f t="shared" si="13"/>
        <v>45431</v>
      </c>
      <c r="H93" s="21" t="s">
        <v>477</v>
      </c>
      <c r="I93" s="23" t="s">
        <v>78</v>
      </c>
      <c r="J93" s="21" t="s">
        <v>478</v>
      </c>
      <c r="K93" s="21" t="s">
        <v>97</v>
      </c>
      <c r="L93" s="21">
        <v>7457388</v>
      </c>
      <c r="M93" s="21">
        <v>232763</v>
      </c>
      <c r="N93" s="21" t="s">
        <v>67</v>
      </c>
      <c r="O93" s="25">
        <v>766842</v>
      </c>
      <c r="P93" s="26" t="s">
        <v>81</v>
      </c>
      <c r="Q93" s="26" t="s">
        <v>479</v>
      </c>
      <c r="R93" s="23" t="s">
        <v>203</v>
      </c>
      <c r="S93" s="23" t="s">
        <v>67</v>
      </c>
      <c r="T93" s="23" t="s">
        <v>70</v>
      </c>
      <c r="U93" s="26" t="s">
        <v>100</v>
      </c>
      <c r="V93" s="94">
        <v>865399</v>
      </c>
      <c r="W93" s="21">
        <v>14915</v>
      </c>
      <c r="X93" s="21">
        <v>0</v>
      </c>
      <c r="Y93" s="22">
        <v>885</v>
      </c>
      <c r="Z93" s="22">
        <v>500</v>
      </c>
      <c r="AA93" s="25">
        <v>77383</v>
      </c>
      <c r="AB93" s="25">
        <v>0</v>
      </c>
      <c r="AC93" s="25">
        <f t="shared" si="21"/>
        <v>0</v>
      </c>
      <c r="AD93" s="21">
        <v>32059</v>
      </c>
      <c r="AE93" s="95">
        <f t="shared" si="14"/>
        <v>991141</v>
      </c>
      <c r="AF93" s="21">
        <v>0</v>
      </c>
      <c r="AG93" s="21">
        <v>10000</v>
      </c>
      <c r="AH93" s="21">
        <v>0</v>
      </c>
      <c r="AI93" s="21">
        <v>0</v>
      </c>
      <c r="AJ93" s="21">
        <v>0</v>
      </c>
      <c r="AK93" s="21">
        <v>0</v>
      </c>
      <c r="AL93" s="21"/>
      <c r="AM93" s="21">
        <v>0</v>
      </c>
      <c r="AN93" s="27">
        <f t="shared" si="15"/>
        <v>10000</v>
      </c>
      <c r="AO93" s="96">
        <f t="shared" si="16"/>
        <v>981141</v>
      </c>
      <c r="AP93" s="25">
        <v>15090</v>
      </c>
      <c r="AQ93" s="89">
        <v>0</v>
      </c>
      <c r="AR93" s="25">
        <f t="shared" si="17"/>
        <v>15090</v>
      </c>
      <c r="AS93" s="22">
        <v>0</v>
      </c>
      <c r="AT93" s="22">
        <v>0</v>
      </c>
      <c r="AU93" s="15">
        <f t="shared" si="18"/>
        <v>10000</v>
      </c>
      <c r="AV93" s="118">
        <f t="shared" si="19"/>
        <v>996231</v>
      </c>
      <c r="AW93" s="16">
        <f t="shared" si="11"/>
        <v>-88557</v>
      </c>
      <c r="AX93" s="23">
        <v>855399</v>
      </c>
      <c r="AY93" s="88" t="str">
        <f t="shared" si="12"/>
        <v>CSD (SBI)</v>
      </c>
      <c r="AZ93" s="86">
        <v>45432</v>
      </c>
      <c r="BA93" s="13"/>
      <c r="BB93" s="23">
        <v>0</v>
      </c>
      <c r="BC93" s="23">
        <f>30000+44000+67000+696</f>
        <v>141696</v>
      </c>
      <c r="BD93" s="22">
        <v>0</v>
      </c>
      <c r="BE93" s="22">
        <v>0</v>
      </c>
      <c r="BF93" s="22">
        <v>0</v>
      </c>
      <c r="BG93" s="22">
        <v>0</v>
      </c>
      <c r="BH93" s="18">
        <f>+AV93-AX93-BB93-BC93-BF93+BG93</f>
        <v>-864</v>
      </c>
      <c r="BI93" s="22" t="s">
        <v>109</v>
      </c>
      <c r="BJ93" s="22"/>
      <c r="BK93" s="19"/>
    </row>
    <row r="94" spans="1:63" ht="17.25" customHeight="1" x14ac:dyDescent="0.3">
      <c r="A94" s="11">
        <v>45413</v>
      </c>
      <c r="B94" s="12">
        <v>93</v>
      </c>
      <c r="C94" s="12">
        <v>28</v>
      </c>
      <c r="D94" s="13">
        <v>45433</v>
      </c>
      <c r="E94" s="81" t="s">
        <v>480</v>
      </c>
      <c r="F94" s="21">
        <v>9399899957</v>
      </c>
      <c r="G94" s="24">
        <f t="shared" si="13"/>
        <v>45433</v>
      </c>
      <c r="H94" s="21" t="s">
        <v>481</v>
      </c>
      <c r="I94" s="23" t="s">
        <v>64</v>
      </c>
      <c r="J94" s="21" t="s">
        <v>113</v>
      </c>
      <c r="K94" s="21" t="s">
        <v>97</v>
      </c>
      <c r="L94" s="21">
        <v>4453688</v>
      </c>
      <c r="M94" s="21">
        <v>736270</v>
      </c>
      <c r="N94" s="21" t="s">
        <v>105</v>
      </c>
      <c r="O94" s="25">
        <v>840000</v>
      </c>
      <c r="P94" s="26" t="s">
        <v>68</v>
      </c>
      <c r="Q94" s="26" t="s">
        <v>179</v>
      </c>
      <c r="R94" s="23" t="s">
        <v>105</v>
      </c>
      <c r="S94" s="23" t="s">
        <v>105</v>
      </c>
      <c r="T94" s="23" t="s">
        <v>464</v>
      </c>
      <c r="U94" s="26" t="s">
        <v>297</v>
      </c>
      <c r="V94" s="94">
        <v>842742</v>
      </c>
      <c r="W94" s="21">
        <v>14325</v>
      </c>
      <c r="X94" s="21">
        <v>5452</v>
      </c>
      <c r="Y94" s="22">
        <v>885</v>
      </c>
      <c r="Z94" s="22">
        <v>500</v>
      </c>
      <c r="AA94" s="25">
        <v>74623</v>
      </c>
      <c r="AB94" s="25">
        <v>0</v>
      </c>
      <c r="AC94" s="25">
        <f t="shared" si="21"/>
        <v>0</v>
      </c>
      <c r="AD94" s="21">
        <v>30974</v>
      </c>
      <c r="AE94" s="95">
        <f t="shared" si="14"/>
        <v>969501</v>
      </c>
      <c r="AF94" s="21">
        <v>10000</v>
      </c>
      <c r="AG94" s="21">
        <v>15000</v>
      </c>
      <c r="AH94" s="21">
        <v>0</v>
      </c>
      <c r="AI94" s="21">
        <v>0</v>
      </c>
      <c r="AJ94" s="21">
        <v>2100</v>
      </c>
      <c r="AK94" s="21">
        <v>0</v>
      </c>
      <c r="AL94" s="21"/>
      <c r="AM94" s="21">
        <v>9201</v>
      </c>
      <c r="AN94" s="27">
        <f t="shared" si="15"/>
        <v>36301</v>
      </c>
      <c r="AO94" s="96">
        <f t="shared" si="16"/>
        <v>933200</v>
      </c>
      <c r="AP94" s="25">
        <v>8000</v>
      </c>
      <c r="AQ94" s="89">
        <v>200</v>
      </c>
      <c r="AR94" s="25">
        <f t="shared" si="17"/>
        <v>7800</v>
      </c>
      <c r="AS94" s="22">
        <v>0</v>
      </c>
      <c r="AT94" s="22">
        <v>0</v>
      </c>
      <c r="AU94" s="15">
        <f t="shared" si="18"/>
        <v>36501</v>
      </c>
      <c r="AV94" s="118">
        <f t="shared" si="19"/>
        <v>941000</v>
      </c>
      <c r="AW94" s="16">
        <f t="shared" si="11"/>
        <v>3600</v>
      </c>
      <c r="AX94" s="23">
        <v>836400</v>
      </c>
      <c r="AY94" s="88" t="str">
        <f t="shared" si="12"/>
        <v>MAHINDRA</v>
      </c>
      <c r="AZ94" s="86">
        <v>45433</v>
      </c>
      <c r="BA94" s="13">
        <v>45439</v>
      </c>
      <c r="BB94" s="23">
        <f>59000+47500</f>
        <v>106500</v>
      </c>
      <c r="BC94" s="23">
        <v>0</v>
      </c>
      <c r="BD94" s="22">
        <v>0</v>
      </c>
      <c r="BE94" s="22">
        <v>0</v>
      </c>
      <c r="BF94" s="22">
        <v>0</v>
      </c>
      <c r="BG94" s="22">
        <v>0</v>
      </c>
      <c r="BH94" s="18">
        <f>+AV94-AX94-BB94-BC94-BF94+BG94</f>
        <v>-1900</v>
      </c>
      <c r="BI94" s="22" t="s">
        <v>109</v>
      </c>
      <c r="BJ94" s="22" t="s">
        <v>482</v>
      </c>
      <c r="BK94" s="19"/>
    </row>
    <row r="95" spans="1:63" ht="17.25" customHeight="1" x14ac:dyDescent="0.3">
      <c r="A95" s="11">
        <v>45413</v>
      </c>
      <c r="B95" s="12">
        <v>94</v>
      </c>
      <c r="C95" s="12">
        <v>29</v>
      </c>
      <c r="D95" s="13">
        <v>45433</v>
      </c>
      <c r="E95" s="81" t="s">
        <v>483</v>
      </c>
      <c r="F95" s="21">
        <v>9893651105</v>
      </c>
      <c r="G95" s="24">
        <f t="shared" si="13"/>
        <v>45433</v>
      </c>
      <c r="H95" s="21" t="s">
        <v>484</v>
      </c>
      <c r="I95" s="23" t="s">
        <v>64</v>
      </c>
      <c r="J95" s="21" t="s">
        <v>65</v>
      </c>
      <c r="K95" s="21" t="s">
        <v>199</v>
      </c>
      <c r="L95" s="21">
        <v>4439019</v>
      </c>
      <c r="M95" s="21">
        <v>715270</v>
      </c>
      <c r="N95" s="21" t="s">
        <v>80</v>
      </c>
      <c r="O95" s="25">
        <v>633000</v>
      </c>
      <c r="P95" s="26" t="s">
        <v>68</v>
      </c>
      <c r="Q95" s="26" t="s">
        <v>388</v>
      </c>
      <c r="R95" s="23" t="s">
        <v>80</v>
      </c>
      <c r="S95" s="23" t="s">
        <v>83</v>
      </c>
      <c r="T95" s="23" t="s">
        <v>84</v>
      </c>
      <c r="U95" s="26" t="s">
        <v>170</v>
      </c>
      <c r="V95" s="94">
        <v>665742</v>
      </c>
      <c r="W95" s="21">
        <v>11328</v>
      </c>
      <c r="X95" s="21">
        <v>4307</v>
      </c>
      <c r="Y95" s="22">
        <v>885</v>
      </c>
      <c r="Z95" s="22">
        <v>0</v>
      </c>
      <c r="AA95" s="25">
        <v>60463</v>
      </c>
      <c r="AB95" s="25">
        <v>0</v>
      </c>
      <c r="AC95" s="25">
        <f t="shared" si="21"/>
        <v>0</v>
      </c>
      <c r="AD95" s="21">
        <v>25337</v>
      </c>
      <c r="AE95" s="95">
        <f t="shared" si="14"/>
        <v>768062</v>
      </c>
      <c r="AF95" s="21">
        <v>10000</v>
      </c>
      <c r="AG95" s="21">
        <v>15000</v>
      </c>
      <c r="AH95" s="21">
        <v>0</v>
      </c>
      <c r="AI95" s="21">
        <v>1</v>
      </c>
      <c r="AJ95" s="21">
        <v>0</v>
      </c>
      <c r="AK95" s="21">
        <v>0</v>
      </c>
      <c r="AL95" s="21"/>
      <c r="AM95" s="21">
        <v>7461</v>
      </c>
      <c r="AN95" s="27">
        <f t="shared" si="15"/>
        <v>32462</v>
      </c>
      <c r="AO95" s="96">
        <f t="shared" si="16"/>
        <v>735600</v>
      </c>
      <c r="AP95" s="25">
        <v>41500</v>
      </c>
      <c r="AQ95" s="89">
        <v>100</v>
      </c>
      <c r="AR95" s="25">
        <f t="shared" si="17"/>
        <v>41400</v>
      </c>
      <c r="AS95" s="22">
        <v>0</v>
      </c>
      <c r="AT95" s="22">
        <v>0</v>
      </c>
      <c r="AU95" s="15">
        <f t="shared" si="18"/>
        <v>32562</v>
      </c>
      <c r="AV95" s="118">
        <f t="shared" si="19"/>
        <v>777000</v>
      </c>
      <c r="AW95" s="16">
        <f t="shared" si="11"/>
        <v>19627</v>
      </c>
      <c r="AX95" s="23">
        <v>613373</v>
      </c>
      <c r="AY95" s="88" t="str">
        <f t="shared" si="12"/>
        <v>AU BANK</v>
      </c>
      <c r="AZ95" s="86">
        <v>45433</v>
      </c>
      <c r="BA95" s="13">
        <v>45440</v>
      </c>
      <c r="BB95" s="23">
        <v>0</v>
      </c>
      <c r="BC95" s="23">
        <f>5000</f>
        <v>5000</v>
      </c>
      <c r="BD95" s="22" t="s">
        <v>485</v>
      </c>
      <c r="BE95" s="22" t="s">
        <v>486</v>
      </c>
      <c r="BF95" s="22">
        <v>550000</v>
      </c>
      <c r="BG95" s="22">
        <v>380000</v>
      </c>
      <c r="BH95" s="18">
        <f>+AV95-AX95-BB95-BC95-BF95+BG95</f>
        <v>-11373</v>
      </c>
      <c r="BI95" s="22" t="s">
        <v>109</v>
      </c>
      <c r="BJ95" s="22"/>
      <c r="BK95" s="19"/>
    </row>
    <row r="96" spans="1:63" ht="17.25" customHeight="1" x14ac:dyDescent="0.3">
      <c r="A96" s="11">
        <v>45413</v>
      </c>
      <c r="B96" s="12">
        <v>95</v>
      </c>
      <c r="C96" s="12">
        <v>30</v>
      </c>
      <c r="D96" s="13">
        <v>45435</v>
      </c>
      <c r="E96" s="81" t="s">
        <v>487</v>
      </c>
      <c r="F96" s="21">
        <v>6268349300</v>
      </c>
      <c r="G96" s="24">
        <f t="shared" si="13"/>
        <v>45435</v>
      </c>
      <c r="H96" s="21" t="s">
        <v>488</v>
      </c>
      <c r="I96" s="23" t="s">
        <v>64</v>
      </c>
      <c r="J96" s="21" t="s">
        <v>89</v>
      </c>
      <c r="K96" s="21" t="s">
        <v>97</v>
      </c>
      <c r="L96" s="21">
        <v>4404807</v>
      </c>
      <c r="M96" s="21">
        <v>658763</v>
      </c>
      <c r="N96" s="21" t="s">
        <v>80</v>
      </c>
      <c r="O96" s="25">
        <v>600000</v>
      </c>
      <c r="P96" s="90" t="s">
        <v>81</v>
      </c>
      <c r="Q96" s="90" t="s">
        <v>122</v>
      </c>
      <c r="R96" s="91" t="s">
        <v>489</v>
      </c>
      <c r="S96" s="91" t="s">
        <v>106</v>
      </c>
      <c r="T96" s="23" t="s">
        <v>124</v>
      </c>
      <c r="U96" s="26" t="s">
        <v>302</v>
      </c>
      <c r="V96" s="94">
        <v>749742</v>
      </c>
      <c r="W96" s="21">
        <v>12744</v>
      </c>
      <c r="X96" s="21">
        <v>4850</v>
      </c>
      <c r="Y96" s="22">
        <v>885</v>
      </c>
      <c r="Z96" s="22">
        <v>0</v>
      </c>
      <c r="AA96" s="25">
        <v>67183</v>
      </c>
      <c r="AB96" s="25">
        <v>0</v>
      </c>
      <c r="AC96" s="25">
        <f t="shared" si="21"/>
        <v>0</v>
      </c>
      <c r="AD96" s="21">
        <v>25847</v>
      </c>
      <c r="AE96" s="95">
        <f t="shared" si="14"/>
        <v>861251</v>
      </c>
      <c r="AF96" s="21">
        <v>10000</v>
      </c>
      <c r="AG96" s="21">
        <v>15000</v>
      </c>
      <c r="AH96" s="21">
        <v>0</v>
      </c>
      <c r="AI96" s="21">
        <v>0</v>
      </c>
      <c r="AJ96" s="21">
        <v>2100</v>
      </c>
      <c r="AK96" s="21">
        <v>0</v>
      </c>
      <c r="AL96" s="21"/>
      <c r="AM96" s="21">
        <v>25651</v>
      </c>
      <c r="AN96" s="27">
        <f t="shared" si="15"/>
        <v>52751</v>
      </c>
      <c r="AO96" s="96">
        <f t="shared" si="16"/>
        <v>808500</v>
      </c>
      <c r="AP96" s="25">
        <v>34970</v>
      </c>
      <c r="AQ96" s="89">
        <v>0</v>
      </c>
      <c r="AR96" s="25">
        <f t="shared" si="17"/>
        <v>34970</v>
      </c>
      <c r="AS96" s="22">
        <v>0</v>
      </c>
      <c r="AT96" s="22">
        <v>0</v>
      </c>
      <c r="AU96" s="15">
        <f t="shared" si="18"/>
        <v>52751</v>
      </c>
      <c r="AV96" s="118">
        <f t="shared" si="19"/>
        <v>843470</v>
      </c>
      <c r="AW96" s="16">
        <f t="shared" si="11"/>
        <v>-238000</v>
      </c>
      <c r="AX96" s="23">
        <v>838000</v>
      </c>
      <c r="AY96" s="88" t="str">
        <f t="shared" si="12"/>
        <v>BOI</v>
      </c>
      <c r="AZ96" s="86">
        <v>45434</v>
      </c>
      <c r="BA96" s="13">
        <v>45434</v>
      </c>
      <c r="BB96" s="23">
        <f>2100</f>
        <v>2100</v>
      </c>
      <c r="BC96" s="23">
        <v>0</v>
      </c>
      <c r="BD96" s="22">
        <v>0</v>
      </c>
      <c r="BE96" s="22">
        <v>0</v>
      </c>
      <c r="BF96" s="22">
        <v>0</v>
      </c>
      <c r="BG96" s="22">
        <v>0</v>
      </c>
      <c r="BH96" s="18">
        <f>+AV96-AX96-BB96-BC96-BF96+BG96</f>
        <v>3370</v>
      </c>
      <c r="BI96" s="22" t="s">
        <v>209</v>
      </c>
      <c r="BJ96" s="22" t="s">
        <v>490</v>
      </c>
      <c r="BK96" s="19"/>
    </row>
    <row r="97" spans="1:63" ht="17.25" customHeight="1" x14ac:dyDescent="0.3">
      <c r="A97" s="11">
        <v>45413</v>
      </c>
      <c r="B97" s="12">
        <v>96</v>
      </c>
      <c r="C97" s="12">
        <v>31</v>
      </c>
      <c r="D97" s="13">
        <v>45435</v>
      </c>
      <c r="E97" s="81" t="s">
        <v>491</v>
      </c>
      <c r="F97" s="21">
        <v>9179699253</v>
      </c>
      <c r="G97" s="24">
        <f t="shared" si="13"/>
        <v>45435</v>
      </c>
      <c r="H97" s="21" t="s">
        <v>492</v>
      </c>
      <c r="I97" s="23" t="s">
        <v>64</v>
      </c>
      <c r="J97" s="21" t="s">
        <v>113</v>
      </c>
      <c r="K97" s="21" t="s">
        <v>199</v>
      </c>
      <c r="L97" s="21">
        <v>4434648</v>
      </c>
      <c r="M97" s="21">
        <v>707053</v>
      </c>
      <c r="N97" s="21" t="s">
        <v>80</v>
      </c>
      <c r="O97" s="25">
        <v>824000</v>
      </c>
      <c r="P97" s="26" t="s">
        <v>68</v>
      </c>
      <c r="Q97" s="26" t="s">
        <v>388</v>
      </c>
      <c r="R97" s="23" t="s">
        <v>80</v>
      </c>
      <c r="S97" s="23" t="s">
        <v>80</v>
      </c>
      <c r="T97" s="23" t="s">
        <v>84</v>
      </c>
      <c r="U97" s="26" t="s">
        <v>170</v>
      </c>
      <c r="V97" s="94">
        <v>842742</v>
      </c>
      <c r="W97" s="21">
        <v>14325</v>
      </c>
      <c r="X97" s="21">
        <v>0</v>
      </c>
      <c r="Y97" s="22">
        <v>885</v>
      </c>
      <c r="Z97" s="22">
        <v>0</v>
      </c>
      <c r="AA97" s="25">
        <v>74623</v>
      </c>
      <c r="AB97" s="25">
        <v>0</v>
      </c>
      <c r="AC97" s="25">
        <f t="shared" si="21"/>
        <v>0</v>
      </c>
      <c r="AD97" s="21">
        <v>28181</v>
      </c>
      <c r="AE97" s="95">
        <f t="shared" si="14"/>
        <v>960756</v>
      </c>
      <c r="AF97" s="21">
        <v>10000</v>
      </c>
      <c r="AG97" s="21">
        <v>15000</v>
      </c>
      <c r="AH97" s="21">
        <f>15000+10000</f>
        <v>25000</v>
      </c>
      <c r="AI97" s="21">
        <v>1</v>
      </c>
      <c r="AJ97" s="21">
        <v>0</v>
      </c>
      <c r="AK97" s="21">
        <v>0</v>
      </c>
      <c r="AL97" s="21"/>
      <c r="AM97" s="21">
        <v>0</v>
      </c>
      <c r="AN97" s="27">
        <f t="shared" si="15"/>
        <v>50001</v>
      </c>
      <c r="AO97" s="96">
        <f t="shared" si="16"/>
        <v>910755</v>
      </c>
      <c r="AP97" s="25">
        <v>16245</v>
      </c>
      <c r="AQ97" s="89">
        <v>0</v>
      </c>
      <c r="AR97" s="25">
        <f t="shared" si="17"/>
        <v>16245</v>
      </c>
      <c r="AS97" s="22">
        <v>0</v>
      </c>
      <c r="AT97" s="22">
        <v>0</v>
      </c>
      <c r="AU97" s="15">
        <f t="shared" si="18"/>
        <v>50001</v>
      </c>
      <c r="AV97" s="118">
        <f t="shared" si="19"/>
        <v>927000</v>
      </c>
      <c r="AW97" s="16">
        <f t="shared" si="11"/>
        <v>24000</v>
      </c>
      <c r="AX97" s="23">
        <v>800000</v>
      </c>
      <c r="AY97" s="88" t="str">
        <f t="shared" si="12"/>
        <v>AU BANK</v>
      </c>
      <c r="AZ97" s="86">
        <v>45435</v>
      </c>
      <c r="BA97" s="13"/>
      <c r="BB97" s="23">
        <v>0</v>
      </c>
      <c r="BC97" s="23">
        <v>0</v>
      </c>
      <c r="BD97" s="22" t="s">
        <v>493</v>
      </c>
      <c r="BE97" s="22" t="s">
        <v>494</v>
      </c>
      <c r="BF97" s="22">
        <v>520000</v>
      </c>
      <c r="BG97" s="22">
        <v>430000</v>
      </c>
      <c r="BH97" s="18">
        <f>+AV97-AX97-BB97-BC97-BF97+BG97</f>
        <v>37000</v>
      </c>
      <c r="BI97" s="22" t="s">
        <v>495</v>
      </c>
      <c r="BJ97" s="22"/>
      <c r="BK97" s="19"/>
    </row>
    <row r="98" spans="1:63" ht="17.25" customHeight="1" x14ac:dyDescent="0.3">
      <c r="A98" s="11">
        <v>45413</v>
      </c>
      <c r="B98" s="12">
        <v>97</v>
      </c>
      <c r="C98" s="12">
        <v>32</v>
      </c>
      <c r="D98" s="13">
        <v>45435</v>
      </c>
      <c r="E98" s="81" t="s">
        <v>496</v>
      </c>
      <c r="F98" s="21">
        <v>8435525979</v>
      </c>
      <c r="G98" s="24">
        <f t="shared" si="13"/>
        <v>45435</v>
      </c>
      <c r="H98" s="21" t="s">
        <v>497</v>
      </c>
      <c r="I98" s="23" t="s">
        <v>78</v>
      </c>
      <c r="J98" s="21" t="s">
        <v>65</v>
      </c>
      <c r="K98" s="21" t="s">
        <v>97</v>
      </c>
      <c r="L98" s="21">
        <v>7479796</v>
      </c>
      <c r="M98" s="21">
        <v>249120</v>
      </c>
      <c r="N98" s="21" t="s">
        <v>105</v>
      </c>
      <c r="O98" s="25">
        <v>702400</v>
      </c>
      <c r="P98" s="26" t="s">
        <v>81</v>
      </c>
      <c r="Q98" s="26" t="s">
        <v>191</v>
      </c>
      <c r="R98" s="23" t="s">
        <v>498</v>
      </c>
      <c r="S98" s="23" t="s">
        <v>105</v>
      </c>
      <c r="T98" s="23" t="s">
        <v>107</v>
      </c>
      <c r="U98" s="26" t="s">
        <v>359</v>
      </c>
      <c r="V98" s="94">
        <v>751242</v>
      </c>
      <c r="W98" s="21">
        <v>12779</v>
      </c>
      <c r="X98" s="21">
        <v>4862</v>
      </c>
      <c r="Y98" s="22">
        <v>885</v>
      </c>
      <c r="Z98" s="22">
        <v>500</v>
      </c>
      <c r="AA98" s="25">
        <v>18000</v>
      </c>
      <c r="AB98" s="25">
        <v>0</v>
      </c>
      <c r="AC98" s="25">
        <f t="shared" si="21"/>
        <v>0</v>
      </c>
      <c r="AD98" s="21">
        <v>28295</v>
      </c>
      <c r="AE98" s="95">
        <f t="shared" si="14"/>
        <v>816563</v>
      </c>
      <c r="AF98" s="21">
        <v>0</v>
      </c>
      <c r="AG98" s="21">
        <v>15000</v>
      </c>
      <c r="AH98" s="21">
        <v>0</v>
      </c>
      <c r="AI98" s="21">
        <v>1</v>
      </c>
      <c r="AJ98" s="21">
        <v>0</v>
      </c>
      <c r="AK98" s="21">
        <v>0</v>
      </c>
      <c r="AL98" s="21"/>
      <c r="AM98" s="21">
        <v>7062</v>
      </c>
      <c r="AN98" s="27">
        <f t="shared" si="15"/>
        <v>22063</v>
      </c>
      <c r="AO98" s="96">
        <f t="shared" si="16"/>
        <v>794500</v>
      </c>
      <c r="AP98" s="25">
        <v>36000</v>
      </c>
      <c r="AQ98" s="89">
        <v>0</v>
      </c>
      <c r="AR98" s="25">
        <f t="shared" si="17"/>
        <v>36000</v>
      </c>
      <c r="AS98" s="22">
        <v>0</v>
      </c>
      <c r="AT98" s="22">
        <v>0</v>
      </c>
      <c r="AU98" s="15">
        <f t="shared" si="18"/>
        <v>22063</v>
      </c>
      <c r="AV98" s="118">
        <f t="shared" si="19"/>
        <v>830500</v>
      </c>
      <c r="AW98" s="16">
        <f t="shared" ref="AW98:AW101" si="22">O98-AX98</f>
        <v>0</v>
      </c>
      <c r="AX98" s="23">
        <v>702400</v>
      </c>
      <c r="AY98" s="88" t="str">
        <f t="shared" ref="AY98:AY101" si="23">Q98</f>
        <v>SBI</v>
      </c>
      <c r="AZ98" s="86">
        <v>45435</v>
      </c>
      <c r="BA98" s="13">
        <v>45439</v>
      </c>
      <c r="BB98" s="23">
        <v>0</v>
      </c>
      <c r="BC98" s="23">
        <f>5000+100000+25000</f>
        <v>130000</v>
      </c>
      <c r="BD98" s="22">
        <v>0</v>
      </c>
      <c r="BE98" s="22">
        <v>0</v>
      </c>
      <c r="BF98" s="22">
        <v>0</v>
      </c>
      <c r="BG98" s="22">
        <v>0</v>
      </c>
      <c r="BH98" s="18">
        <f>+AV98-AX98-BB98-BC98-BF98+BG98</f>
        <v>-1900</v>
      </c>
      <c r="BI98" s="22" t="s">
        <v>109</v>
      </c>
      <c r="BJ98" s="22"/>
      <c r="BK98" s="19"/>
    </row>
    <row r="99" spans="1:63" ht="17.25" customHeight="1" x14ac:dyDescent="0.3">
      <c r="A99" s="11">
        <v>45413</v>
      </c>
      <c r="B99" s="12">
        <v>98</v>
      </c>
      <c r="C99" s="12">
        <v>33</v>
      </c>
      <c r="D99" s="13">
        <v>45435</v>
      </c>
      <c r="E99" s="81" t="s">
        <v>499</v>
      </c>
      <c r="F99" s="21">
        <v>9424050605</v>
      </c>
      <c r="G99" s="24">
        <f t="shared" si="13"/>
        <v>45435</v>
      </c>
      <c r="H99" s="21" t="s">
        <v>500</v>
      </c>
      <c r="I99" s="23" t="s">
        <v>78</v>
      </c>
      <c r="J99" s="21" t="s">
        <v>501</v>
      </c>
      <c r="K99" s="21" t="s">
        <v>97</v>
      </c>
      <c r="L99" s="21">
        <v>7480966</v>
      </c>
      <c r="M99" s="21">
        <v>249440</v>
      </c>
      <c r="N99" s="21" t="s">
        <v>147</v>
      </c>
      <c r="O99" s="25">
        <v>0</v>
      </c>
      <c r="P99" s="26" t="s">
        <v>81</v>
      </c>
      <c r="Q99" s="26" t="s">
        <v>148</v>
      </c>
      <c r="R99" s="23" t="s">
        <v>149</v>
      </c>
      <c r="S99" s="23" t="s">
        <v>147</v>
      </c>
      <c r="T99" s="23" t="s">
        <v>150</v>
      </c>
      <c r="U99" s="26" t="s">
        <v>151</v>
      </c>
      <c r="V99" s="94">
        <v>927242</v>
      </c>
      <c r="W99" s="21">
        <v>0</v>
      </c>
      <c r="X99" s="21">
        <v>0</v>
      </c>
      <c r="Y99" s="22" t="s">
        <v>180</v>
      </c>
      <c r="Z99" s="22">
        <v>500</v>
      </c>
      <c r="AA99" s="25">
        <v>81383</v>
      </c>
      <c r="AB99" s="25">
        <v>0</v>
      </c>
      <c r="AC99" s="25">
        <f t="shared" si="21"/>
        <v>0</v>
      </c>
      <c r="AD99" s="21">
        <v>30793</v>
      </c>
      <c r="AE99" s="95">
        <f t="shared" si="14"/>
        <v>1039918</v>
      </c>
      <c r="AF99" s="21">
        <v>0</v>
      </c>
      <c r="AG99" s="21">
        <v>15000</v>
      </c>
      <c r="AH99" s="21">
        <v>10000</v>
      </c>
      <c r="AI99" s="21">
        <v>1</v>
      </c>
      <c r="AJ99" s="21">
        <v>0</v>
      </c>
      <c r="AK99" s="21">
        <v>0</v>
      </c>
      <c r="AL99" s="21"/>
      <c r="AM99" s="21">
        <v>21717</v>
      </c>
      <c r="AN99" s="27">
        <f t="shared" si="15"/>
        <v>46718</v>
      </c>
      <c r="AO99" s="96">
        <f t="shared" si="16"/>
        <v>993200</v>
      </c>
      <c r="AP99" s="25">
        <v>6000</v>
      </c>
      <c r="AQ99" s="89">
        <v>0</v>
      </c>
      <c r="AR99" s="25">
        <f t="shared" si="17"/>
        <v>6000</v>
      </c>
      <c r="AS99" s="22">
        <v>0</v>
      </c>
      <c r="AT99" s="22">
        <v>0</v>
      </c>
      <c r="AU99" s="15">
        <f t="shared" si="18"/>
        <v>46718</v>
      </c>
      <c r="AV99" s="118">
        <f t="shared" si="19"/>
        <v>999200</v>
      </c>
      <c r="AW99" s="16">
        <f t="shared" si="22"/>
        <v>-535000</v>
      </c>
      <c r="AX99" s="23">
        <v>535000</v>
      </c>
      <c r="AY99" s="88" t="str">
        <f t="shared" si="23"/>
        <v>CHEQUE</v>
      </c>
      <c r="AZ99" s="86">
        <v>45435</v>
      </c>
      <c r="BA99" s="13">
        <v>45435</v>
      </c>
      <c r="BB99" s="23">
        <f>60000</f>
        <v>60000</v>
      </c>
      <c r="BC99" s="23">
        <v>4000</v>
      </c>
      <c r="BD99" s="22" t="s">
        <v>502</v>
      </c>
      <c r="BE99" s="22" t="s">
        <v>503</v>
      </c>
      <c r="BF99" s="22">
        <v>400000</v>
      </c>
      <c r="BG99" s="22">
        <v>0</v>
      </c>
      <c r="BH99" s="18">
        <f>+AV99-AX99-BB99-BC99-BF99+BG99</f>
        <v>200</v>
      </c>
      <c r="BI99" s="22" t="s">
        <v>470</v>
      </c>
      <c r="BJ99" s="22"/>
      <c r="BK99" s="19"/>
    </row>
    <row r="100" spans="1:63" ht="17.25" customHeight="1" x14ac:dyDescent="0.3">
      <c r="A100" s="11">
        <v>45413</v>
      </c>
      <c r="B100" s="12">
        <v>99</v>
      </c>
      <c r="C100" s="12">
        <v>34</v>
      </c>
      <c r="D100" s="13">
        <v>45435</v>
      </c>
      <c r="E100" s="81" t="s">
        <v>504</v>
      </c>
      <c r="F100" s="21">
        <v>7828612157</v>
      </c>
      <c r="G100" s="24">
        <f t="shared" si="13"/>
        <v>45435</v>
      </c>
      <c r="H100" s="21" t="s">
        <v>505</v>
      </c>
      <c r="I100" s="23" t="s">
        <v>64</v>
      </c>
      <c r="J100" s="21" t="s">
        <v>65</v>
      </c>
      <c r="K100" s="21" t="s">
        <v>66</v>
      </c>
      <c r="L100" s="21">
        <v>4429121</v>
      </c>
      <c r="M100" s="21">
        <v>696308</v>
      </c>
      <c r="N100" s="21" t="s">
        <v>67</v>
      </c>
      <c r="O100" s="25">
        <v>530000</v>
      </c>
      <c r="P100" s="26" t="s">
        <v>68</v>
      </c>
      <c r="Q100" s="26" t="s">
        <v>114</v>
      </c>
      <c r="R100" s="23" t="s">
        <v>67</v>
      </c>
      <c r="S100" s="23" t="s">
        <v>67</v>
      </c>
      <c r="T100" s="23" t="s">
        <v>70</v>
      </c>
      <c r="U100" s="26" t="s">
        <v>100</v>
      </c>
      <c r="V100" s="94">
        <v>665742</v>
      </c>
      <c r="W100" s="21">
        <v>11328</v>
      </c>
      <c r="X100" s="21">
        <v>4307</v>
      </c>
      <c r="Y100" s="22">
        <v>885</v>
      </c>
      <c r="Z100" s="22">
        <v>500</v>
      </c>
      <c r="AA100" s="25">
        <v>60463</v>
      </c>
      <c r="AB100" s="25">
        <v>0</v>
      </c>
      <c r="AC100" s="25">
        <f t="shared" si="21"/>
        <v>0</v>
      </c>
      <c r="AD100" s="21">
        <v>25337</v>
      </c>
      <c r="AE100" s="95">
        <f t="shared" si="14"/>
        <v>768562</v>
      </c>
      <c r="AF100" s="21">
        <v>10000</v>
      </c>
      <c r="AG100" s="21">
        <v>15000</v>
      </c>
      <c r="AH100" s="21">
        <v>0</v>
      </c>
      <c r="AI100" s="21">
        <v>1</v>
      </c>
      <c r="AJ100" s="21">
        <v>0</v>
      </c>
      <c r="AK100" s="21">
        <v>0</v>
      </c>
      <c r="AL100" s="21"/>
      <c r="AM100" s="21">
        <v>13061</v>
      </c>
      <c r="AN100" s="27">
        <f t="shared" si="15"/>
        <v>38062</v>
      </c>
      <c r="AO100" s="96">
        <f t="shared" si="16"/>
        <v>730500</v>
      </c>
      <c r="AP100" s="25">
        <v>57000</v>
      </c>
      <c r="AQ100" s="89">
        <v>0</v>
      </c>
      <c r="AR100" s="25">
        <f t="shared" si="17"/>
        <v>57000</v>
      </c>
      <c r="AS100" s="22">
        <v>0</v>
      </c>
      <c r="AT100" s="22">
        <v>0</v>
      </c>
      <c r="AU100" s="15">
        <f t="shared" si="18"/>
        <v>38062</v>
      </c>
      <c r="AV100" s="118">
        <f t="shared" si="19"/>
        <v>787500</v>
      </c>
      <c r="AW100" s="16">
        <f t="shared" si="22"/>
        <v>8950</v>
      </c>
      <c r="AX100" s="23">
        <v>521050</v>
      </c>
      <c r="AY100" s="88" t="str">
        <f t="shared" si="23"/>
        <v>INDUSIND</v>
      </c>
      <c r="AZ100" s="86">
        <v>45435</v>
      </c>
      <c r="BA100" s="13">
        <v>45437</v>
      </c>
      <c r="BB100" s="23">
        <f>106000+49000</f>
        <v>155000</v>
      </c>
      <c r="BC100" s="23">
        <f>54000</f>
        <v>54000</v>
      </c>
      <c r="BD100" s="22">
        <v>0</v>
      </c>
      <c r="BE100" s="22">
        <v>0</v>
      </c>
      <c r="BF100" s="22">
        <v>0</v>
      </c>
      <c r="BG100" s="22">
        <v>0</v>
      </c>
      <c r="BH100" s="18">
        <f>+AV100-AX100-BB100-BC100-BF100+BG100</f>
        <v>57450</v>
      </c>
      <c r="BI100" s="22">
        <v>0</v>
      </c>
      <c r="BJ100" s="97" t="s">
        <v>506</v>
      </c>
      <c r="BK100" s="19"/>
    </row>
    <row r="101" spans="1:63" ht="17.25" customHeight="1" x14ac:dyDescent="0.3">
      <c r="A101" s="11">
        <v>45413</v>
      </c>
      <c r="B101" s="12">
        <v>100</v>
      </c>
      <c r="C101" s="12">
        <v>35</v>
      </c>
      <c r="D101" s="13">
        <v>45436</v>
      </c>
      <c r="E101" s="81" t="s">
        <v>507</v>
      </c>
      <c r="F101" s="21">
        <v>9009584179</v>
      </c>
      <c r="G101" s="24">
        <f t="shared" si="13"/>
        <v>45436</v>
      </c>
      <c r="H101" s="21" t="s">
        <v>508</v>
      </c>
      <c r="I101" s="23" t="s">
        <v>64</v>
      </c>
      <c r="J101" s="21" t="s">
        <v>65</v>
      </c>
      <c r="K101" s="21" t="s">
        <v>66</v>
      </c>
      <c r="L101" s="21">
        <v>1616743</v>
      </c>
      <c r="M101" s="21">
        <v>707766</v>
      </c>
      <c r="N101" s="21" t="s">
        <v>147</v>
      </c>
      <c r="O101" s="25">
        <v>0</v>
      </c>
      <c r="P101" s="26" t="s">
        <v>81</v>
      </c>
      <c r="Q101" s="26" t="s">
        <v>148</v>
      </c>
      <c r="R101" s="23" t="s">
        <v>149</v>
      </c>
      <c r="S101" s="23" t="s">
        <v>147</v>
      </c>
      <c r="T101" s="23" t="s">
        <v>150</v>
      </c>
      <c r="U101" s="26" t="s">
        <v>469</v>
      </c>
      <c r="V101" s="94">
        <v>665742</v>
      </c>
      <c r="W101" s="21">
        <v>11328</v>
      </c>
      <c r="X101" s="21">
        <v>4307</v>
      </c>
      <c r="Y101" s="22">
        <v>885</v>
      </c>
      <c r="Z101" s="22">
        <v>500</v>
      </c>
      <c r="AA101" s="25">
        <v>60463</v>
      </c>
      <c r="AB101" s="25">
        <v>0</v>
      </c>
      <c r="AC101" s="25">
        <f t="shared" si="21"/>
        <v>0</v>
      </c>
      <c r="AD101" s="21">
        <v>25337</v>
      </c>
      <c r="AE101" s="95">
        <f t="shared" si="14"/>
        <v>768562</v>
      </c>
      <c r="AF101" s="21">
        <v>10000</v>
      </c>
      <c r="AG101" s="21">
        <v>15000</v>
      </c>
      <c r="AH101" s="21">
        <f>15000+10000</f>
        <v>25000</v>
      </c>
      <c r="AI101" s="21">
        <v>1</v>
      </c>
      <c r="AJ101" s="21"/>
      <c r="AK101" s="21">
        <v>0</v>
      </c>
      <c r="AL101" s="21"/>
      <c r="AM101" s="21">
        <v>10561</v>
      </c>
      <c r="AN101" s="27">
        <f t="shared" si="15"/>
        <v>60562</v>
      </c>
      <c r="AO101" s="96">
        <f t="shared" si="16"/>
        <v>708000</v>
      </c>
      <c r="AP101" s="25">
        <v>9030</v>
      </c>
      <c r="AQ101" s="89">
        <v>0</v>
      </c>
      <c r="AR101" s="25">
        <f t="shared" si="17"/>
        <v>9030</v>
      </c>
      <c r="AS101" s="22">
        <v>0</v>
      </c>
      <c r="AT101" s="22">
        <v>0</v>
      </c>
      <c r="AU101" s="15">
        <f t="shared" si="18"/>
        <v>60562</v>
      </c>
      <c r="AV101" s="118">
        <f t="shared" si="19"/>
        <v>717030</v>
      </c>
      <c r="AW101" s="16">
        <f t="shared" si="22"/>
        <v>-700000</v>
      </c>
      <c r="AX101" s="23">
        <v>700000</v>
      </c>
      <c r="AY101" s="88" t="str">
        <f t="shared" si="23"/>
        <v>CHEQUE</v>
      </c>
      <c r="AZ101" s="86">
        <v>45436</v>
      </c>
      <c r="BA101" s="13">
        <v>45436</v>
      </c>
      <c r="BB101" s="23">
        <v>6000</v>
      </c>
      <c r="BC101" s="23">
        <f>11000</f>
        <v>11000</v>
      </c>
      <c r="BD101" s="22">
        <v>0</v>
      </c>
      <c r="BE101" s="22">
        <v>0</v>
      </c>
      <c r="BF101" s="22">
        <v>0</v>
      </c>
      <c r="BG101" s="22">
        <v>0</v>
      </c>
      <c r="BH101" s="18">
        <f>+AV101-AX101-BB101-BC101-BF101+BG101</f>
        <v>30</v>
      </c>
      <c r="BI101" s="22" t="s">
        <v>109</v>
      </c>
      <c r="BJ101" s="22" t="s">
        <v>509</v>
      </c>
      <c r="BK101" s="19"/>
    </row>
    <row r="102" spans="1:63" ht="17.25" x14ac:dyDescent="0.3">
      <c r="A102" s="11">
        <v>45413</v>
      </c>
      <c r="B102" s="12">
        <v>101</v>
      </c>
      <c r="C102" s="12">
        <v>36</v>
      </c>
      <c r="D102" s="13">
        <v>45437</v>
      </c>
      <c r="E102" s="98" t="s">
        <v>510</v>
      </c>
      <c r="F102" s="21">
        <v>9285578609</v>
      </c>
      <c r="G102" s="24">
        <f t="shared" si="13"/>
        <v>45437</v>
      </c>
      <c r="H102" s="21" t="s">
        <v>511</v>
      </c>
      <c r="I102" s="23" t="s">
        <v>121</v>
      </c>
      <c r="J102" s="21" t="s">
        <v>452</v>
      </c>
      <c r="K102" s="21" t="s">
        <v>97</v>
      </c>
      <c r="L102" s="21" t="s">
        <v>512</v>
      </c>
      <c r="M102" s="23">
        <v>123378</v>
      </c>
      <c r="N102" s="21" t="s">
        <v>67</v>
      </c>
      <c r="O102" s="25">
        <v>0</v>
      </c>
      <c r="P102" s="26" t="s">
        <v>81</v>
      </c>
      <c r="Q102" s="26" t="s">
        <v>175</v>
      </c>
      <c r="R102" s="26" t="s">
        <v>175</v>
      </c>
      <c r="S102" s="23" t="s">
        <v>67</v>
      </c>
      <c r="T102" s="23" t="s">
        <v>176</v>
      </c>
      <c r="U102" s="26" t="s">
        <v>176</v>
      </c>
      <c r="V102" s="94">
        <v>1992607</v>
      </c>
      <c r="W102" s="21" t="s">
        <v>180</v>
      </c>
      <c r="X102" s="21">
        <v>12968</v>
      </c>
      <c r="Y102" s="22">
        <v>0</v>
      </c>
      <c r="Z102" s="22">
        <v>500</v>
      </c>
      <c r="AA102" s="25">
        <v>201636</v>
      </c>
      <c r="AB102" s="25"/>
      <c r="AC102" s="25">
        <v>18625</v>
      </c>
      <c r="AD102" s="21">
        <v>53157</v>
      </c>
      <c r="AE102" s="95">
        <f t="shared" si="14"/>
        <v>2279493</v>
      </c>
      <c r="AF102" s="21">
        <v>0</v>
      </c>
      <c r="AG102" s="21">
        <v>20000</v>
      </c>
      <c r="AH102" s="21">
        <v>0</v>
      </c>
      <c r="AI102" s="21">
        <v>1</v>
      </c>
      <c r="AJ102" s="21">
        <v>0</v>
      </c>
      <c r="AK102" s="21">
        <v>0</v>
      </c>
      <c r="AL102" s="21">
        <v>110102</v>
      </c>
      <c r="AM102" s="21">
        <v>0</v>
      </c>
      <c r="AN102" s="27">
        <f t="shared" si="15"/>
        <v>130103</v>
      </c>
      <c r="AO102" s="96">
        <f t="shared" si="16"/>
        <v>2149390</v>
      </c>
      <c r="AP102" s="25">
        <v>4000</v>
      </c>
      <c r="AQ102" s="89">
        <v>4000</v>
      </c>
      <c r="AR102" s="25">
        <f t="shared" si="17"/>
        <v>0</v>
      </c>
      <c r="AS102" s="22">
        <v>0</v>
      </c>
      <c r="AT102" s="22">
        <v>0</v>
      </c>
      <c r="AU102" s="15">
        <f t="shared" si="18"/>
        <v>134103</v>
      </c>
      <c r="AV102" s="118">
        <f t="shared" si="19"/>
        <v>2149390</v>
      </c>
      <c r="AW102" s="88" t="str">
        <f>R102</f>
        <v>NMPL</v>
      </c>
      <c r="AX102" s="86">
        <f>D102</f>
        <v>45437</v>
      </c>
      <c r="AY102" s="13">
        <v>45437</v>
      </c>
      <c r="AZ102" s="23">
        <v>0</v>
      </c>
      <c r="BA102" s="23">
        <v>0</v>
      </c>
      <c r="BB102" s="17">
        <v>0</v>
      </c>
      <c r="BC102" s="20" t="s">
        <v>513</v>
      </c>
      <c r="BD102" s="22">
        <v>0</v>
      </c>
      <c r="BE102" s="22">
        <v>0</v>
      </c>
      <c r="BF102" s="18" t="e">
        <f>+#REF!-AV102-AZ102-BA102-BD102+BE102</f>
        <v>#REF!</v>
      </c>
      <c r="BG102" s="22"/>
      <c r="BH102" s="22"/>
      <c r="BI102" s="22"/>
      <c r="BJ102" s="22"/>
      <c r="BK102" s="19"/>
    </row>
    <row r="103" spans="1:63" ht="17.25" x14ac:dyDescent="0.3">
      <c r="A103" s="11">
        <v>45413</v>
      </c>
      <c r="B103" s="12">
        <v>102</v>
      </c>
      <c r="C103" s="12">
        <v>37</v>
      </c>
      <c r="D103" s="13">
        <v>45437</v>
      </c>
      <c r="E103" s="81" t="s">
        <v>514</v>
      </c>
      <c r="F103" s="21">
        <v>9009367866</v>
      </c>
      <c r="G103" s="24">
        <f t="shared" si="13"/>
        <v>45437</v>
      </c>
      <c r="H103" s="21" t="s">
        <v>515</v>
      </c>
      <c r="I103" s="23" t="s">
        <v>64</v>
      </c>
      <c r="J103" s="21" t="s">
        <v>65</v>
      </c>
      <c r="K103" s="21" t="s">
        <v>66</v>
      </c>
      <c r="L103" s="21">
        <v>1628339</v>
      </c>
      <c r="M103" s="21">
        <v>719292</v>
      </c>
      <c r="N103" s="21" t="s">
        <v>147</v>
      </c>
      <c r="O103" s="25">
        <v>400000</v>
      </c>
      <c r="P103" s="26" t="s">
        <v>68</v>
      </c>
      <c r="Q103" s="26" t="s">
        <v>122</v>
      </c>
      <c r="R103" s="23" t="s">
        <v>147</v>
      </c>
      <c r="S103" s="23" t="s">
        <v>147</v>
      </c>
      <c r="T103" s="23" t="s">
        <v>70</v>
      </c>
      <c r="U103" s="26" t="s">
        <v>234</v>
      </c>
      <c r="V103" s="94">
        <v>665742</v>
      </c>
      <c r="W103" s="21">
        <v>11328</v>
      </c>
      <c r="X103" s="21">
        <v>4307</v>
      </c>
      <c r="Y103" s="22">
        <v>885</v>
      </c>
      <c r="Z103" s="22">
        <v>500</v>
      </c>
      <c r="AA103" s="25">
        <v>60463</v>
      </c>
      <c r="AB103" s="25">
        <v>0</v>
      </c>
      <c r="AC103" s="25">
        <f>IF(V103&gt;=1000000,V103*1%,0)</f>
        <v>0</v>
      </c>
      <c r="AD103" s="21">
        <v>27028</v>
      </c>
      <c r="AE103" s="95">
        <f t="shared" si="14"/>
        <v>770253</v>
      </c>
      <c r="AF103" s="21">
        <v>10000</v>
      </c>
      <c r="AG103" s="21">
        <v>15000</v>
      </c>
      <c r="AH103" s="21">
        <v>0</v>
      </c>
      <c r="AI103" s="21">
        <v>1</v>
      </c>
      <c r="AJ103" s="21">
        <v>0</v>
      </c>
      <c r="AK103" s="21">
        <v>0</v>
      </c>
      <c r="AL103" s="21"/>
      <c r="AM103" s="21">
        <v>13252</v>
      </c>
      <c r="AN103" s="27">
        <f t="shared" si="15"/>
        <v>38253</v>
      </c>
      <c r="AO103" s="96">
        <f t="shared" si="16"/>
        <v>732000</v>
      </c>
      <c r="AP103" s="25">
        <v>53570</v>
      </c>
      <c r="AQ103" s="89">
        <v>2570</v>
      </c>
      <c r="AR103" s="25">
        <f t="shared" si="17"/>
        <v>51000</v>
      </c>
      <c r="AS103" s="22">
        <v>0</v>
      </c>
      <c r="AT103" s="22">
        <v>0</v>
      </c>
      <c r="AU103" s="15">
        <f t="shared" si="18"/>
        <v>40823</v>
      </c>
      <c r="AV103" s="118">
        <f t="shared" si="19"/>
        <v>783000</v>
      </c>
      <c r="AW103" s="88" t="str">
        <f t="shared" ref="AW103:AW125" si="24">Q103</f>
        <v>BOI</v>
      </c>
      <c r="AX103" s="86">
        <v>45436</v>
      </c>
      <c r="AY103" s="13">
        <v>45441</v>
      </c>
      <c r="AZ103" s="23">
        <f>50000</f>
        <v>50000</v>
      </c>
      <c r="BA103" s="23">
        <v>0</v>
      </c>
      <c r="BB103" s="17">
        <v>0</v>
      </c>
      <c r="BC103" s="20" t="s">
        <v>86</v>
      </c>
      <c r="BD103" s="22">
        <v>0</v>
      </c>
      <c r="BE103" s="22">
        <v>0</v>
      </c>
      <c r="BF103" s="18" t="e">
        <f>+#REF!-AV103-AZ103-BA103-BD103+BE103</f>
        <v>#REF!</v>
      </c>
      <c r="BG103" s="22" t="s">
        <v>109</v>
      </c>
      <c r="BH103" s="22" t="s">
        <v>516</v>
      </c>
      <c r="BI103" s="22"/>
      <c r="BJ103" s="22">
        <v>0</v>
      </c>
      <c r="BK103" s="19"/>
    </row>
    <row r="104" spans="1:63" ht="17.25" x14ac:dyDescent="0.3">
      <c r="A104" s="11">
        <v>45413</v>
      </c>
      <c r="B104" s="12">
        <v>103</v>
      </c>
      <c r="C104" s="12">
        <v>38</v>
      </c>
      <c r="D104" s="13">
        <v>45438</v>
      </c>
      <c r="E104" s="81" t="s">
        <v>517</v>
      </c>
      <c r="F104" s="21">
        <v>9575615615</v>
      </c>
      <c r="G104" s="24">
        <f t="shared" si="13"/>
        <v>45438</v>
      </c>
      <c r="H104" s="21" t="s">
        <v>518</v>
      </c>
      <c r="I104" s="23" t="s">
        <v>78</v>
      </c>
      <c r="J104" s="21" t="s">
        <v>89</v>
      </c>
      <c r="K104" s="21" t="s">
        <v>66</v>
      </c>
      <c r="L104" s="21">
        <v>7469433</v>
      </c>
      <c r="M104" s="21">
        <v>242043</v>
      </c>
      <c r="N104" s="21" t="s">
        <v>80</v>
      </c>
      <c r="O104" s="25">
        <v>640000</v>
      </c>
      <c r="P104" s="26" t="s">
        <v>68</v>
      </c>
      <c r="Q104" s="26" t="s">
        <v>179</v>
      </c>
      <c r="R104" s="23" t="s">
        <v>80</v>
      </c>
      <c r="S104" s="23" t="s">
        <v>80</v>
      </c>
      <c r="T104" s="23" t="s">
        <v>84</v>
      </c>
      <c r="U104" s="26" t="s">
        <v>366</v>
      </c>
      <c r="V104" s="94">
        <v>837242</v>
      </c>
      <c r="W104" s="21">
        <v>14231</v>
      </c>
      <c r="X104" s="21">
        <v>0</v>
      </c>
      <c r="Y104" s="22">
        <v>885</v>
      </c>
      <c r="Z104" s="22">
        <v>0</v>
      </c>
      <c r="AA104" s="25">
        <v>74183</v>
      </c>
      <c r="AB104" s="25">
        <v>0</v>
      </c>
      <c r="AC104" s="25">
        <f>IF(V104&gt;=1000000,V104*1%,0)</f>
        <v>0</v>
      </c>
      <c r="AD104" s="21">
        <v>27509</v>
      </c>
      <c r="AE104" s="95">
        <f t="shared" si="14"/>
        <v>954050</v>
      </c>
      <c r="AF104" s="21">
        <v>0</v>
      </c>
      <c r="AG104" s="21">
        <v>15000</v>
      </c>
      <c r="AH104" s="21">
        <v>0</v>
      </c>
      <c r="AI104" s="21">
        <v>1</v>
      </c>
      <c r="AJ104" s="21">
        <v>0</v>
      </c>
      <c r="AK104" s="21">
        <v>0</v>
      </c>
      <c r="AL104" s="21"/>
      <c r="AM104" s="21">
        <v>4249</v>
      </c>
      <c r="AN104" s="27">
        <f t="shared" si="15"/>
        <v>19250</v>
      </c>
      <c r="AO104" s="96">
        <f t="shared" si="16"/>
        <v>934800</v>
      </c>
      <c r="AP104" s="25">
        <v>24400</v>
      </c>
      <c r="AQ104" s="89">
        <v>200</v>
      </c>
      <c r="AR104" s="25">
        <f t="shared" si="17"/>
        <v>24200</v>
      </c>
      <c r="AS104" s="22">
        <v>0</v>
      </c>
      <c r="AT104" s="22">
        <v>0</v>
      </c>
      <c r="AU104" s="15">
        <f t="shared" si="18"/>
        <v>19450</v>
      </c>
      <c r="AV104" s="118">
        <f t="shared" si="19"/>
        <v>959000</v>
      </c>
      <c r="AW104" s="88" t="str">
        <f t="shared" si="24"/>
        <v>MAHINDRA</v>
      </c>
      <c r="AX104" s="86">
        <v>45438</v>
      </c>
      <c r="AY104" s="13"/>
      <c r="AZ104" s="23">
        <v>190000</v>
      </c>
      <c r="BA104" s="23">
        <f>10000+20000+30000+20000+30000+23100</f>
        <v>133100</v>
      </c>
      <c r="BB104" s="17">
        <v>145693182</v>
      </c>
      <c r="BC104" s="20" t="s">
        <v>72</v>
      </c>
      <c r="BD104" s="22">
        <v>0</v>
      </c>
      <c r="BE104" s="22">
        <v>0</v>
      </c>
      <c r="BF104" s="18" t="e">
        <f>+#REF!-AV104-AZ104-BA104-BD104+BE104</f>
        <v>#REF!</v>
      </c>
      <c r="BG104" s="22" t="s">
        <v>519</v>
      </c>
      <c r="BH104" s="22"/>
      <c r="BI104" s="22"/>
      <c r="BJ104" s="22">
        <v>0</v>
      </c>
      <c r="BK104" s="19"/>
    </row>
    <row r="105" spans="1:63" ht="17.25" x14ac:dyDescent="0.3">
      <c r="A105" s="11">
        <v>45413</v>
      </c>
      <c r="B105" s="12">
        <v>104</v>
      </c>
      <c r="C105" s="12">
        <v>39</v>
      </c>
      <c r="D105" s="13">
        <v>45438</v>
      </c>
      <c r="E105" s="81" t="s">
        <v>520</v>
      </c>
      <c r="F105" s="21">
        <v>9806891011</v>
      </c>
      <c r="G105" s="24">
        <f t="shared" si="13"/>
        <v>45438</v>
      </c>
      <c r="H105" s="21" t="s">
        <v>521</v>
      </c>
      <c r="I105" s="23" t="s">
        <v>162</v>
      </c>
      <c r="J105" s="21" t="s">
        <v>113</v>
      </c>
      <c r="K105" s="21" t="s">
        <v>66</v>
      </c>
      <c r="L105" s="21">
        <v>9444603</v>
      </c>
      <c r="M105" s="21">
        <v>369814</v>
      </c>
      <c r="N105" s="21" t="s">
        <v>105</v>
      </c>
      <c r="O105" s="25">
        <v>1055000</v>
      </c>
      <c r="P105" s="26" t="s">
        <v>68</v>
      </c>
      <c r="Q105" s="26" t="s">
        <v>179</v>
      </c>
      <c r="R105" s="23" t="s">
        <v>105</v>
      </c>
      <c r="S105" s="23" t="s">
        <v>105</v>
      </c>
      <c r="T105" s="23" t="s">
        <v>107</v>
      </c>
      <c r="U105" s="26" t="s">
        <v>359</v>
      </c>
      <c r="V105" s="94">
        <v>1161000</v>
      </c>
      <c r="W105" s="21">
        <v>19730</v>
      </c>
      <c r="X105" s="21">
        <v>7505</v>
      </c>
      <c r="Y105" s="22">
        <v>885</v>
      </c>
      <c r="Z105" s="22">
        <v>500</v>
      </c>
      <c r="AA105" s="25">
        <v>123300</v>
      </c>
      <c r="AB105" s="25">
        <v>0</v>
      </c>
      <c r="AC105" s="25">
        <v>11471</v>
      </c>
      <c r="AD105" s="21">
        <v>35737</v>
      </c>
      <c r="AE105" s="95">
        <f t="shared" si="14"/>
        <v>1360128</v>
      </c>
      <c r="AF105" s="21">
        <v>0</v>
      </c>
      <c r="AG105" s="21">
        <v>0</v>
      </c>
      <c r="AH105" s="21">
        <v>0</v>
      </c>
      <c r="AI105" s="21">
        <v>0</v>
      </c>
      <c r="AJ105" s="21">
        <v>0</v>
      </c>
      <c r="AK105" s="21">
        <v>0</v>
      </c>
      <c r="AL105" s="21"/>
      <c r="AM105" s="21">
        <v>13867</v>
      </c>
      <c r="AN105" s="27">
        <f t="shared" si="15"/>
        <v>13867</v>
      </c>
      <c r="AO105" s="96">
        <f t="shared" si="16"/>
        <v>1346261</v>
      </c>
      <c r="AP105" s="25">
        <v>22500</v>
      </c>
      <c r="AQ105" s="89">
        <v>261</v>
      </c>
      <c r="AR105" s="25">
        <f t="shared" si="17"/>
        <v>22239</v>
      </c>
      <c r="AS105" s="22">
        <v>0</v>
      </c>
      <c r="AT105" s="22">
        <v>0</v>
      </c>
      <c r="AU105" s="15">
        <f t="shared" si="18"/>
        <v>14128</v>
      </c>
      <c r="AV105" s="118">
        <f t="shared" si="19"/>
        <v>1368500</v>
      </c>
      <c r="AW105" s="88" t="str">
        <f t="shared" si="24"/>
        <v>MAHINDRA</v>
      </c>
      <c r="AX105" s="86">
        <v>45438</v>
      </c>
      <c r="AY105" s="13"/>
      <c r="AZ105" s="23">
        <v>207000</v>
      </c>
      <c r="BA105" s="23">
        <f>11000+60000+10000</f>
        <v>81000</v>
      </c>
      <c r="BB105" s="17">
        <v>0</v>
      </c>
      <c r="BC105" s="20" t="s">
        <v>72</v>
      </c>
      <c r="BD105" s="22">
        <v>0</v>
      </c>
      <c r="BE105" s="22">
        <v>0</v>
      </c>
      <c r="BF105" s="18" t="e">
        <f>+#REF!-AV105-AZ105-BA105-BD105+BE105</f>
        <v>#REF!</v>
      </c>
      <c r="BG105" s="22" t="s">
        <v>522</v>
      </c>
      <c r="BH105" s="22"/>
      <c r="BI105" s="22"/>
      <c r="BJ105" s="22">
        <v>0</v>
      </c>
      <c r="BK105" s="19"/>
    </row>
    <row r="106" spans="1:63" ht="17.25" x14ac:dyDescent="0.3">
      <c r="A106" s="11">
        <v>45413</v>
      </c>
      <c r="B106" s="12">
        <v>105</v>
      </c>
      <c r="C106" s="12">
        <v>40</v>
      </c>
      <c r="D106" s="13">
        <v>45439</v>
      </c>
      <c r="E106" s="81" t="s">
        <v>523</v>
      </c>
      <c r="F106" s="21">
        <v>8770033429</v>
      </c>
      <c r="G106" s="24">
        <f t="shared" si="13"/>
        <v>45439</v>
      </c>
      <c r="H106" s="21"/>
      <c r="I106" s="23" t="s">
        <v>64</v>
      </c>
      <c r="J106" s="21" t="s">
        <v>104</v>
      </c>
      <c r="K106" s="21" t="s">
        <v>97</v>
      </c>
      <c r="L106" s="21">
        <v>4446703</v>
      </c>
      <c r="M106" s="21">
        <v>727447</v>
      </c>
      <c r="N106" s="21" t="s">
        <v>99</v>
      </c>
      <c r="O106" s="25">
        <v>700000</v>
      </c>
      <c r="P106" s="26" t="s">
        <v>68</v>
      </c>
      <c r="Q106" s="26" t="s">
        <v>191</v>
      </c>
      <c r="R106" s="23" t="s">
        <v>524</v>
      </c>
      <c r="S106" s="23" t="s">
        <v>80</v>
      </c>
      <c r="T106" s="23" t="s">
        <v>165</v>
      </c>
      <c r="U106" s="26" t="s">
        <v>525</v>
      </c>
      <c r="V106" s="94">
        <v>839742</v>
      </c>
      <c r="W106" s="21">
        <v>14278</v>
      </c>
      <c r="X106" s="21">
        <v>5428</v>
      </c>
      <c r="Y106" s="22">
        <v>885</v>
      </c>
      <c r="Z106" s="22">
        <v>0</v>
      </c>
      <c r="AA106" s="25">
        <v>74383</v>
      </c>
      <c r="AB106" s="25">
        <v>0</v>
      </c>
      <c r="AC106" s="25">
        <f>IF(V106&gt;=1000000,V106*1%,0)</f>
        <v>0</v>
      </c>
      <c r="AD106" s="21">
        <v>29578</v>
      </c>
      <c r="AE106" s="95">
        <f t="shared" si="14"/>
        <v>964294</v>
      </c>
      <c r="AF106" s="21">
        <v>0</v>
      </c>
      <c r="AG106" s="21">
        <v>10000</v>
      </c>
      <c r="AH106" s="21">
        <v>12194</v>
      </c>
      <c r="AI106" s="21">
        <v>0</v>
      </c>
      <c r="AJ106" s="21">
        <v>2100</v>
      </c>
      <c r="AK106" s="21">
        <v>0</v>
      </c>
      <c r="AL106" s="21"/>
      <c r="AM106" s="21">
        <v>0</v>
      </c>
      <c r="AN106" s="27">
        <f t="shared" si="15"/>
        <v>24294</v>
      </c>
      <c r="AO106" s="96">
        <f t="shared" si="16"/>
        <v>940000</v>
      </c>
      <c r="AP106" s="25">
        <v>39000</v>
      </c>
      <c r="AQ106" s="89">
        <v>0</v>
      </c>
      <c r="AR106" s="25">
        <f t="shared" si="17"/>
        <v>39000</v>
      </c>
      <c r="AS106" s="22">
        <v>0</v>
      </c>
      <c r="AT106" s="22">
        <v>0</v>
      </c>
      <c r="AU106" s="15">
        <f t="shared" si="18"/>
        <v>24294</v>
      </c>
      <c r="AV106" s="118">
        <f t="shared" si="19"/>
        <v>979000</v>
      </c>
      <c r="AW106" s="88" t="str">
        <f t="shared" si="24"/>
        <v>SBI</v>
      </c>
      <c r="AX106" s="86">
        <v>45439</v>
      </c>
      <c r="AY106" s="13">
        <v>45442</v>
      </c>
      <c r="AZ106" s="23">
        <f>18000</f>
        <v>18000</v>
      </c>
      <c r="BA106" s="23">
        <f>250000</f>
        <v>250000</v>
      </c>
      <c r="BB106" s="20">
        <v>28281657</v>
      </c>
      <c r="BC106" s="20" t="s">
        <v>412</v>
      </c>
      <c r="BD106" s="22">
        <v>0</v>
      </c>
      <c r="BE106" s="22">
        <v>0</v>
      </c>
      <c r="BF106" s="18" t="e">
        <f>+#REF!-AV106-AZ106-BA106-BD106+BE106</f>
        <v>#REF!</v>
      </c>
      <c r="BG106" s="22" t="s">
        <v>526</v>
      </c>
      <c r="BH106" s="22"/>
      <c r="BI106" s="22"/>
      <c r="BJ106" s="22">
        <v>0</v>
      </c>
      <c r="BK106" s="19"/>
    </row>
    <row r="107" spans="1:63" ht="17.25" x14ac:dyDescent="0.3">
      <c r="A107" s="11">
        <v>45413</v>
      </c>
      <c r="B107" s="12">
        <v>106</v>
      </c>
      <c r="C107" s="12">
        <v>41</v>
      </c>
      <c r="D107" s="13">
        <v>45439</v>
      </c>
      <c r="E107" s="81" t="s">
        <v>527</v>
      </c>
      <c r="F107" s="21">
        <v>9752905062</v>
      </c>
      <c r="G107" s="24">
        <f t="shared" si="13"/>
        <v>45439</v>
      </c>
      <c r="H107" s="21" t="s">
        <v>528</v>
      </c>
      <c r="I107" s="23" t="s">
        <v>64</v>
      </c>
      <c r="J107" s="21" t="s">
        <v>65</v>
      </c>
      <c r="K107" s="21" t="s">
        <v>199</v>
      </c>
      <c r="L107" s="21">
        <v>4438465</v>
      </c>
      <c r="M107" s="21">
        <v>714080</v>
      </c>
      <c r="N107" s="21" t="s">
        <v>80</v>
      </c>
      <c r="O107" s="25">
        <v>0</v>
      </c>
      <c r="P107" s="26" t="s">
        <v>81</v>
      </c>
      <c r="Q107" s="26" t="s">
        <v>148</v>
      </c>
      <c r="R107" s="23" t="s">
        <v>149</v>
      </c>
      <c r="S107" s="23" t="s">
        <v>80</v>
      </c>
      <c r="T107" s="23" t="s">
        <v>84</v>
      </c>
      <c r="U107" s="26" t="s">
        <v>85</v>
      </c>
      <c r="V107" s="94">
        <v>665742</v>
      </c>
      <c r="W107" s="21">
        <v>11328</v>
      </c>
      <c r="X107" s="21">
        <v>4307</v>
      </c>
      <c r="Y107" s="22" t="s">
        <v>180</v>
      </c>
      <c r="Z107" s="22">
        <v>0</v>
      </c>
      <c r="AA107" s="25">
        <v>60463</v>
      </c>
      <c r="AB107" s="25">
        <v>0</v>
      </c>
      <c r="AC107" s="25">
        <f>IF(V107&gt;=1000000,V107*1%,0)</f>
        <v>0</v>
      </c>
      <c r="AD107" s="21">
        <v>25337</v>
      </c>
      <c r="AE107" s="95">
        <f t="shared" si="14"/>
        <v>767177</v>
      </c>
      <c r="AF107" s="21">
        <v>10000</v>
      </c>
      <c r="AG107" s="21">
        <v>15000</v>
      </c>
      <c r="AH107" s="21">
        <v>11607</v>
      </c>
      <c r="AI107" s="21">
        <v>5000</v>
      </c>
      <c r="AJ107" s="21">
        <v>0</v>
      </c>
      <c r="AK107" s="21">
        <v>0</v>
      </c>
      <c r="AL107" s="21"/>
      <c r="AM107" s="21">
        <v>0</v>
      </c>
      <c r="AN107" s="27">
        <f t="shared" si="15"/>
        <v>41607</v>
      </c>
      <c r="AO107" s="96">
        <f t="shared" si="16"/>
        <v>725570</v>
      </c>
      <c r="AP107" s="25">
        <v>39100</v>
      </c>
      <c r="AQ107" s="89">
        <v>200</v>
      </c>
      <c r="AR107" s="25">
        <f t="shared" si="17"/>
        <v>38900</v>
      </c>
      <c r="AS107" s="22">
        <v>0</v>
      </c>
      <c r="AT107" s="22">
        <v>0</v>
      </c>
      <c r="AU107" s="15">
        <f t="shared" si="18"/>
        <v>41807</v>
      </c>
      <c r="AV107" s="118">
        <f t="shared" si="19"/>
        <v>764470</v>
      </c>
      <c r="AW107" s="88" t="str">
        <f t="shared" si="24"/>
        <v>CHEQUE</v>
      </c>
      <c r="AX107" s="86">
        <v>45439</v>
      </c>
      <c r="AY107" s="13">
        <v>45440</v>
      </c>
      <c r="AZ107" s="23">
        <f>135000</f>
        <v>135000</v>
      </c>
      <c r="BA107" s="23">
        <f>5000+68000</f>
        <v>73000</v>
      </c>
      <c r="BB107" s="17">
        <v>0</v>
      </c>
      <c r="BC107" s="20" t="s">
        <v>149</v>
      </c>
      <c r="BD107" s="22">
        <v>0</v>
      </c>
      <c r="BE107" s="22">
        <v>0</v>
      </c>
      <c r="BF107" s="18" t="e">
        <f>+#REF!-AV107-AZ107-BA107-BD107+BE107</f>
        <v>#REF!</v>
      </c>
      <c r="BG107" s="22" t="s">
        <v>529</v>
      </c>
      <c r="BH107" s="22"/>
      <c r="BI107" s="22"/>
      <c r="BJ107" s="22">
        <v>0</v>
      </c>
      <c r="BK107" s="19"/>
    </row>
    <row r="108" spans="1:63" ht="17.25" x14ac:dyDescent="0.3">
      <c r="A108" s="11">
        <v>45413</v>
      </c>
      <c r="B108" s="12">
        <v>107</v>
      </c>
      <c r="C108" s="12">
        <v>42</v>
      </c>
      <c r="D108" s="13">
        <v>45440</v>
      </c>
      <c r="E108" s="81" t="s">
        <v>530</v>
      </c>
      <c r="F108" s="21">
        <v>7879204931</v>
      </c>
      <c r="G108" s="24">
        <f t="shared" si="13"/>
        <v>45440</v>
      </c>
      <c r="H108" s="21" t="s">
        <v>531</v>
      </c>
      <c r="I108" s="23" t="s">
        <v>64</v>
      </c>
      <c r="J108" s="21" t="s">
        <v>65</v>
      </c>
      <c r="K108" s="21" t="s">
        <v>66</v>
      </c>
      <c r="L108" s="21">
        <v>4434117</v>
      </c>
      <c r="M108" s="21">
        <v>705897</v>
      </c>
      <c r="N108" s="21" t="s">
        <v>106</v>
      </c>
      <c r="O108" s="25">
        <v>697000</v>
      </c>
      <c r="P108" s="26" t="s">
        <v>81</v>
      </c>
      <c r="Q108" s="26" t="s">
        <v>532</v>
      </c>
      <c r="R108" s="23" t="s">
        <v>123</v>
      </c>
      <c r="S108" s="23" t="s">
        <v>106</v>
      </c>
      <c r="T108" s="23" t="s">
        <v>124</v>
      </c>
      <c r="U108" s="26" t="s">
        <v>125</v>
      </c>
      <c r="V108" s="94">
        <v>665742</v>
      </c>
      <c r="W108" s="21">
        <v>0</v>
      </c>
      <c r="X108" s="21">
        <v>0</v>
      </c>
      <c r="Y108" s="22">
        <v>885</v>
      </c>
      <c r="Z108" s="22">
        <v>0</v>
      </c>
      <c r="AA108" s="25">
        <v>60463</v>
      </c>
      <c r="AB108" s="25">
        <v>0</v>
      </c>
      <c r="AC108" s="25">
        <f>IF(V108&gt;=1000000,V108*1%,0)</f>
        <v>0</v>
      </c>
      <c r="AD108" s="21">
        <v>25337</v>
      </c>
      <c r="AE108" s="95">
        <f t="shared" si="14"/>
        <v>752427</v>
      </c>
      <c r="AF108" s="21">
        <v>10000</v>
      </c>
      <c r="AG108" s="21">
        <v>15000</v>
      </c>
      <c r="AH108" s="21">
        <v>0</v>
      </c>
      <c r="AI108" s="21">
        <v>1</v>
      </c>
      <c r="AJ108" s="21">
        <v>0</v>
      </c>
      <c r="AK108" s="21">
        <v>0</v>
      </c>
      <c r="AL108" s="21"/>
      <c r="AM108" s="21">
        <v>23026</v>
      </c>
      <c r="AN108" s="27">
        <f t="shared" si="15"/>
        <v>48027</v>
      </c>
      <c r="AO108" s="96">
        <f t="shared" si="16"/>
        <v>704400</v>
      </c>
      <c r="AP108" s="25">
        <v>19780</v>
      </c>
      <c r="AQ108" s="89">
        <v>0</v>
      </c>
      <c r="AR108" s="25">
        <f t="shared" si="17"/>
        <v>19780</v>
      </c>
      <c r="AS108" s="22">
        <v>0</v>
      </c>
      <c r="AT108" s="22">
        <v>0</v>
      </c>
      <c r="AU108" s="15">
        <f t="shared" si="18"/>
        <v>48027</v>
      </c>
      <c r="AV108" s="118">
        <f t="shared" si="19"/>
        <v>724180</v>
      </c>
      <c r="AW108" s="88" t="str">
        <f t="shared" si="24"/>
        <v>SHRIRAM FIN</v>
      </c>
      <c r="AX108" s="86">
        <v>45440</v>
      </c>
      <c r="AY108" s="13">
        <v>45442</v>
      </c>
      <c r="AZ108" s="23">
        <v>0</v>
      </c>
      <c r="BA108" s="23">
        <f>5000+40000+19000</f>
        <v>64000</v>
      </c>
      <c r="BB108" s="17">
        <v>0</v>
      </c>
      <c r="BC108" s="20" t="s">
        <v>93</v>
      </c>
      <c r="BD108" s="22">
        <v>0</v>
      </c>
      <c r="BE108" s="22">
        <v>0</v>
      </c>
      <c r="BF108" s="18" t="e">
        <f>+#REF!-AV108-AZ108-BA108-BD108+BE108</f>
        <v>#REF!</v>
      </c>
      <c r="BG108" s="22" t="s">
        <v>109</v>
      </c>
      <c r="BH108" s="22"/>
      <c r="BI108" s="22"/>
      <c r="BJ108" s="22">
        <v>0</v>
      </c>
      <c r="BK108" s="19"/>
    </row>
    <row r="109" spans="1:63" ht="17.25" x14ac:dyDescent="0.3">
      <c r="A109" s="11">
        <v>45413</v>
      </c>
      <c r="B109" s="12">
        <v>108</v>
      </c>
      <c r="C109" s="12">
        <v>43</v>
      </c>
      <c r="D109" s="13">
        <v>45441</v>
      </c>
      <c r="E109" s="81" t="s">
        <v>533</v>
      </c>
      <c r="F109" s="21">
        <v>7692914340</v>
      </c>
      <c r="G109" s="24">
        <f t="shared" si="13"/>
        <v>45441</v>
      </c>
      <c r="H109" s="21" t="s">
        <v>534</v>
      </c>
      <c r="I109" s="23" t="s">
        <v>78</v>
      </c>
      <c r="J109" s="21" t="s">
        <v>478</v>
      </c>
      <c r="K109" s="21" t="s">
        <v>199</v>
      </c>
      <c r="L109" s="21">
        <v>7465324</v>
      </c>
      <c r="M109" s="21">
        <v>239293</v>
      </c>
      <c r="N109" s="21" t="s">
        <v>147</v>
      </c>
      <c r="O109" s="25">
        <v>500000</v>
      </c>
      <c r="P109" s="26" t="s">
        <v>68</v>
      </c>
      <c r="Q109" s="26" t="s">
        <v>191</v>
      </c>
      <c r="R109" s="23" t="s">
        <v>535</v>
      </c>
      <c r="S109" s="23" t="s">
        <v>67</v>
      </c>
      <c r="T109" s="23" t="s">
        <v>150</v>
      </c>
      <c r="U109" s="26" t="s">
        <v>332</v>
      </c>
      <c r="V109" s="94">
        <v>877242</v>
      </c>
      <c r="W109" s="21">
        <v>14915</v>
      </c>
      <c r="X109" s="21">
        <v>0</v>
      </c>
      <c r="Y109" s="22">
        <v>885</v>
      </c>
      <c r="Z109" s="22">
        <v>500</v>
      </c>
      <c r="AA109" s="25">
        <v>77383</v>
      </c>
      <c r="AB109" s="25">
        <v>0</v>
      </c>
      <c r="AC109" s="25">
        <f>IF(V109&gt;=1000000,V109*1%,0)</f>
        <v>0</v>
      </c>
      <c r="AD109" s="21">
        <v>28124</v>
      </c>
      <c r="AE109" s="95">
        <f t="shared" si="14"/>
        <v>999049</v>
      </c>
      <c r="AF109" s="21">
        <v>0</v>
      </c>
      <c r="AG109" s="21">
        <v>15000</v>
      </c>
      <c r="AH109" s="21">
        <v>0</v>
      </c>
      <c r="AI109" s="21">
        <v>0</v>
      </c>
      <c r="AJ109" s="21">
        <v>0</v>
      </c>
      <c r="AK109" s="21">
        <v>0</v>
      </c>
      <c r="AL109" s="21"/>
      <c r="AM109" s="21">
        <v>18999</v>
      </c>
      <c r="AN109" s="27">
        <f t="shared" si="15"/>
        <v>33999</v>
      </c>
      <c r="AO109" s="96">
        <f t="shared" si="16"/>
        <v>965050</v>
      </c>
      <c r="AP109" s="25">
        <v>16050</v>
      </c>
      <c r="AQ109" s="89">
        <v>0</v>
      </c>
      <c r="AR109" s="25">
        <f t="shared" si="17"/>
        <v>16050</v>
      </c>
      <c r="AS109" s="22">
        <v>0</v>
      </c>
      <c r="AT109" s="22">
        <v>17000</v>
      </c>
      <c r="AU109" s="15">
        <f t="shared" si="18"/>
        <v>33999</v>
      </c>
      <c r="AV109" s="118">
        <f t="shared" si="19"/>
        <v>998100</v>
      </c>
      <c r="AW109" s="88" t="str">
        <f t="shared" si="24"/>
        <v>SBI</v>
      </c>
      <c r="AX109" s="86">
        <v>45439</v>
      </c>
      <c r="AY109" s="13">
        <v>45440</v>
      </c>
      <c r="AZ109" s="23">
        <f>190000</f>
        <v>190000</v>
      </c>
      <c r="BA109" s="23">
        <f>5000+270000+16050</f>
        <v>291050</v>
      </c>
      <c r="BB109" s="17">
        <v>28274016</v>
      </c>
      <c r="BC109" s="20" t="s">
        <v>72</v>
      </c>
      <c r="BD109" s="22">
        <v>0</v>
      </c>
      <c r="BE109" s="22">
        <v>0</v>
      </c>
      <c r="BF109" s="18" t="e">
        <f>+#REF!-AV109-AZ109-BA109-BD109+BE109</f>
        <v>#REF!</v>
      </c>
      <c r="BG109" s="22" t="s">
        <v>536</v>
      </c>
      <c r="BH109" s="22" t="s">
        <v>537</v>
      </c>
      <c r="BI109" s="22"/>
      <c r="BJ109" s="22">
        <v>0</v>
      </c>
      <c r="BK109" s="19"/>
    </row>
    <row r="110" spans="1:63" ht="17.25" x14ac:dyDescent="0.3">
      <c r="A110" s="11">
        <v>45413</v>
      </c>
      <c r="B110" s="12">
        <v>109</v>
      </c>
      <c r="C110" s="12">
        <v>44</v>
      </c>
      <c r="D110" s="13">
        <v>45441</v>
      </c>
      <c r="E110" s="81" t="s">
        <v>538</v>
      </c>
      <c r="F110" s="21">
        <v>8959235558</v>
      </c>
      <c r="G110" s="24">
        <f t="shared" si="13"/>
        <v>45441</v>
      </c>
      <c r="H110" s="21" t="s">
        <v>539</v>
      </c>
      <c r="I110" s="23" t="s">
        <v>64</v>
      </c>
      <c r="J110" s="21" t="s">
        <v>104</v>
      </c>
      <c r="K110" s="21" t="s">
        <v>97</v>
      </c>
      <c r="L110" s="21">
        <v>4443565</v>
      </c>
      <c r="M110" s="21">
        <v>722381</v>
      </c>
      <c r="N110" s="21" t="s">
        <v>67</v>
      </c>
      <c r="O110" s="25">
        <v>0</v>
      </c>
      <c r="P110" s="26" t="s">
        <v>81</v>
      </c>
      <c r="Q110" s="26" t="s">
        <v>148</v>
      </c>
      <c r="R110" s="23" t="s">
        <v>149</v>
      </c>
      <c r="S110" s="23" t="s">
        <v>67</v>
      </c>
      <c r="T110" s="23" t="s">
        <v>115</v>
      </c>
      <c r="U110" s="26" t="s">
        <v>187</v>
      </c>
      <c r="V110" s="94">
        <v>839742</v>
      </c>
      <c r="W110" s="21">
        <v>14278</v>
      </c>
      <c r="X110" s="21">
        <v>0</v>
      </c>
      <c r="Y110" s="22">
        <v>885</v>
      </c>
      <c r="Z110" s="22">
        <v>500</v>
      </c>
      <c r="AA110" s="25">
        <v>74383</v>
      </c>
      <c r="AB110" s="25">
        <v>0</v>
      </c>
      <c r="AC110" s="25">
        <f>IF(V110&gt;=1000000,V110*1%,0)</f>
        <v>0</v>
      </c>
      <c r="AD110" s="21">
        <v>28842</v>
      </c>
      <c r="AE110" s="95">
        <f t="shared" si="14"/>
        <v>958630</v>
      </c>
      <c r="AF110" s="21">
        <v>0</v>
      </c>
      <c r="AG110" s="21">
        <v>10000</v>
      </c>
      <c r="AH110" s="21">
        <v>0</v>
      </c>
      <c r="AI110" s="21">
        <v>0</v>
      </c>
      <c r="AJ110" s="21">
        <v>0</v>
      </c>
      <c r="AK110" s="21">
        <v>0</v>
      </c>
      <c r="AL110" s="21"/>
      <c r="AM110" s="21">
        <v>8630</v>
      </c>
      <c r="AN110" s="27">
        <f t="shared" si="15"/>
        <v>18630</v>
      </c>
      <c r="AO110" s="96">
        <f t="shared" si="16"/>
        <v>940000</v>
      </c>
      <c r="AP110" s="25">
        <v>44338</v>
      </c>
      <c r="AQ110" s="89">
        <v>0</v>
      </c>
      <c r="AR110" s="25">
        <f t="shared" si="17"/>
        <v>44338</v>
      </c>
      <c r="AS110" s="22">
        <v>0</v>
      </c>
      <c r="AT110" s="22">
        <v>0</v>
      </c>
      <c r="AU110" s="15">
        <f t="shared" si="18"/>
        <v>18630</v>
      </c>
      <c r="AV110" s="118">
        <f t="shared" si="19"/>
        <v>984338</v>
      </c>
      <c r="AW110" s="88" t="str">
        <f t="shared" si="24"/>
        <v>CHEQUE</v>
      </c>
      <c r="AX110" s="86" t="s">
        <v>540</v>
      </c>
      <c r="AY110" s="13">
        <v>45443</v>
      </c>
      <c r="AZ110" s="23">
        <v>195000</v>
      </c>
      <c r="BA110" s="23">
        <v>254000</v>
      </c>
      <c r="BB110" s="17">
        <v>0</v>
      </c>
      <c r="BC110" s="20" t="s">
        <v>149</v>
      </c>
      <c r="BD110" s="22">
        <v>0</v>
      </c>
      <c r="BE110" s="22">
        <v>0</v>
      </c>
      <c r="BF110" s="18" t="e">
        <f>+#REF!-AV110-AZ110-BA110-BD110+BE110</f>
        <v>#REF!</v>
      </c>
      <c r="BG110" s="22" t="s">
        <v>541</v>
      </c>
      <c r="BH110" s="22"/>
      <c r="BI110" s="22"/>
      <c r="BJ110" s="22">
        <v>0</v>
      </c>
      <c r="BK110" s="19"/>
    </row>
    <row r="111" spans="1:63" ht="17.25" x14ac:dyDescent="0.3">
      <c r="A111" s="11">
        <v>45413</v>
      </c>
      <c r="B111" s="12">
        <v>110</v>
      </c>
      <c r="C111" s="12">
        <v>45</v>
      </c>
      <c r="D111" s="13">
        <v>45441</v>
      </c>
      <c r="E111" s="81" t="s">
        <v>542</v>
      </c>
      <c r="F111" s="21">
        <v>9826989798</v>
      </c>
      <c r="G111" s="24">
        <f t="shared" si="13"/>
        <v>45441</v>
      </c>
      <c r="H111" s="21" t="s">
        <v>543</v>
      </c>
      <c r="I111" s="23" t="s">
        <v>162</v>
      </c>
      <c r="J111" s="21" t="s">
        <v>135</v>
      </c>
      <c r="K111" s="21" t="s">
        <v>66</v>
      </c>
      <c r="L111" s="21">
        <v>9506392</v>
      </c>
      <c r="M111" s="21">
        <v>378874</v>
      </c>
      <c r="N111" s="21" t="s">
        <v>67</v>
      </c>
      <c r="O111" s="25">
        <v>1100000</v>
      </c>
      <c r="P111" s="26" t="s">
        <v>68</v>
      </c>
      <c r="Q111" s="26" t="s">
        <v>388</v>
      </c>
      <c r="R111" s="23" t="s">
        <v>67</v>
      </c>
      <c r="S111" s="23" t="s">
        <v>67</v>
      </c>
      <c r="T111" s="23" t="s">
        <v>70</v>
      </c>
      <c r="U111" s="26" t="s">
        <v>234</v>
      </c>
      <c r="V111" s="94">
        <v>1256000</v>
      </c>
      <c r="W111" s="21">
        <v>21346</v>
      </c>
      <c r="X111" s="21">
        <v>0</v>
      </c>
      <c r="Y111" s="22">
        <v>885</v>
      </c>
      <c r="Z111" s="22">
        <v>500</v>
      </c>
      <c r="AA111" s="25">
        <v>132830</v>
      </c>
      <c r="AB111" s="25">
        <v>0</v>
      </c>
      <c r="AC111" s="25">
        <v>12437</v>
      </c>
      <c r="AD111" s="21">
        <v>31266</v>
      </c>
      <c r="AE111" s="95">
        <f t="shared" si="14"/>
        <v>1455264</v>
      </c>
      <c r="AF111" s="21">
        <v>0</v>
      </c>
      <c r="AG111" s="21">
        <v>0</v>
      </c>
      <c r="AH111" s="21">
        <v>0</v>
      </c>
      <c r="AI111" s="21">
        <v>1</v>
      </c>
      <c r="AJ111" s="21">
        <v>0</v>
      </c>
      <c r="AK111" s="21">
        <v>0</v>
      </c>
      <c r="AL111" s="21"/>
      <c r="AM111" s="21">
        <v>12286</v>
      </c>
      <c r="AN111" s="27">
        <f t="shared" si="15"/>
        <v>12287</v>
      </c>
      <c r="AO111" s="96">
        <f t="shared" si="16"/>
        <v>1442977</v>
      </c>
      <c r="AP111" s="25">
        <v>5880</v>
      </c>
      <c r="AQ111" s="89">
        <v>0</v>
      </c>
      <c r="AR111" s="25">
        <f t="shared" si="17"/>
        <v>5880</v>
      </c>
      <c r="AS111" s="22">
        <v>0</v>
      </c>
      <c r="AT111" s="22">
        <v>0</v>
      </c>
      <c r="AU111" s="15">
        <f t="shared" si="18"/>
        <v>12287</v>
      </c>
      <c r="AV111" s="118">
        <f t="shared" si="19"/>
        <v>1448857</v>
      </c>
      <c r="AW111" s="88" t="str">
        <f t="shared" si="24"/>
        <v>AU BANK</v>
      </c>
      <c r="AX111" s="86">
        <v>45441</v>
      </c>
      <c r="AY111" s="13"/>
      <c r="AZ111" s="23">
        <v>0</v>
      </c>
      <c r="BA111" s="23">
        <f>2100+58000+3800+12000</f>
        <v>75900</v>
      </c>
      <c r="BB111" s="17" t="s">
        <v>544</v>
      </c>
      <c r="BC111" s="20" t="s">
        <v>72</v>
      </c>
      <c r="BD111" s="22">
        <v>185000</v>
      </c>
      <c r="BE111" s="22">
        <v>0</v>
      </c>
      <c r="BF111" s="18" t="e">
        <f>+#REF!-AV111-AZ111-BA111-BD111+BE111</f>
        <v>#REF!</v>
      </c>
      <c r="BG111" s="22" t="s">
        <v>545</v>
      </c>
      <c r="BH111" s="22"/>
      <c r="BI111" s="22"/>
      <c r="BJ111" s="22">
        <v>0</v>
      </c>
      <c r="BK111" s="19"/>
    </row>
    <row r="112" spans="1:63" ht="17.25" x14ac:dyDescent="0.3">
      <c r="A112" s="11">
        <v>45413</v>
      </c>
      <c r="B112" s="12">
        <v>111</v>
      </c>
      <c r="C112" s="12">
        <v>46</v>
      </c>
      <c r="D112" s="13">
        <v>45441</v>
      </c>
      <c r="E112" s="98" t="s">
        <v>546</v>
      </c>
      <c r="F112" s="21">
        <v>6260550407</v>
      </c>
      <c r="G112" s="24">
        <f t="shared" si="13"/>
        <v>45441</v>
      </c>
      <c r="H112" s="21" t="s">
        <v>389</v>
      </c>
      <c r="I112" s="23" t="s">
        <v>78</v>
      </c>
      <c r="J112" s="21" t="s">
        <v>313</v>
      </c>
      <c r="K112" s="21" t="s">
        <v>66</v>
      </c>
      <c r="L112" s="21">
        <v>7012766</v>
      </c>
      <c r="M112" s="23">
        <v>279224</v>
      </c>
      <c r="N112" s="21" t="s">
        <v>67</v>
      </c>
      <c r="O112" s="25">
        <v>0</v>
      </c>
      <c r="P112" s="26" t="s">
        <v>81</v>
      </c>
      <c r="Q112" s="26" t="s">
        <v>175</v>
      </c>
      <c r="R112" s="23" t="s">
        <v>175</v>
      </c>
      <c r="S112" s="23" t="s">
        <v>67</v>
      </c>
      <c r="T112" s="23" t="s">
        <v>176</v>
      </c>
      <c r="U112" s="26" t="s">
        <v>176</v>
      </c>
      <c r="V112" s="94">
        <v>1147242</v>
      </c>
      <c r="W112" s="21">
        <v>0</v>
      </c>
      <c r="X112" s="21">
        <v>0</v>
      </c>
      <c r="Y112" s="22">
        <v>0</v>
      </c>
      <c r="Z112" s="22">
        <v>0</v>
      </c>
      <c r="AA112" s="25">
        <v>0</v>
      </c>
      <c r="AB112" s="25">
        <v>0</v>
      </c>
      <c r="AC112" s="25">
        <v>10764</v>
      </c>
      <c r="AD112" s="21">
        <v>0</v>
      </c>
      <c r="AE112" s="95">
        <f t="shared" si="14"/>
        <v>1158006</v>
      </c>
      <c r="AF112" s="21">
        <v>0</v>
      </c>
      <c r="AG112" s="21">
        <v>45000</v>
      </c>
      <c r="AH112" s="21">
        <v>0</v>
      </c>
      <c r="AI112" s="21">
        <v>1</v>
      </c>
      <c r="AJ112" s="21">
        <v>0</v>
      </c>
      <c r="AK112" s="21">
        <v>0</v>
      </c>
      <c r="AL112" s="21">
        <v>25849</v>
      </c>
      <c r="AM112" s="21">
        <v>0</v>
      </c>
      <c r="AN112" s="27">
        <f t="shared" si="15"/>
        <v>70850</v>
      </c>
      <c r="AO112" s="96">
        <f t="shared" si="16"/>
        <v>1087156</v>
      </c>
      <c r="AP112" s="25">
        <v>0</v>
      </c>
      <c r="AQ112" s="89">
        <v>0</v>
      </c>
      <c r="AR112" s="25">
        <f t="shared" si="17"/>
        <v>0</v>
      </c>
      <c r="AS112" s="22">
        <v>0</v>
      </c>
      <c r="AT112" s="22">
        <v>0</v>
      </c>
      <c r="AU112" s="15">
        <f t="shared" si="18"/>
        <v>70850</v>
      </c>
      <c r="AV112" s="118">
        <f t="shared" si="19"/>
        <v>1087156</v>
      </c>
      <c r="AW112" s="88" t="str">
        <f t="shared" si="24"/>
        <v>NMPL</v>
      </c>
      <c r="AX112" s="86">
        <v>45441</v>
      </c>
      <c r="AY112" s="86">
        <v>45441</v>
      </c>
      <c r="AZ112" s="23">
        <v>0</v>
      </c>
      <c r="BA112" s="23">
        <v>0</v>
      </c>
      <c r="BB112" s="17">
        <v>0</v>
      </c>
      <c r="BC112" s="17" t="s">
        <v>513</v>
      </c>
      <c r="BD112" s="22">
        <v>0</v>
      </c>
      <c r="BE112" s="22">
        <v>0</v>
      </c>
      <c r="BF112" s="18" t="e">
        <f>+#REF!-AV112-AZ112-BA112-BD112+BE112</f>
        <v>#REF!</v>
      </c>
      <c r="BG112" s="22" t="s">
        <v>109</v>
      </c>
      <c r="BH112" s="22"/>
      <c r="BI112" s="22"/>
      <c r="BJ112" s="22"/>
      <c r="BK112" s="19"/>
    </row>
    <row r="113" spans="1:63" ht="17.25" x14ac:dyDescent="0.3">
      <c r="A113" s="11">
        <v>45413</v>
      </c>
      <c r="B113" s="12">
        <v>112</v>
      </c>
      <c r="C113" s="12">
        <v>47</v>
      </c>
      <c r="D113" s="13">
        <v>45442</v>
      </c>
      <c r="E113" s="81" t="s">
        <v>547</v>
      </c>
      <c r="F113" s="21">
        <v>9589062375</v>
      </c>
      <c r="G113" s="24">
        <f t="shared" si="13"/>
        <v>45442</v>
      </c>
      <c r="H113" s="21" t="s">
        <v>548</v>
      </c>
      <c r="I113" s="23" t="s">
        <v>64</v>
      </c>
      <c r="J113" s="21" t="s">
        <v>65</v>
      </c>
      <c r="K113" s="21" t="s">
        <v>97</v>
      </c>
      <c r="L113" s="21">
        <v>7476766</v>
      </c>
      <c r="M113" s="21">
        <v>719999</v>
      </c>
      <c r="N113" s="21" t="s">
        <v>80</v>
      </c>
      <c r="O113" s="25">
        <v>300000</v>
      </c>
      <c r="P113" s="26" t="s">
        <v>68</v>
      </c>
      <c r="Q113" s="26" t="s">
        <v>69</v>
      </c>
      <c r="R113" s="23" t="s">
        <v>80</v>
      </c>
      <c r="S113" s="23" t="s">
        <v>80</v>
      </c>
      <c r="T113" s="23" t="s">
        <v>84</v>
      </c>
      <c r="U113" s="26" t="s">
        <v>85</v>
      </c>
      <c r="V113" s="94">
        <v>665742</v>
      </c>
      <c r="W113" s="21">
        <v>11328</v>
      </c>
      <c r="X113" s="21">
        <v>0</v>
      </c>
      <c r="Y113" s="22">
        <v>885</v>
      </c>
      <c r="Z113" s="22">
        <v>0</v>
      </c>
      <c r="AA113" s="25">
        <v>60463</v>
      </c>
      <c r="AB113" s="25">
        <v>0</v>
      </c>
      <c r="AC113" s="25">
        <f>IF(V113&gt;=1000000,V113*1%,0)</f>
        <v>0</v>
      </c>
      <c r="AD113" s="21">
        <v>25337</v>
      </c>
      <c r="AE113" s="95">
        <f t="shared" si="14"/>
        <v>763755</v>
      </c>
      <c r="AF113" s="21">
        <v>10000</v>
      </c>
      <c r="AG113" s="21">
        <v>15000</v>
      </c>
      <c r="AH113" s="21">
        <v>0</v>
      </c>
      <c r="AI113" s="21">
        <v>1</v>
      </c>
      <c r="AJ113" s="21">
        <v>0</v>
      </c>
      <c r="AK113" s="21">
        <v>0</v>
      </c>
      <c r="AL113" s="21"/>
      <c r="AM113" s="21">
        <v>23654</v>
      </c>
      <c r="AN113" s="27">
        <f t="shared" si="15"/>
        <v>48655</v>
      </c>
      <c r="AO113" s="96">
        <f t="shared" si="16"/>
        <v>715100</v>
      </c>
      <c r="AP113" s="25">
        <v>15000</v>
      </c>
      <c r="AQ113" s="89">
        <v>0</v>
      </c>
      <c r="AR113" s="25">
        <f t="shared" si="17"/>
        <v>15000</v>
      </c>
      <c r="AS113" s="22">
        <v>0</v>
      </c>
      <c r="AT113" s="22">
        <v>0</v>
      </c>
      <c r="AU113" s="15">
        <f t="shared" si="18"/>
        <v>48655</v>
      </c>
      <c r="AV113" s="118">
        <f t="shared" si="19"/>
        <v>730100</v>
      </c>
      <c r="AW113" s="88" t="str">
        <f t="shared" si="24"/>
        <v>SUNDARAM</v>
      </c>
      <c r="AX113" s="86">
        <v>45442</v>
      </c>
      <c r="AY113" s="13">
        <v>45443</v>
      </c>
      <c r="AZ113" s="23">
        <f>5000+189000</f>
        <v>194000</v>
      </c>
      <c r="BA113" s="23">
        <f>25000+25000+50000+49000+87000</f>
        <v>236000</v>
      </c>
      <c r="BB113" s="17" t="s">
        <v>549</v>
      </c>
      <c r="BC113" s="20" t="s">
        <v>72</v>
      </c>
      <c r="BD113" s="22">
        <v>0</v>
      </c>
      <c r="BE113" s="22">
        <v>0</v>
      </c>
      <c r="BF113" s="18" t="e">
        <f>+#REF!-AV113-AZ113-BA113-BD113+BE113</f>
        <v>#REF!</v>
      </c>
      <c r="BG113" s="22" t="s">
        <v>109</v>
      </c>
      <c r="BH113" s="22" t="s">
        <v>550</v>
      </c>
      <c r="BI113" s="22"/>
      <c r="BJ113" s="22">
        <v>0</v>
      </c>
      <c r="BK113" s="19"/>
    </row>
    <row r="114" spans="1:63" ht="17.25" x14ac:dyDescent="0.3">
      <c r="A114" s="11">
        <v>45413</v>
      </c>
      <c r="B114" s="12">
        <v>113</v>
      </c>
      <c r="C114" s="12">
        <v>48</v>
      </c>
      <c r="D114" s="13">
        <v>45442</v>
      </c>
      <c r="E114" s="81" t="s">
        <v>551</v>
      </c>
      <c r="F114" s="21">
        <v>9826039908</v>
      </c>
      <c r="G114" s="24">
        <v>45449</v>
      </c>
      <c r="H114" s="21" t="s">
        <v>552</v>
      </c>
      <c r="I114" s="23" t="s">
        <v>78</v>
      </c>
      <c r="J114" s="21" t="s">
        <v>65</v>
      </c>
      <c r="K114" s="21" t="s">
        <v>66</v>
      </c>
      <c r="L114" s="21">
        <v>7506147</v>
      </c>
      <c r="M114" s="21">
        <v>274228</v>
      </c>
      <c r="N114" s="21" t="s">
        <v>67</v>
      </c>
      <c r="O114" s="25">
        <v>500000</v>
      </c>
      <c r="P114" s="26" t="s">
        <v>68</v>
      </c>
      <c r="Q114" s="26" t="s">
        <v>122</v>
      </c>
      <c r="R114" s="23" t="s">
        <v>233</v>
      </c>
      <c r="S114" s="23" t="s">
        <v>67</v>
      </c>
      <c r="T114" s="23" t="s">
        <v>70</v>
      </c>
      <c r="U114" s="26" t="s">
        <v>71</v>
      </c>
      <c r="V114" s="94">
        <v>751242</v>
      </c>
      <c r="W114" s="21">
        <v>12779</v>
      </c>
      <c r="X114" s="21">
        <v>0</v>
      </c>
      <c r="Y114" s="22">
        <v>885</v>
      </c>
      <c r="Z114" s="22">
        <v>500</v>
      </c>
      <c r="AA114" s="25">
        <v>67303</v>
      </c>
      <c r="AB114" s="25">
        <v>0</v>
      </c>
      <c r="AC114" s="25">
        <f>IF(V114&gt;=1000000,V114*1%,0)</f>
        <v>0</v>
      </c>
      <c r="AD114" s="21">
        <v>26629</v>
      </c>
      <c r="AE114" s="95">
        <f t="shared" si="14"/>
        <v>859338</v>
      </c>
      <c r="AF114" s="21">
        <v>0</v>
      </c>
      <c r="AG114" s="21">
        <v>15000</v>
      </c>
      <c r="AH114" s="21">
        <v>0</v>
      </c>
      <c r="AI114" s="21">
        <v>1</v>
      </c>
      <c r="AJ114" s="21">
        <v>0</v>
      </c>
      <c r="AK114" s="21">
        <v>0</v>
      </c>
      <c r="AL114" s="21"/>
      <c r="AM114" s="21">
        <v>11887</v>
      </c>
      <c r="AN114" s="27">
        <f t="shared" si="15"/>
        <v>26888</v>
      </c>
      <c r="AO114" s="96">
        <f t="shared" si="16"/>
        <v>832450</v>
      </c>
      <c r="AP114" s="25">
        <v>74550</v>
      </c>
      <c r="AQ114" s="89">
        <v>2000</v>
      </c>
      <c r="AR114" s="25">
        <f t="shared" si="17"/>
        <v>72550</v>
      </c>
      <c r="AS114" s="22">
        <v>0</v>
      </c>
      <c r="AT114" s="22">
        <v>0</v>
      </c>
      <c r="AU114" s="15">
        <f t="shared" si="18"/>
        <v>28888</v>
      </c>
      <c r="AV114" s="118">
        <f t="shared" si="19"/>
        <v>905000</v>
      </c>
      <c r="AW114" s="88" t="str">
        <f t="shared" si="24"/>
        <v>BOI</v>
      </c>
      <c r="AX114" s="86">
        <v>45442</v>
      </c>
      <c r="AY114" s="86">
        <v>45442</v>
      </c>
      <c r="AZ114" s="23">
        <v>0</v>
      </c>
      <c r="BA114" s="23">
        <f>5000</f>
        <v>5000</v>
      </c>
      <c r="BB114" s="17">
        <v>0</v>
      </c>
      <c r="BC114" s="20" t="s">
        <v>86</v>
      </c>
      <c r="BD114" s="22">
        <v>0</v>
      </c>
      <c r="BE114" s="22">
        <v>0</v>
      </c>
      <c r="BF114" s="18" t="e">
        <f>+#REF!-AV114-AZ114-BA114-BD114+BE114</f>
        <v>#REF!</v>
      </c>
      <c r="BG114" s="22" t="s">
        <v>553</v>
      </c>
      <c r="BH114" s="22"/>
      <c r="BI114" s="22"/>
      <c r="BJ114" s="22">
        <v>0</v>
      </c>
      <c r="BK114" s="19"/>
    </row>
    <row r="115" spans="1:63" ht="17.25" x14ac:dyDescent="0.3">
      <c r="A115" s="11">
        <v>45413</v>
      </c>
      <c r="B115" s="12">
        <v>114</v>
      </c>
      <c r="C115" s="12">
        <v>49</v>
      </c>
      <c r="D115" s="13">
        <v>45442</v>
      </c>
      <c r="E115" s="81" t="s">
        <v>554</v>
      </c>
      <c r="F115" s="21">
        <v>9981562371</v>
      </c>
      <c r="G115" s="24">
        <f>D115</f>
        <v>45442</v>
      </c>
      <c r="H115" s="21" t="s">
        <v>555</v>
      </c>
      <c r="I115" s="23" t="s">
        <v>121</v>
      </c>
      <c r="J115" s="21" t="s">
        <v>135</v>
      </c>
      <c r="K115" s="21" t="s">
        <v>66</v>
      </c>
      <c r="L115" s="21">
        <v>7416999</v>
      </c>
      <c r="M115" s="21">
        <v>121111</v>
      </c>
      <c r="N115" s="21" t="s">
        <v>147</v>
      </c>
      <c r="O115" s="25">
        <v>1440000</v>
      </c>
      <c r="P115" s="26" t="s">
        <v>68</v>
      </c>
      <c r="Q115" s="26" t="s">
        <v>122</v>
      </c>
      <c r="R115" s="23" t="s">
        <v>556</v>
      </c>
      <c r="S115" s="23" t="s">
        <v>556</v>
      </c>
      <c r="T115" s="23" t="s">
        <v>150</v>
      </c>
      <c r="U115" s="26" t="s">
        <v>151</v>
      </c>
      <c r="V115" s="94">
        <v>1495601</v>
      </c>
      <c r="W115" s="21">
        <v>25429</v>
      </c>
      <c r="X115" s="21">
        <v>0</v>
      </c>
      <c r="Y115" s="22">
        <v>885</v>
      </c>
      <c r="Z115" s="22">
        <v>500</v>
      </c>
      <c r="AA115" s="25">
        <v>156790</v>
      </c>
      <c r="AB115" s="25">
        <v>0</v>
      </c>
      <c r="AC115" s="25">
        <v>14718</v>
      </c>
      <c r="AD115" s="21">
        <v>39272</v>
      </c>
      <c r="AE115" s="95">
        <f t="shared" si="14"/>
        <v>1733195</v>
      </c>
      <c r="AF115" s="21">
        <v>0</v>
      </c>
      <c r="AG115" s="21">
        <v>0</v>
      </c>
      <c r="AH115" s="21">
        <v>0</v>
      </c>
      <c r="AI115" s="21">
        <v>0</v>
      </c>
      <c r="AJ115" s="21">
        <v>3100</v>
      </c>
      <c r="AK115" s="21">
        <v>0</v>
      </c>
      <c r="AL115" s="21"/>
      <c r="AM115" s="21">
        <v>20733</v>
      </c>
      <c r="AN115" s="27">
        <f t="shared" si="15"/>
        <v>23833</v>
      </c>
      <c r="AO115" s="96">
        <f t="shared" si="16"/>
        <v>1709362</v>
      </c>
      <c r="AP115" s="25">
        <v>51600</v>
      </c>
      <c r="AQ115" s="89">
        <v>362</v>
      </c>
      <c r="AR115" s="25">
        <f t="shared" si="17"/>
        <v>51238</v>
      </c>
      <c r="AS115" s="22"/>
      <c r="AT115" s="22">
        <v>5100</v>
      </c>
      <c r="AU115" s="15">
        <f t="shared" si="18"/>
        <v>24195</v>
      </c>
      <c r="AV115" s="118">
        <f t="shared" si="19"/>
        <v>1765700</v>
      </c>
      <c r="AW115" s="88" t="str">
        <f t="shared" si="24"/>
        <v>BOI</v>
      </c>
      <c r="AX115" s="86">
        <v>45442</v>
      </c>
      <c r="AY115" s="86">
        <v>45442</v>
      </c>
      <c r="AZ115" s="23">
        <v>0</v>
      </c>
      <c r="BA115" s="23">
        <f>11000</f>
        <v>11000</v>
      </c>
      <c r="BB115" s="17">
        <v>0</v>
      </c>
      <c r="BC115" s="20" t="s">
        <v>86</v>
      </c>
      <c r="BD115" s="22">
        <v>0</v>
      </c>
      <c r="BE115" s="22">
        <v>0</v>
      </c>
      <c r="BF115" s="18" t="e">
        <f>+#REF!-AV115-AZ115-BA115-BD115+BE115</f>
        <v>#REF!</v>
      </c>
      <c r="BG115" s="22" t="s">
        <v>557</v>
      </c>
      <c r="BH115" s="22"/>
      <c r="BI115" s="22"/>
      <c r="BJ115" s="22">
        <v>0</v>
      </c>
      <c r="BK115" s="19"/>
    </row>
    <row r="116" spans="1:63" ht="17.25" x14ac:dyDescent="0.3">
      <c r="A116" s="11">
        <v>45413</v>
      </c>
      <c r="B116" s="12">
        <v>115</v>
      </c>
      <c r="C116" s="12">
        <v>50</v>
      </c>
      <c r="D116" s="13">
        <v>45442</v>
      </c>
      <c r="E116" s="81" t="s">
        <v>558</v>
      </c>
      <c r="F116" s="21">
        <v>9009933096</v>
      </c>
      <c r="G116" s="24">
        <f>D116</f>
        <v>45442</v>
      </c>
      <c r="H116" s="21" t="s">
        <v>555</v>
      </c>
      <c r="I116" s="23" t="s">
        <v>78</v>
      </c>
      <c r="J116" s="21" t="s">
        <v>79</v>
      </c>
      <c r="K116" s="21" t="s">
        <v>66</v>
      </c>
      <c r="L116" s="21">
        <v>7499675</v>
      </c>
      <c r="M116" s="21">
        <v>266998</v>
      </c>
      <c r="N116" s="21" t="s">
        <v>147</v>
      </c>
      <c r="O116" s="25">
        <v>800000</v>
      </c>
      <c r="P116" s="26" t="s">
        <v>68</v>
      </c>
      <c r="Q116" s="26" t="s">
        <v>122</v>
      </c>
      <c r="R116" s="23" t="s">
        <v>556</v>
      </c>
      <c r="S116" s="23" t="s">
        <v>556</v>
      </c>
      <c r="T116" s="23" t="s">
        <v>150</v>
      </c>
      <c r="U116" s="26" t="s">
        <v>151</v>
      </c>
      <c r="V116" s="94">
        <v>846242</v>
      </c>
      <c r="W116" s="21">
        <v>14384</v>
      </c>
      <c r="X116" s="21">
        <v>0</v>
      </c>
      <c r="Y116" s="22" t="s">
        <v>180</v>
      </c>
      <c r="Z116" s="22">
        <v>500</v>
      </c>
      <c r="AA116" s="25">
        <v>74903</v>
      </c>
      <c r="AB116" s="25">
        <v>0</v>
      </c>
      <c r="AC116" s="25">
        <v>0</v>
      </c>
      <c r="AD116" s="21">
        <v>29616</v>
      </c>
      <c r="AE116" s="95">
        <f t="shared" si="14"/>
        <v>965645</v>
      </c>
      <c r="AF116" s="21">
        <v>0</v>
      </c>
      <c r="AG116" s="21">
        <v>0</v>
      </c>
      <c r="AH116" s="21">
        <v>0</v>
      </c>
      <c r="AI116" s="21">
        <v>1</v>
      </c>
      <c r="AJ116" s="21">
        <v>0</v>
      </c>
      <c r="AK116" s="21">
        <v>0</v>
      </c>
      <c r="AL116" s="21"/>
      <c r="AM116" s="21">
        <v>24344</v>
      </c>
      <c r="AN116" s="27">
        <f t="shared" si="15"/>
        <v>24345</v>
      </c>
      <c r="AO116" s="96">
        <f t="shared" si="16"/>
        <v>941300</v>
      </c>
      <c r="AP116" s="25">
        <v>83600</v>
      </c>
      <c r="AQ116" s="89">
        <v>400</v>
      </c>
      <c r="AR116" s="25">
        <f t="shared" si="17"/>
        <v>83200</v>
      </c>
      <c r="AS116" s="22"/>
      <c r="AT116" s="22">
        <v>5100</v>
      </c>
      <c r="AU116" s="15">
        <f t="shared" si="18"/>
        <v>24745</v>
      </c>
      <c r="AV116" s="118">
        <f t="shared" si="19"/>
        <v>1029600</v>
      </c>
      <c r="AW116" s="88" t="str">
        <f t="shared" si="24"/>
        <v>BOI</v>
      </c>
      <c r="AX116" s="86">
        <v>45442</v>
      </c>
      <c r="AY116" s="86">
        <v>45442</v>
      </c>
      <c r="AZ116" s="23">
        <f>40800+1700</f>
        <v>42500</v>
      </c>
      <c r="BA116" s="23">
        <f>2100</f>
        <v>2100</v>
      </c>
      <c r="BB116" s="17">
        <v>0</v>
      </c>
      <c r="BC116" s="20" t="s">
        <v>86</v>
      </c>
      <c r="BD116" s="22">
        <v>0</v>
      </c>
      <c r="BE116" s="22">
        <v>0</v>
      </c>
      <c r="BF116" s="18" t="e">
        <f>+#REF!-AV116-AZ116-BA116-BD116+BE116</f>
        <v>#REF!</v>
      </c>
      <c r="BG116" s="22" t="s">
        <v>109</v>
      </c>
      <c r="BH116" s="22"/>
      <c r="BI116" s="22"/>
      <c r="BJ116" s="22">
        <v>0</v>
      </c>
      <c r="BK116" s="19"/>
    </row>
    <row r="117" spans="1:63" ht="17.25" x14ac:dyDescent="0.3">
      <c r="A117" s="11">
        <v>45413</v>
      </c>
      <c r="B117" s="12">
        <v>116</v>
      </c>
      <c r="C117" s="12">
        <v>51</v>
      </c>
      <c r="D117" s="13">
        <v>45442</v>
      </c>
      <c r="E117" s="81" t="s">
        <v>559</v>
      </c>
      <c r="F117" s="21">
        <v>9770419243</v>
      </c>
      <c r="G117" s="24">
        <v>45444</v>
      </c>
      <c r="H117" s="21" t="s">
        <v>560</v>
      </c>
      <c r="I117" s="23" t="s">
        <v>78</v>
      </c>
      <c r="J117" s="21" t="s">
        <v>65</v>
      </c>
      <c r="K117" s="21" t="s">
        <v>66</v>
      </c>
      <c r="L117" s="21">
        <v>7506147</v>
      </c>
      <c r="M117" s="21">
        <v>252865</v>
      </c>
      <c r="N117" s="21" t="s">
        <v>67</v>
      </c>
      <c r="O117" s="25">
        <v>713000</v>
      </c>
      <c r="P117" s="26" t="s">
        <v>68</v>
      </c>
      <c r="Q117" s="26" t="s">
        <v>69</v>
      </c>
      <c r="R117" s="23" t="s">
        <v>67</v>
      </c>
      <c r="S117" s="23" t="s">
        <v>67</v>
      </c>
      <c r="T117" s="23" t="s">
        <v>70</v>
      </c>
      <c r="U117" s="26" t="s">
        <v>71</v>
      </c>
      <c r="V117" s="94">
        <v>751242</v>
      </c>
      <c r="W117" s="21">
        <v>12779</v>
      </c>
      <c r="X117" s="21">
        <v>0</v>
      </c>
      <c r="Y117" s="22">
        <v>885</v>
      </c>
      <c r="Z117" s="22">
        <v>500</v>
      </c>
      <c r="AA117" s="25">
        <v>67303</v>
      </c>
      <c r="AB117" s="25">
        <v>0</v>
      </c>
      <c r="AC117" s="25">
        <f>IF(V117&gt;=1000000,V117*1%,0)</f>
        <v>0</v>
      </c>
      <c r="AD117" s="21">
        <v>26629</v>
      </c>
      <c r="AE117" s="95">
        <f t="shared" si="14"/>
        <v>859338</v>
      </c>
      <c r="AF117" s="21">
        <v>0</v>
      </c>
      <c r="AG117" s="21">
        <v>15000</v>
      </c>
      <c r="AH117" s="21">
        <v>0</v>
      </c>
      <c r="AI117" s="21">
        <v>1</v>
      </c>
      <c r="AJ117" s="21">
        <v>0</v>
      </c>
      <c r="AK117" s="21">
        <v>0</v>
      </c>
      <c r="AL117" s="21"/>
      <c r="AM117" s="21">
        <v>15037</v>
      </c>
      <c r="AN117" s="27">
        <f t="shared" si="15"/>
        <v>30038</v>
      </c>
      <c r="AO117" s="96">
        <f t="shared" si="16"/>
        <v>829300</v>
      </c>
      <c r="AP117" s="25">
        <v>9040</v>
      </c>
      <c r="AQ117" s="89">
        <v>2040</v>
      </c>
      <c r="AR117" s="25">
        <f t="shared" si="17"/>
        <v>7000</v>
      </c>
      <c r="AS117" s="22">
        <v>0</v>
      </c>
      <c r="AT117" s="22">
        <v>0</v>
      </c>
      <c r="AU117" s="15">
        <f t="shared" si="18"/>
        <v>32078</v>
      </c>
      <c r="AV117" s="118">
        <f t="shared" si="19"/>
        <v>836300</v>
      </c>
      <c r="AW117" s="88" t="str">
        <f t="shared" si="24"/>
        <v>SUNDARAM</v>
      </c>
      <c r="AX117" s="86">
        <v>45442</v>
      </c>
      <c r="AY117" s="13"/>
      <c r="AZ117" s="23">
        <f>50000+50000</f>
        <v>100000</v>
      </c>
      <c r="BA117" s="23">
        <f>5000+19000</f>
        <v>24000</v>
      </c>
      <c r="BB117" s="17">
        <v>0</v>
      </c>
      <c r="BC117" s="20" t="s">
        <v>72</v>
      </c>
      <c r="BD117" s="22">
        <v>0</v>
      </c>
      <c r="BE117" s="22">
        <v>0</v>
      </c>
      <c r="BF117" s="18" t="e">
        <f>+#REF!-AV117-AZ117-BA117-BD117+BE117</f>
        <v>#REF!</v>
      </c>
      <c r="BG117" s="22" t="s">
        <v>109</v>
      </c>
      <c r="BH117" s="22"/>
      <c r="BI117" s="22"/>
      <c r="BJ117" s="22">
        <v>0</v>
      </c>
      <c r="BK117" s="19"/>
    </row>
    <row r="118" spans="1:63" ht="17.25" x14ac:dyDescent="0.3">
      <c r="A118" s="11">
        <v>45413</v>
      </c>
      <c r="B118" s="12">
        <v>117</v>
      </c>
      <c r="C118" s="12">
        <v>52</v>
      </c>
      <c r="D118" s="13">
        <v>45443</v>
      </c>
      <c r="E118" s="81" t="s">
        <v>561</v>
      </c>
      <c r="F118" s="21">
        <v>9926596877</v>
      </c>
      <c r="G118" s="24">
        <f>D118</f>
        <v>45443</v>
      </c>
      <c r="H118" s="21" t="s">
        <v>562</v>
      </c>
      <c r="I118" s="23" t="s">
        <v>78</v>
      </c>
      <c r="J118" s="21" t="s">
        <v>478</v>
      </c>
      <c r="K118" s="21" t="s">
        <v>97</v>
      </c>
      <c r="L118" s="21">
        <v>7517278</v>
      </c>
      <c r="M118" s="21">
        <v>286008</v>
      </c>
      <c r="N118" s="21" t="s">
        <v>67</v>
      </c>
      <c r="O118" s="25">
        <v>820000</v>
      </c>
      <c r="P118" s="26" t="s">
        <v>68</v>
      </c>
      <c r="Q118" s="26" t="s">
        <v>191</v>
      </c>
      <c r="R118" s="23" t="s">
        <v>563</v>
      </c>
      <c r="S118" s="23" t="s">
        <v>67</v>
      </c>
      <c r="T118" s="23" t="s">
        <v>115</v>
      </c>
      <c r="U118" s="26" t="s">
        <v>187</v>
      </c>
      <c r="V118" s="94">
        <v>877242</v>
      </c>
      <c r="W118" s="21">
        <v>14915</v>
      </c>
      <c r="X118" s="21">
        <v>5664</v>
      </c>
      <c r="Y118" s="22">
        <v>885</v>
      </c>
      <c r="Z118" s="22">
        <v>500</v>
      </c>
      <c r="AA118" s="25">
        <v>77383</v>
      </c>
      <c r="AB118" s="25">
        <v>0</v>
      </c>
      <c r="AC118" s="25">
        <f>IF(V118&gt;=1000000,V118*1%,0)</f>
        <v>0</v>
      </c>
      <c r="AD118" s="21">
        <v>28124</v>
      </c>
      <c r="AE118" s="95">
        <f t="shared" si="14"/>
        <v>1004713</v>
      </c>
      <c r="AF118" s="21">
        <v>0</v>
      </c>
      <c r="AG118" s="21">
        <v>15000</v>
      </c>
      <c r="AH118" s="21">
        <v>0</v>
      </c>
      <c r="AI118" s="21">
        <v>1</v>
      </c>
      <c r="AJ118" s="21">
        <v>0</v>
      </c>
      <c r="AK118" s="21">
        <v>0</v>
      </c>
      <c r="AL118" s="21"/>
      <c r="AM118" s="21">
        <v>0</v>
      </c>
      <c r="AN118" s="27">
        <f t="shared" si="15"/>
        <v>15001</v>
      </c>
      <c r="AO118" s="96">
        <f t="shared" si="16"/>
        <v>989712</v>
      </c>
      <c r="AP118" s="25">
        <v>28690</v>
      </c>
      <c r="AQ118" s="89">
        <v>0</v>
      </c>
      <c r="AR118" s="25">
        <f t="shared" si="17"/>
        <v>28690</v>
      </c>
      <c r="AS118" s="22">
        <v>0</v>
      </c>
      <c r="AT118" s="22">
        <v>0</v>
      </c>
      <c r="AU118" s="15">
        <f t="shared" si="18"/>
        <v>15001</v>
      </c>
      <c r="AV118" s="118">
        <f t="shared" si="19"/>
        <v>1018402</v>
      </c>
      <c r="AW118" s="88" t="str">
        <f t="shared" si="24"/>
        <v>SBI</v>
      </c>
      <c r="AX118" s="86">
        <v>45441</v>
      </c>
      <c r="AY118" s="86">
        <v>45441</v>
      </c>
      <c r="AZ118" s="23">
        <f>70000</f>
        <v>70000</v>
      </c>
      <c r="BA118" s="23">
        <f>11000+50000+30000+39000</f>
        <v>130000</v>
      </c>
      <c r="BB118" s="17">
        <v>28274112</v>
      </c>
      <c r="BC118" s="20" t="s">
        <v>72</v>
      </c>
      <c r="BD118" s="22">
        <v>0</v>
      </c>
      <c r="BE118" s="22">
        <v>0</v>
      </c>
      <c r="BF118" s="18" t="e">
        <f>+#REF!-AV118-AZ118-BA118-BD118+BE118</f>
        <v>#REF!</v>
      </c>
      <c r="BG118" s="22" t="s">
        <v>564</v>
      </c>
      <c r="BH118" s="22"/>
      <c r="BI118" s="22"/>
      <c r="BJ118" s="22">
        <v>0</v>
      </c>
      <c r="BK118" s="19"/>
    </row>
    <row r="119" spans="1:63" ht="17.25" x14ac:dyDescent="0.3">
      <c r="A119" s="11">
        <v>45413</v>
      </c>
      <c r="B119" s="12">
        <v>118</v>
      </c>
      <c r="C119" s="12">
        <v>53</v>
      </c>
      <c r="D119" s="13">
        <v>45443</v>
      </c>
      <c r="E119" s="81" t="s">
        <v>565</v>
      </c>
      <c r="F119" s="21">
        <v>9669157158</v>
      </c>
      <c r="G119" s="24">
        <v>45449</v>
      </c>
      <c r="H119" s="21" t="s">
        <v>566</v>
      </c>
      <c r="I119" s="23" t="s">
        <v>64</v>
      </c>
      <c r="J119" s="21" t="s">
        <v>104</v>
      </c>
      <c r="K119" s="21" t="s">
        <v>97</v>
      </c>
      <c r="L119" s="21">
        <v>4482746</v>
      </c>
      <c r="M119" s="21">
        <v>770664</v>
      </c>
      <c r="N119" s="21" t="s">
        <v>80</v>
      </c>
      <c r="O119" s="25">
        <v>0</v>
      </c>
      <c r="P119" s="26" t="s">
        <v>68</v>
      </c>
      <c r="Q119" s="26" t="s">
        <v>122</v>
      </c>
      <c r="R119" s="23" t="s">
        <v>91</v>
      </c>
      <c r="S119" s="23" t="s">
        <v>80</v>
      </c>
      <c r="T119" s="23" t="s">
        <v>84</v>
      </c>
      <c r="U119" s="26" t="s">
        <v>92</v>
      </c>
      <c r="V119" s="94">
        <v>839742</v>
      </c>
      <c r="W119" s="21">
        <v>14278</v>
      </c>
      <c r="X119" s="21">
        <v>0</v>
      </c>
      <c r="Y119" s="22">
        <v>885</v>
      </c>
      <c r="Z119" s="22">
        <v>0</v>
      </c>
      <c r="AA119" s="25">
        <v>74383</v>
      </c>
      <c r="AB119" s="25">
        <v>0</v>
      </c>
      <c r="AC119" s="25">
        <f>IF(V119&gt;=1000000,V119*1%,0)</f>
        <v>0</v>
      </c>
      <c r="AD119" s="21">
        <v>28676</v>
      </c>
      <c r="AE119" s="95">
        <f t="shared" si="14"/>
        <v>957964</v>
      </c>
      <c r="AF119" s="21">
        <v>0</v>
      </c>
      <c r="AG119" s="21">
        <v>10000</v>
      </c>
      <c r="AH119" s="21">
        <v>25000</v>
      </c>
      <c r="AI119" s="21">
        <v>1</v>
      </c>
      <c r="AJ119" s="21">
        <v>0</v>
      </c>
      <c r="AK119" s="21">
        <v>0</v>
      </c>
      <c r="AL119" s="21"/>
      <c r="AM119" s="21">
        <v>3763</v>
      </c>
      <c r="AN119" s="27">
        <f t="shared" si="15"/>
        <v>38764</v>
      </c>
      <c r="AO119" s="96">
        <f t="shared" si="16"/>
        <v>919200</v>
      </c>
      <c r="AP119" s="25">
        <v>16000</v>
      </c>
      <c r="AQ119" s="89">
        <v>0</v>
      </c>
      <c r="AR119" s="25">
        <f t="shared" si="17"/>
        <v>16000</v>
      </c>
      <c r="AS119" s="22">
        <v>0</v>
      </c>
      <c r="AT119" s="22">
        <v>0</v>
      </c>
      <c r="AU119" s="15">
        <f t="shared" si="18"/>
        <v>38764</v>
      </c>
      <c r="AV119" s="118">
        <f t="shared" si="19"/>
        <v>935200</v>
      </c>
      <c r="AW119" s="88" t="str">
        <f t="shared" si="24"/>
        <v>BOI</v>
      </c>
      <c r="AX119" s="86">
        <v>45443</v>
      </c>
      <c r="AY119" s="13"/>
      <c r="AZ119" s="23">
        <v>0</v>
      </c>
      <c r="BA119" s="23">
        <f>5000</f>
        <v>5000</v>
      </c>
      <c r="BB119" s="17">
        <v>0</v>
      </c>
      <c r="BC119" s="20" t="s">
        <v>72</v>
      </c>
      <c r="BD119" s="22">
        <v>60000</v>
      </c>
      <c r="BE119" s="22">
        <v>0</v>
      </c>
      <c r="BF119" s="18" t="e">
        <f>+#REF!-AV119-AZ119-BA119-BD119+BE119</f>
        <v>#REF!</v>
      </c>
      <c r="BG119" s="22" t="s">
        <v>567</v>
      </c>
      <c r="BH119" s="22"/>
      <c r="BI119" s="22" t="s">
        <v>568</v>
      </c>
      <c r="BJ119" s="22">
        <v>0</v>
      </c>
      <c r="BK119" s="19"/>
    </row>
    <row r="120" spans="1:63" ht="17.25" x14ac:dyDescent="0.3">
      <c r="A120" s="11">
        <v>45413</v>
      </c>
      <c r="B120" s="12">
        <v>119</v>
      </c>
      <c r="C120" s="12">
        <v>54</v>
      </c>
      <c r="D120" s="13">
        <v>45443</v>
      </c>
      <c r="E120" s="81" t="s">
        <v>569</v>
      </c>
      <c r="F120" s="21">
        <v>7000996936</v>
      </c>
      <c r="G120" s="24">
        <f>D120</f>
        <v>45443</v>
      </c>
      <c r="H120" s="21" t="s">
        <v>570</v>
      </c>
      <c r="I120" s="23" t="s">
        <v>64</v>
      </c>
      <c r="J120" s="21" t="s">
        <v>89</v>
      </c>
      <c r="K120" s="21" t="s">
        <v>213</v>
      </c>
      <c r="L120" s="21">
        <v>4440250</v>
      </c>
      <c r="M120" s="21">
        <v>716959</v>
      </c>
      <c r="N120" s="21" t="s">
        <v>67</v>
      </c>
      <c r="O120" s="25">
        <v>700000</v>
      </c>
      <c r="P120" s="26" t="s">
        <v>81</v>
      </c>
      <c r="Q120" s="26" t="s">
        <v>293</v>
      </c>
      <c r="R120" s="23" t="s">
        <v>571</v>
      </c>
      <c r="S120" s="23" t="s">
        <v>572</v>
      </c>
      <c r="T120" s="23" t="s">
        <v>115</v>
      </c>
      <c r="U120" s="26" t="s">
        <v>116</v>
      </c>
      <c r="V120" s="94">
        <v>749742</v>
      </c>
      <c r="W120" s="21">
        <v>12744</v>
      </c>
      <c r="X120" s="21">
        <v>0</v>
      </c>
      <c r="Y120" s="22">
        <v>885</v>
      </c>
      <c r="Z120" s="22">
        <v>500</v>
      </c>
      <c r="AA120" s="25">
        <v>67183</v>
      </c>
      <c r="AB120" s="25">
        <v>0</v>
      </c>
      <c r="AC120" s="25">
        <f>IF(V120&gt;=1000000,V120*1%,0)</f>
        <v>0</v>
      </c>
      <c r="AD120" s="21">
        <v>26688</v>
      </c>
      <c r="AE120" s="95">
        <f t="shared" si="14"/>
        <v>857742</v>
      </c>
      <c r="AF120" s="21">
        <v>10000</v>
      </c>
      <c r="AG120" s="21">
        <v>15000</v>
      </c>
      <c r="AH120" s="21">
        <v>0</v>
      </c>
      <c r="AI120" s="21">
        <v>1</v>
      </c>
      <c r="AJ120" s="21">
        <v>0</v>
      </c>
      <c r="AK120" s="21">
        <v>0</v>
      </c>
      <c r="AL120" s="21"/>
      <c r="AM120" s="21">
        <v>17431</v>
      </c>
      <c r="AN120" s="27">
        <f t="shared" si="15"/>
        <v>42432</v>
      </c>
      <c r="AO120" s="96">
        <f t="shared" si="16"/>
        <v>815310</v>
      </c>
      <c r="AP120" s="25">
        <v>5690</v>
      </c>
      <c r="AQ120" s="89">
        <v>0</v>
      </c>
      <c r="AR120" s="25">
        <f t="shared" si="17"/>
        <v>5690</v>
      </c>
      <c r="AS120" s="22">
        <v>0</v>
      </c>
      <c r="AT120" s="22">
        <v>0</v>
      </c>
      <c r="AU120" s="15">
        <f t="shared" si="18"/>
        <v>42432</v>
      </c>
      <c r="AV120" s="118">
        <f t="shared" si="19"/>
        <v>821000</v>
      </c>
      <c r="AW120" s="88" t="str">
        <f t="shared" si="24"/>
        <v>CANARA BANK</v>
      </c>
      <c r="AX120" s="86">
        <v>45443</v>
      </c>
      <c r="AY120" s="13">
        <v>0</v>
      </c>
      <c r="AZ120" s="23">
        <f>121000</f>
        <v>121000</v>
      </c>
      <c r="BA120" s="23">
        <v>0</v>
      </c>
      <c r="BB120" s="17">
        <v>0</v>
      </c>
      <c r="BC120" s="20" t="s">
        <v>86</v>
      </c>
      <c r="BD120" s="22">
        <v>0</v>
      </c>
      <c r="BE120" s="22">
        <v>0</v>
      </c>
      <c r="BF120" s="18" t="e">
        <f>+#REF!-AV120-AZ120-BA120-BD120+BE120</f>
        <v>#REF!</v>
      </c>
      <c r="BG120" s="22"/>
      <c r="BH120" s="22"/>
      <c r="BI120" s="22"/>
      <c r="BJ120" s="22">
        <v>0</v>
      </c>
      <c r="BK120" s="19"/>
    </row>
    <row r="121" spans="1:63" ht="17.25" x14ac:dyDescent="0.3">
      <c r="A121" s="11">
        <v>45413</v>
      </c>
      <c r="B121" s="12">
        <v>120</v>
      </c>
      <c r="C121" s="12">
        <v>55</v>
      </c>
      <c r="D121" s="13">
        <v>45443</v>
      </c>
      <c r="E121" s="81" t="s">
        <v>573</v>
      </c>
      <c r="F121" s="21">
        <v>7225029905</v>
      </c>
      <c r="G121" s="24">
        <f>D121</f>
        <v>45443</v>
      </c>
      <c r="H121" s="21" t="s">
        <v>574</v>
      </c>
      <c r="I121" s="23" t="s">
        <v>64</v>
      </c>
      <c r="J121" s="21" t="s">
        <v>89</v>
      </c>
      <c r="K121" s="21" t="s">
        <v>66</v>
      </c>
      <c r="L121" s="21">
        <v>1605517</v>
      </c>
      <c r="M121" s="21">
        <v>691961</v>
      </c>
      <c r="N121" s="21" t="s">
        <v>67</v>
      </c>
      <c r="O121" s="25">
        <v>760000</v>
      </c>
      <c r="P121" s="26" t="s">
        <v>68</v>
      </c>
      <c r="Q121" s="26" t="s">
        <v>136</v>
      </c>
      <c r="R121" s="23" t="s">
        <v>83</v>
      </c>
      <c r="S121" s="23" t="s">
        <v>80</v>
      </c>
      <c r="T121" s="23" t="s">
        <v>115</v>
      </c>
      <c r="U121" s="26" t="s">
        <v>575</v>
      </c>
      <c r="V121" s="94">
        <v>749742</v>
      </c>
      <c r="W121" s="21">
        <v>12744</v>
      </c>
      <c r="X121" s="21">
        <v>4850</v>
      </c>
      <c r="Y121" s="22">
        <v>885</v>
      </c>
      <c r="Z121" s="22">
        <v>500</v>
      </c>
      <c r="AA121" s="25">
        <v>67183</v>
      </c>
      <c r="AB121" s="25">
        <v>0</v>
      </c>
      <c r="AC121" s="25">
        <f>IF(V121&gt;=1000000,V121*1%,0)</f>
        <v>0</v>
      </c>
      <c r="AD121" s="21">
        <v>26688</v>
      </c>
      <c r="AE121" s="95">
        <f t="shared" si="14"/>
        <v>862592</v>
      </c>
      <c r="AF121" s="21">
        <v>10000</v>
      </c>
      <c r="AG121" s="21">
        <v>15000</v>
      </c>
      <c r="AH121" s="21">
        <v>0</v>
      </c>
      <c r="AI121" s="21">
        <v>1</v>
      </c>
      <c r="AJ121" s="21">
        <v>0</v>
      </c>
      <c r="AK121" s="21">
        <v>0</v>
      </c>
      <c r="AL121" s="21"/>
      <c r="AM121" s="21">
        <v>7391</v>
      </c>
      <c r="AN121" s="27">
        <f t="shared" si="15"/>
        <v>32392</v>
      </c>
      <c r="AO121" s="96">
        <f t="shared" si="16"/>
        <v>830200</v>
      </c>
      <c r="AP121" s="25">
        <v>20500</v>
      </c>
      <c r="AQ121" s="89">
        <v>0</v>
      </c>
      <c r="AR121" s="25">
        <f t="shared" si="17"/>
        <v>20500</v>
      </c>
      <c r="AS121" s="22">
        <v>0</v>
      </c>
      <c r="AT121" s="22">
        <v>0</v>
      </c>
      <c r="AU121" s="15">
        <f t="shared" si="18"/>
        <v>32392</v>
      </c>
      <c r="AV121" s="118">
        <f t="shared" si="19"/>
        <v>850700</v>
      </c>
      <c r="AW121" s="88" t="str">
        <f t="shared" si="24"/>
        <v>CHOLA</v>
      </c>
      <c r="AX121" s="86">
        <v>45443</v>
      </c>
      <c r="AY121" s="13"/>
      <c r="AZ121" s="23">
        <v>69200</v>
      </c>
      <c r="BA121" s="23">
        <f>11000+15000</f>
        <v>26000</v>
      </c>
      <c r="BB121" s="17">
        <v>13327731</v>
      </c>
      <c r="BC121" s="20" t="s">
        <v>72</v>
      </c>
      <c r="BD121" s="22">
        <v>0</v>
      </c>
      <c r="BE121" s="22">
        <v>0</v>
      </c>
      <c r="BF121" s="18" t="e">
        <f>+#REF!-AV121-AZ121-BA121-BD121+BE121</f>
        <v>#REF!</v>
      </c>
      <c r="BG121" s="22" t="s">
        <v>576</v>
      </c>
      <c r="BH121" s="22"/>
      <c r="BI121" s="22"/>
      <c r="BJ121" s="22">
        <v>0</v>
      </c>
      <c r="BK121" s="19"/>
    </row>
    <row r="122" spans="1:63" ht="17.25" x14ac:dyDescent="0.3">
      <c r="A122" s="11">
        <v>45413</v>
      </c>
      <c r="B122" s="12">
        <v>121</v>
      </c>
      <c r="C122" s="12">
        <v>56</v>
      </c>
      <c r="D122" s="13">
        <v>45443</v>
      </c>
      <c r="E122" s="81" t="s">
        <v>577</v>
      </c>
      <c r="F122" s="21">
        <v>9425087773</v>
      </c>
      <c r="G122" s="24">
        <f>D122</f>
        <v>45443</v>
      </c>
      <c r="H122" s="21" t="s">
        <v>578</v>
      </c>
      <c r="I122" s="23" t="s">
        <v>78</v>
      </c>
      <c r="J122" s="21" t="s">
        <v>579</v>
      </c>
      <c r="K122" s="21" t="s">
        <v>199</v>
      </c>
      <c r="L122" s="21">
        <v>7012008</v>
      </c>
      <c r="M122" s="23">
        <v>272587</v>
      </c>
      <c r="N122" s="21" t="s">
        <v>147</v>
      </c>
      <c r="O122" s="25">
        <v>0</v>
      </c>
      <c r="P122" s="26" t="s">
        <v>68</v>
      </c>
      <c r="Q122" s="26" t="s">
        <v>179</v>
      </c>
      <c r="R122" s="23" t="s">
        <v>67</v>
      </c>
      <c r="S122" s="23" t="s">
        <v>67</v>
      </c>
      <c r="T122" s="23" t="s">
        <v>150</v>
      </c>
      <c r="U122" s="26" t="s">
        <v>151</v>
      </c>
      <c r="V122" s="94">
        <v>1287242</v>
      </c>
      <c r="W122" s="21">
        <v>22160</v>
      </c>
      <c r="X122" s="21">
        <v>0</v>
      </c>
      <c r="Y122" s="22">
        <v>885</v>
      </c>
      <c r="Z122" s="22">
        <v>500</v>
      </c>
      <c r="AA122" s="25">
        <v>135954</v>
      </c>
      <c r="AB122" s="25">
        <v>0</v>
      </c>
      <c r="AC122" s="25">
        <v>12187</v>
      </c>
      <c r="AD122" s="21">
        <v>34592</v>
      </c>
      <c r="AE122" s="95">
        <f t="shared" si="14"/>
        <v>1493520</v>
      </c>
      <c r="AF122" s="21">
        <v>0</v>
      </c>
      <c r="AG122" s="21">
        <v>15000</v>
      </c>
      <c r="AH122" s="21">
        <v>10000</v>
      </c>
      <c r="AI122" s="21">
        <v>0</v>
      </c>
      <c r="AJ122" s="21">
        <v>0</v>
      </c>
      <c r="AK122" s="21">
        <v>0</v>
      </c>
      <c r="AL122" s="21">
        <v>15000</v>
      </c>
      <c r="AM122" s="21">
        <v>28520</v>
      </c>
      <c r="AN122" s="27">
        <f t="shared" si="15"/>
        <v>68520</v>
      </c>
      <c r="AO122" s="96">
        <f t="shared" si="16"/>
        <v>1425000</v>
      </c>
      <c r="AP122" s="25">
        <v>8000</v>
      </c>
      <c r="AQ122" s="89">
        <v>0</v>
      </c>
      <c r="AR122" s="25">
        <f t="shared" si="17"/>
        <v>8000</v>
      </c>
      <c r="AS122" s="22">
        <v>0</v>
      </c>
      <c r="AT122" s="22">
        <v>0</v>
      </c>
      <c r="AU122" s="15">
        <f t="shared" si="18"/>
        <v>68520</v>
      </c>
      <c r="AV122" s="118">
        <f t="shared" si="19"/>
        <v>1433000</v>
      </c>
      <c r="AW122" s="88" t="str">
        <f t="shared" si="24"/>
        <v>MAHINDRA</v>
      </c>
      <c r="AX122" s="86">
        <v>45446</v>
      </c>
      <c r="AY122" s="13"/>
      <c r="AZ122" s="23">
        <v>0</v>
      </c>
      <c r="BA122" s="23">
        <f>50000</f>
        <v>50000</v>
      </c>
      <c r="BB122" s="17">
        <v>0</v>
      </c>
      <c r="BC122" s="20" t="s">
        <v>72</v>
      </c>
      <c r="BD122" s="22">
        <v>0</v>
      </c>
      <c r="BE122" s="22">
        <v>0</v>
      </c>
      <c r="BF122" s="18" t="e">
        <f>+#REF!-AV122-AZ122-BA122-BD122+BE122</f>
        <v>#REF!</v>
      </c>
      <c r="BG122" s="22" t="s">
        <v>580</v>
      </c>
      <c r="BH122" s="22"/>
      <c r="BI122" s="22"/>
      <c r="BJ122" s="22">
        <v>0</v>
      </c>
      <c r="BK122" s="19"/>
    </row>
    <row r="123" spans="1:63" ht="17.25" x14ac:dyDescent="0.3">
      <c r="A123" s="11">
        <v>45413</v>
      </c>
      <c r="B123" s="12">
        <v>122</v>
      </c>
      <c r="C123" s="12">
        <v>57</v>
      </c>
      <c r="D123" s="13">
        <v>45443</v>
      </c>
      <c r="E123" s="98" t="s">
        <v>581</v>
      </c>
      <c r="F123" s="21">
        <v>0</v>
      </c>
      <c r="G123" s="24">
        <f>D123</f>
        <v>45443</v>
      </c>
      <c r="H123" s="21" t="s">
        <v>186</v>
      </c>
      <c r="I123" s="23" t="s">
        <v>78</v>
      </c>
      <c r="J123" s="21" t="s">
        <v>79</v>
      </c>
      <c r="K123" s="21" t="s">
        <v>66</v>
      </c>
      <c r="L123" s="28">
        <v>7511076</v>
      </c>
      <c r="M123" s="29">
        <v>279560</v>
      </c>
      <c r="N123" s="21" t="s">
        <v>67</v>
      </c>
      <c r="O123" s="25">
        <v>0</v>
      </c>
      <c r="P123" s="26" t="s">
        <v>81</v>
      </c>
      <c r="Q123" s="26" t="s">
        <v>175</v>
      </c>
      <c r="R123" s="23" t="s">
        <v>67</v>
      </c>
      <c r="S123" s="23" t="s">
        <v>67</v>
      </c>
      <c r="T123" s="23" t="s">
        <v>176</v>
      </c>
      <c r="U123" s="23" t="s">
        <v>176</v>
      </c>
      <c r="V123" s="94">
        <v>846242</v>
      </c>
      <c r="W123" s="21">
        <v>0</v>
      </c>
      <c r="X123" s="21">
        <v>0</v>
      </c>
      <c r="Y123" s="22">
        <v>0</v>
      </c>
      <c r="Z123" s="22">
        <v>0</v>
      </c>
      <c r="AA123" s="25">
        <v>0</v>
      </c>
      <c r="AB123" s="25">
        <v>0</v>
      </c>
      <c r="AC123" s="25">
        <v>0</v>
      </c>
      <c r="AD123" s="21">
        <v>0</v>
      </c>
      <c r="AE123" s="95">
        <f t="shared" si="14"/>
        <v>846242</v>
      </c>
      <c r="AF123" s="21">
        <v>0</v>
      </c>
      <c r="AG123" s="21">
        <v>0</v>
      </c>
      <c r="AH123" s="21">
        <v>0</v>
      </c>
      <c r="AI123" s="21">
        <v>1</v>
      </c>
      <c r="AJ123" s="21">
        <v>0</v>
      </c>
      <c r="AK123" s="21">
        <v>0</v>
      </c>
      <c r="AL123" s="21">
        <v>17399</v>
      </c>
      <c r="AM123" s="21">
        <v>0</v>
      </c>
      <c r="AN123" s="27">
        <f t="shared" si="15"/>
        <v>17400</v>
      </c>
      <c r="AO123" s="96">
        <f t="shared" si="16"/>
        <v>828842</v>
      </c>
      <c r="AP123" s="25">
        <v>0</v>
      </c>
      <c r="AQ123" s="89">
        <v>0</v>
      </c>
      <c r="AR123" s="25">
        <f t="shared" si="17"/>
        <v>0</v>
      </c>
      <c r="AS123" s="22">
        <v>0</v>
      </c>
      <c r="AT123" s="22">
        <v>0</v>
      </c>
      <c r="AU123" s="15">
        <f t="shared" si="18"/>
        <v>17400</v>
      </c>
      <c r="AV123" s="118">
        <f t="shared" si="19"/>
        <v>828842</v>
      </c>
      <c r="AW123" s="88" t="str">
        <f t="shared" si="24"/>
        <v>NMPL</v>
      </c>
      <c r="AX123" s="86">
        <f>D123</f>
        <v>45443</v>
      </c>
      <c r="AY123" s="13">
        <v>0</v>
      </c>
      <c r="AZ123" s="23">
        <v>0</v>
      </c>
      <c r="BA123" s="23">
        <v>0</v>
      </c>
      <c r="BB123" s="17">
        <v>0</v>
      </c>
      <c r="BC123" s="20">
        <v>0</v>
      </c>
      <c r="BD123" s="22">
        <v>0</v>
      </c>
      <c r="BE123" s="22">
        <v>0</v>
      </c>
      <c r="BF123" s="18" t="e">
        <f>+#REF!-AV123-AZ123-BA123-BD123+BE123</f>
        <v>#REF!</v>
      </c>
      <c r="BG123" s="22">
        <v>0</v>
      </c>
      <c r="BH123" s="22"/>
      <c r="BI123" s="22"/>
      <c r="BJ123" s="22"/>
      <c r="BK123" s="19"/>
    </row>
    <row r="124" spans="1:63" ht="17.25" x14ac:dyDescent="0.3">
      <c r="A124" s="11">
        <v>45413</v>
      </c>
      <c r="B124" s="12">
        <v>123</v>
      </c>
      <c r="C124" s="12">
        <v>58</v>
      </c>
      <c r="D124" s="13">
        <v>45443</v>
      </c>
      <c r="E124" s="98" t="s">
        <v>581</v>
      </c>
      <c r="F124" s="21">
        <v>0</v>
      </c>
      <c r="G124" s="24">
        <v>0</v>
      </c>
      <c r="H124" s="21" t="s">
        <v>186</v>
      </c>
      <c r="I124" s="23" t="s">
        <v>78</v>
      </c>
      <c r="J124" s="21" t="s">
        <v>104</v>
      </c>
      <c r="K124" s="21" t="s">
        <v>97</v>
      </c>
      <c r="L124" s="28">
        <v>7506654</v>
      </c>
      <c r="M124" s="29">
        <v>274885</v>
      </c>
      <c r="N124" s="21" t="s">
        <v>67</v>
      </c>
      <c r="O124" s="25">
        <v>0</v>
      </c>
      <c r="P124" s="26" t="s">
        <v>81</v>
      </c>
      <c r="Q124" s="26" t="s">
        <v>175</v>
      </c>
      <c r="R124" s="23" t="s">
        <v>67</v>
      </c>
      <c r="S124" s="23" t="s">
        <v>67</v>
      </c>
      <c r="T124" s="23" t="s">
        <v>176</v>
      </c>
      <c r="U124" s="23" t="s">
        <v>176</v>
      </c>
      <c r="V124" s="94">
        <v>932242</v>
      </c>
      <c r="W124" s="21">
        <v>0</v>
      </c>
      <c r="X124" s="21">
        <v>0</v>
      </c>
      <c r="Y124" s="22">
        <v>0</v>
      </c>
      <c r="Z124" s="22">
        <v>0</v>
      </c>
      <c r="AA124" s="25">
        <v>0</v>
      </c>
      <c r="AB124" s="25">
        <v>0</v>
      </c>
      <c r="AC124" s="25">
        <v>0</v>
      </c>
      <c r="AD124" s="21">
        <v>0</v>
      </c>
      <c r="AE124" s="95">
        <f t="shared" si="14"/>
        <v>932242</v>
      </c>
      <c r="AF124" s="21">
        <v>0</v>
      </c>
      <c r="AG124" s="21">
        <v>0</v>
      </c>
      <c r="AH124" s="21">
        <v>0</v>
      </c>
      <c r="AI124" s="21">
        <v>1</v>
      </c>
      <c r="AJ124" s="21">
        <v>0</v>
      </c>
      <c r="AK124" s="21">
        <v>0</v>
      </c>
      <c r="AL124" s="21">
        <v>22849</v>
      </c>
      <c r="AM124" s="21">
        <v>0</v>
      </c>
      <c r="AN124" s="27">
        <f t="shared" si="15"/>
        <v>22850</v>
      </c>
      <c r="AO124" s="96">
        <f t="shared" si="16"/>
        <v>909392</v>
      </c>
      <c r="AP124" s="25">
        <v>0</v>
      </c>
      <c r="AQ124" s="89">
        <v>0</v>
      </c>
      <c r="AR124" s="25">
        <f t="shared" si="17"/>
        <v>0</v>
      </c>
      <c r="AS124" s="22">
        <v>0</v>
      </c>
      <c r="AT124" s="22">
        <v>0</v>
      </c>
      <c r="AU124" s="15">
        <f t="shared" si="18"/>
        <v>22850</v>
      </c>
      <c r="AV124" s="118">
        <f t="shared" si="19"/>
        <v>909392</v>
      </c>
      <c r="AW124" s="88" t="str">
        <f t="shared" si="24"/>
        <v>NMPL</v>
      </c>
      <c r="AX124" s="86">
        <f>D124</f>
        <v>45443</v>
      </c>
      <c r="AY124" s="13">
        <v>0</v>
      </c>
      <c r="AZ124" s="23">
        <v>0</v>
      </c>
      <c r="BA124" s="23">
        <v>0</v>
      </c>
      <c r="BB124" s="17">
        <v>0</v>
      </c>
      <c r="BC124" s="20">
        <v>0</v>
      </c>
      <c r="BD124" s="22">
        <v>0</v>
      </c>
      <c r="BE124" s="22">
        <v>0</v>
      </c>
      <c r="BF124" s="18" t="e">
        <f>+#REF!-AV124-AZ124-BA124-BD124+BE124</f>
        <v>#REF!</v>
      </c>
      <c r="BG124" s="22">
        <v>0</v>
      </c>
      <c r="BH124" s="22"/>
      <c r="BI124" s="22"/>
      <c r="BJ124" s="22"/>
      <c r="BK124" s="19"/>
    </row>
    <row r="125" spans="1:63" ht="17.25" x14ac:dyDescent="0.3">
      <c r="A125" s="11">
        <v>45413</v>
      </c>
      <c r="B125" s="12">
        <v>124</v>
      </c>
      <c r="C125" s="12">
        <v>59</v>
      </c>
      <c r="D125" s="13">
        <v>45446</v>
      </c>
      <c r="E125" s="81" t="s">
        <v>582</v>
      </c>
      <c r="F125" s="21">
        <v>9059898905</v>
      </c>
      <c r="G125" s="24">
        <f t="shared" ref="G125:G143" si="25">D125</f>
        <v>45446</v>
      </c>
      <c r="H125" s="21" t="s">
        <v>583</v>
      </c>
      <c r="I125" s="23" t="s">
        <v>584</v>
      </c>
      <c r="J125" s="21" t="s">
        <v>313</v>
      </c>
      <c r="K125" s="21" t="s">
        <v>585</v>
      </c>
      <c r="L125" s="21">
        <v>4335414</v>
      </c>
      <c r="M125" s="21">
        <v>138423</v>
      </c>
      <c r="N125" s="21" t="s">
        <v>67</v>
      </c>
      <c r="O125" s="25">
        <v>800000</v>
      </c>
      <c r="P125" s="26" t="s">
        <v>81</v>
      </c>
      <c r="Q125" s="26" t="s">
        <v>339</v>
      </c>
      <c r="R125" s="23" t="s">
        <v>586</v>
      </c>
      <c r="S125" s="23" t="s">
        <v>587</v>
      </c>
      <c r="T125" s="23" t="s">
        <v>176</v>
      </c>
      <c r="U125" s="26" t="s">
        <v>176</v>
      </c>
      <c r="V125" s="94">
        <v>1385000</v>
      </c>
      <c r="W125" s="21">
        <v>0</v>
      </c>
      <c r="X125" s="21">
        <v>0</v>
      </c>
      <c r="Y125" s="22">
        <v>0</v>
      </c>
      <c r="Z125" s="22">
        <v>0</v>
      </c>
      <c r="AA125" s="25">
        <v>145730</v>
      </c>
      <c r="AB125" s="25">
        <v>0</v>
      </c>
      <c r="AC125" s="25">
        <v>11414</v>
      </c>
      <c r="AD125" s="21">
        <v>0</v>
      </c>
      <c r="AE125" s="95">
        <f t="shared" si="14"/>
        <v>1542144</v>
      </c>
      <c r="AF125" s="21">
        <v>0</v>
      </c>
      <c r="AG125" s="21">
        <v>50000</v>
      </c>
      <c r="AH125" s="21">
        <v>0</v>
      </c>
      <c r="AI125" s="21">
        <v>0</v>
      </c>
      <c r="AJ125" s="21">
        <v>0</v>
      </c>
      <c r="AK125" s="21">
        <v>0</v>
      </c>
      <c r="AL125" s="21"/>
      <c r="AM125" s="21">
        <v>190267</v>
      </c>
      <c r="AN125" s="27">
        <f t="shared" si="15"/>
        <v>240267</v>
      </c>
      <c r="AO125" s="96">
        <f t="shared" si="16"/>
        <v>1301877</v>
      </c>
      <c r="AP125" s="25">
        <v>0</v>
      </c>
      <c r="AQ125" s="89">
        <v>0</v>
      </c>
      <c r="AR125" s="25">
        <f t="shared" si="17"/>
        <v>0</v>
      </c>
      <c r="AS125" s="22">
        <v>0</v>
      </c>
      <c r="AT125" s="22">
        <v>0</v>
      </c>
      <c r="AU125" s="15">
        <f t="shared" si="18"/>
        <v>240267</v>
      </c>
      <c r="AV125" s="118">
        <f t="shared" si="19"/>
        <v>1301877</v>
      </c>
      <c r="AW125" s="88" t="str">
        <f t="shared" si="24"/>
        <v>INDIAN BANK</v>
      </c>
      <c r="AX125" s="86">
        <v>45415</v>
      </c>
      <c r="AY125" s="13">
        <v>45385</v>
      </c>
      <c r="AZ125" s="23">
        <v>0</v>
      </c>
      <c r="BA125" s="23">
        <f>5000+200000+35000</f>
        <v>240000</v>
      </c>
      <c r="BB125" s="17">
        <v>0</v>
      </c>
      <c r="BC125" s="20">
        <v>0</v>
      </c>
      <c r="BD125" s="22">
        <v>0</v>
      </c>
      <c r="BE125" s="22">
        <v>0</v>
      </c>
      <c r="BF125" s="18" t="e">
        <f>+#REF!-AV125-AZ125-BA125-BD125+BE125</f>
        <v>#REF!</v>
      </c>
      <c r="BG125" s="22" t="s">
        <v>588</v>
      </c>
      <c r="BH125" s="22"/>
      <c r="BI125" s="22" t="s">
        <v>568</v>
      </c>
      <c r="BJ125" s="22">
        <v>0</v>
      </c>
      <c r="BK125" s="19"/>
    </row>
    <row r="126" spans="1:63" ht="17.25" customHeight="1" x14ac:dyDescent="0.3">
      <c r="A126" s="30">
        <v>45444</v>
      </c>
      <c r="B126" s="31">
        <v>125</v>
      </c>
      <c r="C126" s="32">
        <v>1</v>
      </c>
      <c r="D126" s="33">
        <v>45446</v>
      </c>
      <c r="E126" s="34" t="s">
        <v>589</v>
      </c>
      <c r="F126" s="99">
        <v>9111612211</v>
      </c>
      <c r="G126" s="100">
        <f>D126</f>
        <v>45446</v>
      </c>
      <c r="H126" s="99" t="s">
        <v>590</v>
      </c>
      <c r="I126" s="68" t="s">
        <v>64</v>
      </c>
      <c r="J126" s="99" t="s">
        <v>65</v>
      </c>
      <c r="K126" s="99" t="s">
        <v>66</v>
      </c>
      <c r="L126" s="101">
        <v>4446944</v>
      </c>
      <c r="M126" s="101">
        <v>727809</v>
      </c>
      <c r="N126" s="99" t="s">
        <v>67</v>
      </c>
      <c r="O126" s="101">
        <v>0</v>
      </c>
      <c r="P126" s="67" t="s">
        <v>81</v>
      </c>
      <c r="Q126" s="67" t="s">
        <v>148</v>
      </c>
      <c r="R126" s="68" t="s">
        <v>149</v>
      </c>
      <c r="S126" s="68" t="s">
        <v>67</v>
      </c>
      <c r="T126" s="68" t="s">
        <v>115</v>
      </c>
      <c r="U126" s="67" t="s">
        <v>116</v>
      </c>
      <c r="V126" s="102">
        <v>665742</v>
      </c>
      <c r="W126" s="99">
        <v>11328</v>
      </c>
      <c r="X126" s="56">
        <v>0</v>
      </c>
      <c r="Y126" s="68">
        <v>885</v>
      </c>
      <c r="Z126" s="56">
        <v>500</v>
      </c>
      <c r="AA126" s="101">
        <v>60463</v>
      </c>
      <c r="AB126" s="101">
        <v>0</v>
      </c>
      <c r="AC126" s="101">
        <v>0</v>
      </c>
      <c r="AD126" s="101">
        <v>25337</v>
      </c>
      <c r="AE126" s="103">
        <f>SUM(V126:AD126)</f>
        <v>764255</v>
      </c>
      <c r="AF126" s="99">
        <v>10000</v>
      </c>
      <c r="AG126" s="99">
        <v>25000</v>
      </c>
      <c r="AH126" s="99">
        <v>0</v>
      </c>
      <c r="AI126" s="99">
        <v>1</v>
      </c>
      <c r="AJ126" s="99">
        <v>0</v>
      </c>
      <c r="AK126" s="99">
        <v>0</v>
      </c>
      <c r="AL126" s="99">
        <v>0</v>
      </c>
      <c r="AM126" s="99">
        <v>31054</v>
      </c>
      <c r="AN126" s="45">
        <f>SUM(AF126:AM126)</f>
        <v>66055</v>
      </c>
      <c r="AO126" s="104">
        <f>+AE126-AN126</f>
        <v>698200</v>
      </c>
      <c r="AP126" s="101">
        <v>32000</v>
      </c>
      <c r="AQ126" s="105">
        <v>200</v>
      </c>
      <c r="AR126" s="101">
        <f>AP126-AQ126</f>
        <v>31800</v>
      </c>
      <c r="AS126" s="56">
        <v>0</v>
      </c>
      <c r="AT126" s="56">
        <v>0</v>
      </c>
      <c r="AU126" s="48">
        <f>+AN126+AQ126</f>
        <v>66255</v>
      </c>
      <c r="AV126" s="119">
        <f>AO126+AR126+AS126+AT126</f>
        <v>730000</v>
      </c>
      <c r="AW126" s="49">
        <f>O126-AX126</f>
        <v>-720000</v>
      </c>
      <c r="AX126" s="68">
        <v>720000</v>
      </c>
      <c r="AY126" s="106" t="str">
        <f>Q126</f>
        <v>CHEQUE</v>
      </c>
      <c r="AZ126" s="107">
        <f>D126</f>
        <v>45446</v>
      </c>
      <c r="BA126" s="33">
        <v>45447</v>
      </c>
      <c r="BB126" s="68">
        <v>0</v>
      </c>
      <c r="BC126" s="68">
        <f>5100+10000</f>
        <v>15100</v>
      </c>
      <c r="BD126" s="56">
        <v>0</v>
      </c>
      <c r="BE126" s="56">
        <v>0</v>
      </c>
      <c r="BF126" s="56">
        <v>0</v>
      </c>
      <c r="BG126" s="56">
        <v>0</v>
      </c>
      <c r="BH126" s="55">
        <f>+AV126-AX126-BB126-BC126-BF126+BG126</f>
        <v>-5100</v>
      </c>
      <c r="BI126" s="56" t="s">
        <v>109</v>
      </c>
      <c r="BJ126" s="56"/>
      <c r="BK126" s="19"/>
    </row>
    <row r="127" spans="1:63" ht="17.25" customHeight="1" x14ac:dyDescent="0.3">
      <c r="A127" s="30">
        <v>45444</v>
      </c>
      <c r="B127" s="31">
        <v>126</v>
      </c>
      <c r="C127" s="31">
        <v>2</v>
      </c>
      <c r="D127" s="33">
        <v>45449</v>
      </c>
      <c r="E127" s="34" t="s">
        <v>591</v>
      </c>
      <c r="F127" s="99">
        <v>9039494383</v>
      </c>
      <c r="G127" s="100">
        <f>D127</f>
        <v>45449</v>
      </c>
      <c r="H127" s="99" t="s">
        <v>592</v>
      </c>
      <c r="I127" s="68" t="s">
        <v>397</v>
      </c>
      <c r="J127" s="99" t="s">
        <v>65</v>
      </c>
      <c r="K127" s="99" t="s">
        <v>199</v>
      </c>
      <c r="L127" s="99">
        <v>4866601</v>
      </c>
      <c r="M127" s="99">
        <v>438439</v>
      </c>
      <c r="N127" s="99" t="s">
        <v>155</v>
      </c>
      <c r="O127" s="101">
        <v>500000</v>
      </c>
      <c r="P127" s="67" t="s">
        <v>68</v>
      </c>
      <c r="Q127" s="67" t="s">
        <v>179</v>
      </c>
      <c r="R127" s="68" t="s">
        <v>155</v>
      </c>
      <c r="S127" s="68" t="s">
        <v>155</v>
      </c>
      <c r="T127" s="68" t="s">
        <v>157</v>
      </c>
      <c r="U127" s="67" t="s">
        <v>215</v>
      </c>
      <c r="V127" s="102">
        <v>584000</v>
      </c>
      <c r="W127" s="99">
        <v>0</v>
      </c>
      <c r="X127" s="56">
        <v>0</v>
      </c>
      <c r="Y127" s="68">
        <v>885</v>
      </c>
      <c r="Z127" s="56">
        <v>0</v>
      </c>
      <c r="AA127" s="101">
        <v>53924</v>
      </c>
      <c r="AB127" s="101">
        <v>0</v>
      </c>
      <c r="AC127" s="101">
        <v>0</v>
      </c>
      <c r="AD127" s="101">
        <v>24443</v>
      </c>
      <c r="AE127" s="103">
        <f>SUM(V127:AD127)</f>
        <v>663252</v>
      </c>
      <c r="AF127" s="99">
        <v>10000</v>
      </c>
      <c r="AG127" s="99">
        <v>25000</v>
      </c>
      <c r="AH127" s="99">
        <v>0</v>
      </c>
      <c r="AI127" s="99">
        <v>0</v>
      </c>
      <c r="AJ127" s="99">
        <v>2100</v>
      </c>
      <c r="AK127" s="99">
        <v>0</v>
      </c>
      <c r="AL127" s="99">
        <v>0</v>
      </c>
      <c r="AM127" s="99">
        <v>14652</v>
      </c>
      <c r="AN127" s="45">
        <f>SUM(AF127:AM127)</f>
        <v>51752</v>
      </c>
      <c r="AO127" s="104">
        <f>+AE127-AN127</f>
        <v>611500</v>
      </c>
      <c r="AP127" s="101">
        <v>35610</v>
      </c>
      <c r="AQ127" s="105">
        <v>110</v>
      </c>
      <c r="AR127" s="101">
        <f>AP127-AQ127</f>
        <v>35500</v>
      </c>
      <c r="AS127" s="56">
        <v>0</v>
      </c>
      <c r="AT127" s="56">
        <v>0</v>
      </c>
      <c r="AU127" s="48">
        <f>+AN127+AQ127</f>
        <v>51862</v>
      </c>
      <c r="AV127" s="119">
        <f>AO127+AR127+AS127+AT127</f>
        <v>647000</v>
      </c>
      <c r="AW127" s="49">
        <f>O127-AX127</f>
        <v>3100</v>
      </c>
      <c r="AX127" s="68">
        <v>496900</v>
      </c>
      <c r="AY127" s="106" t="str">
        <f>Q127</f>
        <v>MAHINDRA</v>
      </c>
      <c r="AZ127" s="107">
        <f>D127</f>
        <v>45449</v>
      </c>
      <c r="BA127" s="33">
        <v>45453</v>
      </c>
      <c r="BB127" s="68">
        <f>50000+22100+78000+6800</f>
        <v>156900</v>
      </c>
      <c r="BC127" s="68">
        <v>0</v>
      </c>
      <c r="BD127" s="56">
        <v>0</v>
      </c>
      <c r="BE127" s="56">
        <v>0</v>
      </c>
      <c r="BF127" s="56">
        <v>0</v>
      </c>
      <c r="BG127" s="56">
        <v>0</v>
      </c>
      <c r="BH127" s="55">
        <f>+AV127-AX127-BB127-BC127-BF127+BG127</f>
        <v>-6800</v>
      </c>
      <c r="BI127" s="56" t="s">
        <v>593</v>
      </c>
      <c r="BJ127" s="56"/>
      <c r="BK127" s="19"/>
    </row>
    <row r="128" spans="1:63" ht="17.25" customHeight="1" x14ac:dyDescent="0.3">
      <c r="A128" s="30">
        <v>45444</v>
      </c>
      <c r="B128" s="31">
        <v>127</v>
      </c>
      <c r="C128" s="31">
        <v>3</v>
      </c>
      <c r="D128" s="33">
        <v>45449</v>
      </c>
      <c r="E128" s="34" t="s">
        <v>594</v>
      </c>
      <c r="F128" s="99">
        <v>9826744245</v>
      </c>
      <c r="G128" s="100">
        <f>D128</f>
        <v>45449</v>
      </c>
      <c r="H128" s="99" t="s">
        <v>595</v>
      </c>
      <c r="I128" s="68" t="s">
        <v>112</v>
      </c>
      <c r="J128" s="99" t="s">
        <v>313</v>
      </c>
      <c r="K128" s="99" t="s">
        <v>66</v>
      </c>
      <c r="L128" s="99">
        <v>1410893</v>
      </c>
      <c r="M128" s="99">
        <v>492361</v>
      </c>
      <c r="N128" s="99" t="s">
        <v>155</v>
      </c>
      <c r="O128" s="101">
        <v>900000</v>
      </c>
      <c r="P128" s="67" t="s">
        <v>68</v>
      </c>
      <c r="Q128" s="67" t="s">
        <v>122</v>
      </c>
      <c r="R128" s="68" t="s">
        <v>123</v>
      </c>
      <c r="S128" s="68" t="s">
        <v>106</v>
      </c>
      <c r="T128" s="68" t="s">
        <v>157</v>
      </c>
      <c r="U128" s="67" t="s">
        <v>215</v>
      </c>
      <c r="V128" s="102">
        <v>1109000</v>
      </c>
      <c r="W128" s="99">
        <v>0</v>
      </c>
      <c r="X128" s="56">
        <v>0</v>
      </c>
      <c r="Y128" s="68">
        <v>885</v>
      </c>
      <c r="Z128" s="56">
        <v>0</v>
      </c>
      <c r="AA128" s="101">
        <v>119130</v>
      </c>
      <c r="AB128" s="101">
        <v>0</v>
      </c>
      <c r="AC128" s="101">
        <v>10322</v>
      </c>
      <c r="AD128" s="101">
        <v>30654</v>
      </c>
      <c r="AE128" s="103">
        <f>SUM(V128:AD128)</f>
        <v>1269991</v>
      </c>
      <c r="AF128" s="99">
        <v>0</v>
      </c>
      <c r="AG128" s="99">
        <v>20000</v>
      </c>
      <c r="AH128" s="99">
        <v>0</v>
      </c>
      <c r="AI128" s="99">
        <v>1</v>
      </c>
      <c r="AJ128" s="99">
        <v>0</v>
      </c>
      <c r="AK128" s="99">
        <v>10000</v>
      </c>
      <c r="AL128" s="99">
        <v>0</v>
      </c>
      <c r="AM128" s="99">
        <v>46790</v>
      </c>
      <c r="AN128" s="45">
        <f>SUM(AF128:AM128)</f>
        <v>76791</v>
      </c>
      <c r="AO128" s="104">
        <f>+AE128-AN128</f>
        <v>1193200</v>
      </c>
      <c r="AP128" s="101">
        <v>6840</v>
      </c>
      <c r="AQ128" s="105">
        <v>40</v>
      </c>
      <c r="AR128" s="101">
        <f>AP128-AQ128</f>
        <v>6800</v>
      </c>
      <c r="AS128" s="56">
        <v>0</v>
      </c>
      <c r="AT128" s="56">
        <v>0</v>
      </c>
      <c r="AU128" s="48">
        <f>+AN128+AQ128</f>
        <v>76831</v>
      </c>
      <c r="AV128" s="119">
        <f>AO128+AR128+AS128+AT128</f>
        <v>1200000</v>
      </c>
      <c r="AW128" s="49">
        <f>O128-AX128</f>
        <v>0</v>
      </c>
      <c r="AX128" s="68">
        <v>900000</v>
      </c>
      <c r="AY128" s="106" t="str">
        <f>Q128</f>
        <v>BOI</v>
      </c>
      <c r="AZ128" s="107">
        <f>D128</f>
        <v>45449</v>
      </c>
      <c r="BA128" s="33">
        <v>45449</v>
      </c>
      <c r="BB128" s="68">
        <v>0</v>
      </c>
      <c r="BC128" s="68">
        <v>0</v>
      </c>
      <c r="BD128" s="56">
        <v>0</v>
      </c>
      <c r="BE128" s="56">
        <v>0</v>
      </c>
      <c r="BF128" s="56">
        <v>0</v>
      </c>
      <c r="BG128" s="56">
        <v>0</v>
      </c>
      <c r="BH128" s="108">
        <f>+AV128-AX128-BB128-BC128-BF128+BG128</f>
        <v>300000</v>
      </c>
      <c r="BI128" s="109" t="s">
        <v>596</v>
      </c>
      <c r="BJ128" s="109"/>
      <c r="BK128" s="19"/>
    </row>
    <row r="129" spans="1:63" ht="17.25" customHeight="1" x14ac:dyDescent="0.3">
      <c r="A129" s="30">
        <v>45444</v>
      </c>
      <c r="B129" s="31">
        <v>128</v>
      </c>
      <c r="C129" s="32">
        <v>4</v>
      </c>
      <c r="D129" s="33">
        <v>45450</v>
      </c>
      <c r="E129" s="34" t="s">
        <v>597</v>
      </c>
      <c r="F129" s="99">
        <v>7999557069</v>
      </c>
      <c r="G129" s="100">
        <f>D129</f>
        <v>45450</v>
      </c>
      <c r="H129" s="99" t="s">
        <v>598</v>
      </c>
      <c r="I129" s="68" t="s">
        <v>64</v>
      </c>
      <c r="J129" s="99" t="s">
        <v>65</v>
      </c>
      <c r="K129" s="99" t="s">
        <v>66</v>
      </c>
      <c r="L129" s="99">
        <v>4454951</v>
      </c>
      <c r="M129" s="99">
        <v>737737</v>
      </c>
      <c r="N129" s="99" t="s">
        <v>67</v>
      </c>
      <c r="O129" s="101">
        <v>500000</v>
      </c>
      <c r="P129" s="67" t="s">
        <v>68</v>
      </c>
      <c r="Q129" s="67" t="s">
        <v>179</v>
      </c>
      <c r="R129" s="68" t="s">
        <v>67</v>
      </c>
      <c r="S129" s="68" t="s">
        <v>67</v>
      </c>
      <c r="T129" s="68" t="s">
        <v>70</v>
      </c>
      <c r="U129" s="67" t="s">
        <v>100</v>
      </c>
      <c r="V129" s="102">
        <v>665742</v>
      </c>
      <c r="W129" s="99">
        <v>11328</v>
      </c>
      <c r="X129" s="56">
        <v>4307</v>
      </c>
      <c r="Y129" s="68">
        <v>885</v>
      </c>
      <c r="Z129" s="56">
        <v>500</v>
      </c>
      <c r="AA129" s="101">
        <v>60463</v>
      </c>
      <c r="AB129" s="101">
        <v>0</v>
      </c>
      <c r="AC129" s="101">
        <v>0</v>
      </c>
      <c r="AD129" s="101">
        <v>25801</v>
      </c>
      <c r="AE129" s="103">
        <f>SUM(V129:AD129)</f>
        <v>769026</v>
      </c>
      <c r="AF129" s="99">
        <v>10000</v>
      </c>
      <c r="AG129" s="99">
        <v>25000</v>
      </c>
      <c r="AH129" s="99">
        <v>0</v>
      </c>
      <c r="AI129" s="99">
        <v>1</v>
      </c>
      <c r="AJ129" s="99">
        <v>0</v>
      </c>
      <c r="AK129" s="99">
        <v>0</v>
      </c>
      <c r="AL129" s="99">
        <v>0</v>
      </c>
      <c r="AM129" s="99">
        <v>4725</v>
      </c>
      <c r="AN129" s="45">
        <f>SUM(AF129:AM129)</f>
        <v>39726</v>
      </c>
      <c r="AO129" s="104">
        <f>+AE129-AN129</f>
        <v>729300</v>
      </c>
      <c r="AP129" s="101">
        <v>47440</v>
      </c>
      <c r="AQ129" s="105">
        <v>440</v>
      </c>
      <c r="AR129" s="101">
        <f>AP129-AQ129</f>
        <v>47000</v>
      </c>
      <c r="AS129" s="56">
        <v>0</v>
      </c>
      <c r="AT129" s="56">
        <v>0</v>
      </c>
      <c r="AU129" s="48">
        <f>+AN129+AQ129</f>
        <v>40166</v>
      </c>
      <c r="AV129" s="119">
        <f>AO129+AR129+AS129+AT129</f>
        <v>776300</v>
      </c>
      <c r="AW129" s="49">
        <f>O129-AX129</f>
        <v>9840</v>
      </c>
      <c r="AX129" s="68">
        <v>490160</v>
      </c>
      <c r="AY129" s="106" t="str">
        <f>Q129</f>
        <v>MAHINDRA</v>
      </c>
      <c r="AZ129" s="107">
        <v>45449</v>
      </c>
      <c r="BA129" s="33">
        <v>45452</v>
      </c>
      <c r="BB129" s="68">
        <f>199000</f>
        <v>199000</v>
      </c>
      <c r="BC129" s="68">
        <f>11000+33840+42300</f>
        <v>87140</v>
      </c>
      <c r="BD129" s="56">
        <v>0</v>
      </c>
      <c r="BE129" s="56">
        <v>0</v>
      </c>
      <c r="BF129" s="56">
        <v>0</v>
      </c>
      <c r="BG129" s="56">
        <v>0</v>
      </c>
      <c r="BH129" s="55">
        <f>+AV129-AX129-BB129-BC129-BF129+BG129</f>
        <v>0</v>
      </c>
      <c r="BI129" s="56" t="s">
        <v>109</v>
      </c>
      <c r="BJ129" s="56" t="s">
        <v>599</v>
      </c>
      <c r="BK129" s="19"/>
    </row>
    <row r="130" spans="1:63" ht="17.25" customHeight="1" x14ac:dyDescent="0.3">
      <c r="A130" s="30">
        <v>45444</v>
      </c>
      <c r="B130" s="31">
        <v>129</v>
      </c>
      <c r="C130" s="31">
        <v>5</v>
      </c>
      <c r="D130" s="33">
        <v>45450</v>
      </c>
      <c r="E130" s="34" t="s">
        <v>600</v>
      </c>
      <c r="F130" s="99">
        <v>7000707273</v>
      </c>
      <c r="G130" s="100">
        <f>D130</f>
        <v>45450</v>
      </c>
      <c r="H130" s="99" t="s">
        <v>601</v>
      </c>
      <c r="I130" s="68" t="s">
        <v>64</v>
      </c>
      <c r="J130" s="99" t="s">
        <v>65</v>
      </c>
      <c r="K130" s="99" t="s">
        <v>97</v>
      </c>
      <c r="L130" s="99">
        <v>7480816</v>
      </c>
      <c r="M130" s="99">
        <v>725227</v>
      </c>
      <c r="N130" s="99" t="s">
        <v>155</v>
      </c>
      <c r="O130" s="101">
        <v>445000</v>
      </c>
      <c r="P130" s="110" t="s">
        <v>81</v>
      </c>
      <c r="Q130" s="110" t="s">
        <v>122</v>
      </c>
      <c r="R130" s="111" t="s">
        <v>602</v>
      </c>
      <c r="S130" s="111" t="s">
        <v>106</v>
      </c>
      <c r="T130" s="68" t="s">
        <v>157</v>
      </c>
      <c r="U130" s="67" t="s">
        <v>215</v>
      </c>
      <c r="V130" s="102">
        <v>665742</v>
      </c>
      <c r="W130" s="99">
        <v>0</v>
      </c>
      <c r="X130" s="56">
        <v>0</v>
      </c>
      <c r="Y130" s="68">
        <v>885</v>
      </c>
      <c r="Z130" s="56">
        <v>0</v>
      </c>
      <c r="AA130" s="101">
        <v>60463</v>
      </c>
      <c r="AB130" s="101">
        <v>0</v>
      </c>
      <c r="AC130" s="101">
        <v>0</v>
      </c>
      <c r="AD130" s="101">
        <v>26096</v>
      </c>
      <c r="AE130" s="103">
        <f>SUM(V130:AD130)</f>
        <v>753186</v>
      </c>
      <c r="AF130" s="99">
        <v>10000</v>
      </c>
      <c r="AG130" s="99">
        <v>25000</v>
      </c>
      <c r="AH130" s="99">
        <v>15000</v>
      </c>
      <c r="AI130" s="99">
        <v>1</v>
      </c>
      <c r="AJ130" s="99">
        <v>0</v>
      </c>
      <c r="AK130" s="99">
        <v>0</v>
      </c>
      <c r="AL130" s="99">
        <v>0</v>
      </c>
      <c r="AM130" s="99">
        <v>13185</v>
      </c>
      <c r="AN130" s="45">
        <f>SUM(AF130:AM130)</f>
        <v>63186</v>
      </c>
      <c r="AO130" s="104">
        <f>+AE130-AN130</f>
        <v>690000</v>
      </c>
      <c r="AP130" s="101">
        <v>0</v>
      </c>
      <c r="AQ130" s="105">
        <v>0</v>
      </c>
      <c r="AR130" s="101">
        <f>AP130-AQ130</f>
        <v>0</v>
      </c>
      <c r="AS130" s="56">
        <v>0</v>
      </c>
      <c r="AT130" s="56">
        <v>0</v>
      </c>
      <c r="AU130" s="48">
        <f>+AN130+AQ130</f>
        <v>63186</v>
      </c>
      <c r="AV130" s="119">
        <f>AO130+AR130+AS130+AT130</f>
        <v>690000</v>
      </c>
      <c r="AW130" s="49">
        <f>O130-AX130</f>
        <v>0</v>
      </c>
      <c r="AX130" s="68">
        <v>445000</v>
      </c>
      <c r="AY130" s="106" t="str">
        <f>Q130</f>
        <v>BOI</v>
      </c>
      <c r="AZ130" s="107">
        <v>45449</v>
      </c>
      <c r="BA130" s="33">
        <v>45450</v>
      </c>
      <c r="BB130" s="68">
        <v>0</v>
      </c>
      <c r="BC130" s="68">
        <v>0</v>
      </c>
      <c r="BD130" s="56" t="s">
        <v>603</v>
      </c>
      <c r="BE130" s="56" t="s">
        <v>604</v>
      </c>
      <c r="BF130" s="56">
        <v>260000</v>
      </c>
      <c r="BG130" s="56">
        <v>0</v>
      </c>
      <c r="BH130" s="55">
        <f>+AV130-AX130-BB130-BC130-BF130+BG130</f>
        <v>-15000</v>
      </c>
      <c r="BI130" s="56" t="s">
        <v>605</v>
      </c>
      <c r="BJ130" s="56"/>
      <c r="BK130" s="19"/>
    </row>
    <row r="131" spans="1:63" ht="17.25" customHeight="1" x14ac:dyDescent="0.3">
      <c r="A131" s="30">
        <v>45444</v>
      </c>
      <c r="B131" s="31">
        <v>130</v>
      </c>
      <c r="C131" s="31">
        <v>6</v>
      </c>
      <c r="D131" s="33">
        <v>45450</v>
      </c>
      <c r="E131" s="34" t="s">
        <v>606</v>
      </c>
      <c r="F131" s="99">
        <v>8821900553</v>
      </c>
      <c r="G131" s="100">
        <f>D131</f>
        <v>45450</v>
      </c>
      <c r="H131" s="99" t="s">
        <v>607</v>
      </c>
      <c r="I131" s="68" t="s">
        <v>64</v>
      </c>
      <c r="J131" s="99" t="s">
        <v>65</v>
      </c>
      <c r="K131" s="99" t="s">
        <v>66</v>
      </c>
      <c r="L131" s="99">
        <v>4448713</v>
      </c>
      <c r="M131" s="99">
        <v>730326</v>
      </c>
      <c r="N131" s="99" t="s">
        <v>80</v>
      </c>
      <c r="O131" s="101">
        <v>670000</v>
      </c>
      <c r="P131" s="67" t="s">
        <v>81</v>
      </c>
      <c r="Q131" s="67" t="s">
        <v>90</v>
      </c>
      <c r="R131" s="68" t="s">
        <v>80</v>
      </c>
      <c r="S131" s="68" t="s">
        <v>80</v>
      </c>
      <c r="T131" s="68" t="s">
        <v>84</v>
      </c>
      <c r="U131" s="67" t="s">
        <v>170</v>
      </c>
      <c r="V131" s="102">
        <v>665742</v>
      </c>
      <c r="W131" s="99">
        <v>11328</v>
      </c>
      <c r="X131" s="56">
        <v>4307</v>
      </c>
      <c r="Y131" s="68">
        <v>885</v>
      </c>
      <c r="Z131" s="56">
        <v>0</v>
      </c>
      <c r="AA131" s="101">
        <v>60463</v>
      </c>
      <c r="AB131" s="101">
        <v>0</v>
      </c>
      <c r="AC131" s="101">
        <v>0</v>
      </c>
      <c r="AD131" s="101">
        <v>25801</v>
      </c>
      <c r="AE131" s="103">
        <f>SUM(V131:AD131)</f>
        <v>768526</v>
      </c>
      <c r="AF131" s="99">
        <v>10000</v>
      </c>
      <c r="AG131" s="99">
        <v>25000</v>
      </c>
      <c r="AH131" s="99">
        <v>0</v>
      </c>
      <c r="AI131" s="99">
        <v>1</v>
      </c>
      <c r="AJ131" s="99">
        <v>0</v>
      </c>
      <c r="AK131" s="99">
        <v>0</v>
      </c>
      <c r="AL131" s="99">
        <v>0</v>
      </c>
      <c r="AM131" s="99">
        <v>15485</v>
      </c>
      <c r="AN131" s="45">
        <f>SUM(AF131:AM131)</f>
        <v>50486</v>
      </c>
      <c r="AO131" s="104">
        <f>+AE131-AN131</f>
        <v>718040</v>
      </c>
      <c r="AP131" s="101">
        <v>2000</v>
      </c>
      <c r="AQ131" s="105">
        <v>40</v>
      </c>
      <c r="AR131" s="101">
        <f>AP131-AQ131</f>
        <v>1960</v>
      </c>
      <c r="AS131" s="56">
        <v>0</v>
      </c>
      <c r="AT131" s="56">
        <v>0</v>
      </c>
      <c r="AU131" s="48">
        <f>+AN131+AQ131</f>
        <v>50526</v>
      </c>
      <c r="AV131" s="119">
        <f>AO131+AR131+AS131+AT131</f>
        <v>720000</v>
      </c>
      <c r="AW131" s="49">
        <f>O131-AX131</f>
        <v>0</v>
      </c>
      <c r="AX131" s="68">
        <v>670000</v>
      </c>
      <c r="AY131" s="106" t="str">
        <f>Q131</f>
        <v>MPGB</v>
      </c>
      <c r="AZ131" s="107">
        <f>D131</f>
        <v>45450</v>
      </c>
      <c r="BA131" s="33">
        <v>45450</v>
      </c>
      <c r="BB131" s="68">
        <v>0</v>
      </c>
      <c r="BC131" s="68">
        <f>45000+5000</f>
        <v>50000</v>
      </c>
      <c r="BD131" s="56">
        <v>0</v>
      </c>
      <c r="BE131" s="56">
        <v>0</v>
      </c>
      <c r="BF131" s="56">
        <v>0</v>
      </c>
      <c r="BG131" s="56">
        <v>0</v>
      </c>
      <c r="BH131" s="55">
        <f>+AV131-AX131-BB131-BC131-BF131+BG131</f>
        <v>0</v>
      </c>
      <c r="BI131" s="56" t="s">
        <v>109</v>
      </c>
      <c r="BJ131" s="56"/>
      <c r="BK131" s="19"/>
    </row>
    <row r="132" spans="1:63" ht="17.25" customHeight="1" x14ac:dyDescent="0.3">
      <c r="A132" s="30">
        <v>45444</v>
      </c>
      <c r="B132" s="31">
        <v>131</v>
      </c>
      <c r="C132" s="31">
        <v>7</v>
      </c>
      <c r="D132" s="33">
        <v>45450</v>
      </c>
      <c r="E132" s="34" t="s">
        <v>608</v>
      </c>
      <c r="F132" s="99">
        <v>9981191550</v>
      </c>
      <c r="G132" s="100">
        <f>D132</f>
        <v>45450</v>
      </c>
      <c r="H132" s="99" t="s">
        <v>609</v>
      </c>
      <c r="I132" s="68" t="s">
        <v>162</v>
      </c>
      <c r="J132" s="99" t="s">
        <v>610</v>
      </c>
      <c r="K132" s="99" t="s">
        <v>213</v>
      </c>
      <c r="L132" s="99">
        <v>7441786</v>
      </c>
      <c r="M132" s="99">
        <v>380990</v>
      </c>
      <c r="N132" s="99" t="s">
        <v>99</v>
      </c>
      <c r="O132" s="101">
        <v>1000000</v>
      </c>
      <c r="P132" s="67" t="s">
        <v>68</v>
      </c>
      <c r="Q132" s="67" t="s">
        <v>122</v>
      </c>
      <c r="R132" s="68" t="s">
        <v>611</v>
      </c>
      <c r="S132" s="68" t="s">
        <v>80</v>
      </c>
      <c r="T132" s="68" t="s">
        <v>165</v>
      </c>
      <c r="U132" s="68" t="s">
        <v>165</v>
      </c>
      <c r="V132" s="102">
        <v>1321000</v>
      </c>
      <c r="W132" s="99">
        <v>22727</v>
      </c>
      <c r="X132" s="56">
        <v>0</v>
      </c>
      <c r="Y132" s="68">
        <v>885</v>
      </c>
      <c r="Z132" s="56">
        <v>0</v>
      </c>
      <c r="AA132" s="101">
        <v>139330</v>
      </c>
      <c r="AB132" s="101">
        <v>0</v>
      </c>
      <c r="AC132" s="101">
        <v>13100</v>
      </c>
      <c r="AD132" s="101">
        <v>35124</v>
      </c>
      <c r="AE132" s="103">
        <f>SUM(V132:AD132)</f>
        <v>1532166</v>
      </c>
      <c r="AF132" s="99">
        <v>0</v>
      </c>
      <c r="AG132" s="99">
        <v>10000</v>
      </c>
      <c r="AH132" s="99">
        <v>0</v>
      </c>
      <c r="AI132" s="99">
        <v>1</v>
      </c>
      <c r="AJ132" s="99">
        <v>0</v>
      </c>
      <c r="AK132" s="99">
        <v>0</v>
      </c>
      <c r="AL132" s="99">
        <v>0</v>
      </c>
      <c r="AM132" s="99">
        <v>1000</v>
      </c>
      <c r="AN132" s="45">
        <f>SUM(AF132:AM132)</f>
        <v>11001</v>
      </c>
      <c r="AO132" s="104">
        <f>+AE132-AN132</f>
        <v>1521165</v>
      </c>
      <c r="AP132" s="101">
        <v>14859</v>
      </c>
      <c r="AQ132" s="105">
        <v>24</v>
      </c>
      <c r="AR132" s="101">
        <f>AP132-AQ132</f>
        <v>14835</v>
      </c>
      <c r="AS132" s="56">
        <v>0</v>
      </c>
      <c r="AT132" s="56">
        <v>0</v>
      </c>
      <c r="AU132" s="48">
        <v>8700</v>
      </c>
      <c r="AV132" s="119">
        <f>AO132+AR132+AS132+AT132</f>
        <v>1536000</v>
      </c>
      <c r="AW132" s="49">
        <f>O132-AX132</f>
        <v>0</v>
      </c>
      <c r="AX132" s="68">
        <v>1000000</v>
      </c>
      <c r="AY132" s="106" t="str">
        <f>Q132</f>
        <v>BOI</v>
      </c>
      <c r="AZ132" s="107">
        <v>45447</v>
      </c>
      <c r="BA132" s="107">
        <v>45447</v>
      </c>
      <c r="BB132" s="68">
        <f>75000+11000</f>
        <v>86000</v>
      </c>
      <c r="BC132" s="68">
        <f>21000+100000+250000+60000+19000</f>
        <v>450000</v>
      </c>
      <c r="BD132" s="56">
        <v>0</v>
      </c>
      <c r="BE132" s="56">
        <v>0</v>
      </c>
      <c r="BF132" s="56">
        <v>0</v>
      </c>
      <c r="BG132" s="56">
        <v>0</v>
      </c>
      <c r="BH132" s="55">
        <f>+AV132-AX132-BB132-BC132-BF132+BG132</f>
        <v>0</v>
      </c>
      <c r="BI132" s="56" t="s">
        <v>109</v>
      </c>
      <c r="BJ132" s="56"/>
      <c r="BK132" s="19"/>
    </row>
    <row r="133" spans="1:63" ht="17.25" customHeight="1" x14ac:dyDescent="0.3">
      <c r="A133" s="30">
        <v>45444</v>
      </c>
      <c r="B133" s="31">
        <v>132</v>
      </c>
      <c r="C133" s="32">
        <v>8</v>
      </c>
      <c r="D133" s="33">
        <v>45452</v>
      </c>
      <c r="E133" s="34" t="s">
        <v>612</v>
      </c>
      <c r="F133" s="99">
        <v>7898254836</v>
      </c>
      <c r="G133" s="100">
        <f>D133</f>
        <v>45452</v>
      </c>
      <c r="H133" s="99" t="s">
        <v>613</v>
      </c>
      <c r="I133" s="68" t="s">
        <v>121</v>
      </c>
      <c r="J133" s="99" t="s">
        <v>65</v>
      </c>
      <c r="K133" s="99" t="s">
        <v>97</v>
      </c>
      <c r="L133" s="99">
        <v>7397224</v>
      </c>
      <c r="M133" s="99">
        <v>230621</v>
      </c>
      <c r="N133" s="99" t="s">
        <v>80</v>
      </c>
      <c r="O133" s="101">
        <v>1000000</v>
      </c>
      <c r="P133" s="67" t="s">
        <v>81</v>
      </c>
      <c r="Q133" s="67" t="s">
        <v>90</v>
      </c>
      <c r="R133" s="68" t="s">
        <v>80</v>
      </c>
      <c r="S133" s="68" t="s">
        <v>80</v>
      </c>
      <c r="T133" s="68" t="s">
        <v>84</v>
      </c>
      <c r="U133" s="67" t="s">
        <v>366</v>
      </c>
      <c r="V133" s="102">
        <v>1098601</v>
      </c>
      <c r="W133" s="99">
        <v>18679</v>
      </c>
      <c r="X133" s="56">
        <v>7104</v>
      </c>
      <c r="Y133" s="68">
        <v>885</v>
      </c>
      <c r="Z133" s="56">
        <v>0</v>
      </c>
      <c r="AA133" s="101">
        <v>117190</v>
      </c>
      <c r="AB133" s="101">
        <v>0</v>
      </c>
      <c r="AC133" s="101">
        <v>10873</v>
      </c>
      <c r="AD133" s="101">
        <v>32974</v>
      </c>
      <c r="AE133" s="103">
        <f>SUM(V133:AD133)</f>
        <v>1286306</v>
      </c>
      <c r="AF133" s="99">
        <v>0</v>
      </c>
      <c r="AG133" s="99">
        <v>10000</v>
      </c>
      <c r="AH133" s="99">
        <v>0</v>
      </c>
      <c r="AI133" s="99">
        <v>1</v>
      </c>
      <c r="AJ133" s="99">
        <v>0</v>
      </c>
      <c r="AK133" s="99">
        <v>0</v>
      </c>
      <c r="AL133" s="99">
        <v>0</v>
      </c>
      <c r="AM133" s="99">
        <v>1260</v>
      </c>
      <c r="AN133" s="45">
        <f>SUM(AF133:AM133)</f>
        <v>11261</v>
      </c>
      <c r="AO133" s="104">
        <f>+AE133-AN133</f>
        <v>1275045</v>
      </c>
      <c r="AP133" s="101">
        <v>34140</v>
      </c>
      <c r="AQ133" s="105">
        <v>185</v>
      </c>
      <c r="AR133" s="101">
        <f>AP133-AQ133</f>
        <v>33955</v>
      </c>
      <c r="AS133" s="56">
        <v>0</v>
      </c>
      <c r="AT133" s="56">
        <v>0</v>
      </c>
      <c r="AU133" s="48">
        <f>+AN133+AQ133</f>
        <v>11446</v>
      </c>
      <c r="AV133" s="119">
        <f>AO133+AR133+AS133+AT133</f>
        <v>1309000</v>
      </c>
      <c r="AW133" s="49">
        <f>O133-AX133</f>
        <v>0</v>
      </c>
      <c r="AX133" s="68">
        <v>1000000</v>
      </c>
      <c r="AY133" s="106" t="str">
        <f>Q133</f>
        <v>MPGB</v>
      </c>
      <c r="AZ133" s="107">
        <v>45450</v>
      </c>
      <c r="BA133" s="107">
        <v>45450</v>
      </c>
      <c r="BB133" s="68">
        <f>190000</f>
        <v>190000</v>
      </c>
      <c r="BC133" s="68">
        <f>5000+10000+40000+25000+29000+10000</f>
        <v>119000</v>
      </c>
      <c r="BD133" s="56">
        <v>0</v>
      </c>
      <c r="BE133" s="56">
        <v>0</v>
      </c>
      <c r="BF133" s="56">
        <v>0</v>
      </c>
      <c r="BG133" s="56">
        <v>0</v>
      </c>
      <c r="BH133" s="55">
        <f>+AV133-AX133-BB133-BC133-BF133+BG133</f>
        <v>0</v>
      </c>
      <c r="BI133" s="56" t="s">
        <v>109</v>
      </c>
      <c r="BJ133" s="56" t="s">
        <v>614</v>
      </c>
      <c r="BK133" s="19"/>
    </row>
    <row r="134" spans="1:63" ht="17.25" customHeight="1" x14ac:dyDescent="0.3">
      <c r="A134" s="30">
        <v>45444</v>
      </c>
      <c r="B134" s="31">
        <v>133</v>
      </c>
      <c r="C134" s="31">
        <v>9</v>
      </c>
      <c r="D134" s="33">
        <v>45452</v>
      </c>
      <c r="E134" s="34" t="s">
        <v>615</v>
      </c>
      <c r="F134" s="99">
        <v>8983405888</v>
      </c>
      <c r="G134" s="100">
        <f>D134</f>
        <v>45452</v>
      </c>
      <c r="H134" s="99" t="s">
        <v>616</v>
      </c>
      <c r="I134" s="68" t="s">
        <v>78</v>
      </c>
      <c r="J134" s="99" t="s">
        <v>79</v>
      </c>
      <c r="K134" s="99" t="s">
        <v>199</v>
      </c>
      <c r="L134" s="99">
        <v>7522498</v>
      </c>
      <c r="M134" s="99">
        <v>291999</v>
      </c>
      <c r="N134" s="99" t="s">
        <v>105</v>
      </c>
      <c r="O134" s="101">
        <v>700000</v>
      </c>
      <c r="P134" s="67" t="s">
        <v>68</v>
      </c>
      <c r="Q134" s="67" t="s">
        <v>122</v>
      </c>
      <c r="R134" s="68" t="s">
        <v>617</v>
      </c>
      <c r="S134" s="68" t="s">
        <v>106</v>
      </c>
      <c r="T134" s="68" t="s">
        <v>464</v>
      </c>
      <c r="U134" s="67" t="s">
        <v>260</v>
      </c>
      <c r="V134" s="102">
        <v>846242</v>
      </c>
      <c r="W134" s="99">
        <v>14384</v>
      </c>
      <c r="X134" s="56">
        <v>5475</v>
      </c>
      <c r="Y134" s="68">
        <v>885</v>
      </c>
      <c r="Z134" s="56">
        <v>0</v>
      </c>
      <c r="AA134" s="101">
        <v>74903</v>
      </c>
      <c r="AB134" s="101">
        <v>0</v>
      </c>
      <c r="AC134" s="101">
        <v>0</v>
      </c>
      <c r="AD134" s="101">
        <v>30222</v>
      </c>
      <c r="AE134" s="103">
        <f>SUM(V134:AD134)</f>
        <v>972111</v>
      </c>
      <c r="AF134" s="99">
        <v>0</v>
      </c>
      <c r="AG134" s="99">
        <v>0</v>
      </c>
      <c r="AH134" s="99">
        <v>10000</v>
      </c>
      <c r="AI134" s="99">
        <v>1</v>
      </c>
      <c r="AJ134" s="99">
        <v>0</v>
      </c>
      <c r="AK134" s="99">
        <v>0</v>
      </c>
      <c r="AL134" s="99">
        <v>0</v>
      </c>
      <c r="AM134" s="99">
        <v>28606</v>
      </c>
      <c r="AN134" s="45">
        <f>SUM(AF134:AM134)</f>
        <v>38607</v>
      </c>
      <c r="AO134" s="104">
        <f>+AE134-AN134</f>
        <v>933504</v>
      </c>
      <c r="AP134" s="101">
        <v>61500</v>
      </c>
      <c r="AQ134" s="105">
        <v>500</v>
      </c>
      <c r="AR134" s="101">
        <f>AP134-AQ134</f>
        <v>61000</v>
      </c>
      <c r="AS134" s="56">
        <v>0</v>
      </c>
      <c r="AT134" s="56">
        <v>0</v>
      </c>
      <c r="AU134" s="48">
        <f>+AN134+AQ134</f>
        <v>39107</v>
      </c>
      <c r="AV134" s="119">
        <f>AO134+AR134+AS134+AT134</f>
        <v>994504</v>
      </c>
      <c r="AW134" s="49">
        <f>O134-AX134</f>
        <v>0</v>
      </c>
      <c r="AX134" s="68">
        <v>700000</v>
      </c>
      <c r="AY134" s="106" t="str">
        <f>Q134</f>
        <v>BOI</v>
      </c>
      <c r="AZ134" s="107">
        <v>45450</v>
      </c>
      <c r="BA134" s="33">
        <v>45455</v>
      </c>
      <c r="BB134" s="68">
        <v>10000</v>
      </c>
      <c r="BC134" s="68">
        <f>10000</f>
        <v>10000</v>
      </c>
      <c r="BD134" s="56" t="s">
        <v>618</v>
      </c>
      <c r="BE134" s="56" t="s">
        <v>619</v>
      </c>
      <c r="BF134" s="56">
        <v>475000</v>
      </c>
      <c r="BG134" s="56">
        <v>0</v>
      </c>
      <c r="BH134" s="55">
        <f>+AV134-AX134-BB134-BC134-BF134+BG134</f>
        <v>-200496</v>
      </c>
      <c r="BI134" s="56" t="s">
        <v>620</v>
      </c>
      <c r="BJ134" s="56" t="s">
        <v>621</v>
      </c>
      <c r="BK134" s="19"/>
    </row>
    <row r="135" spans="1:63" ht="17.25" customHeight="1" x14ac:dyDescent="0.3">
      <c r="A135" s="30">
        <v>45444</v>
      </c>
      <c r="B135" s="31">
        <v>134</v>
      </c>
      <c r="C135" s="31">
        <v>10</v>
      </c>
      <c r="D135" s="33">
        <v>45452</v>
      </c>
      <c r="E135" s="34" t="s">
        <v>622</v>
      </c>
      <c r="F135" s="99">
        <v>7441170344</v>
      </c>
      <c r="G135" s="100">
        <f>D135</f>
        <v>45452</v>
      </c>
      <c r="H135" s="99" t="s">
        <v>623</v>
      </c>
      <c r="I135" s="68" t="s">
        <v>78</v>
      </c>
      <c r="J135" s="99" t="s">
        <v>65</v>
      </c>
      <c r="K135" s="99" t="s">
        <v>199</v>
      </c>
      <c r="L135" s="99">
        <v>7479805</v>
      </c>
      <c r="M135" s="99">
        <v>248930</v>
      </c>
      <c r="N135" s="99" t="s">
        <v>155</v>
      </c>
      <c r="O135" s="101">
        <v>400000</v>
      </c>
      <c r="P135" s="67" t="s">
        <v>81</v>
      </c>
      <c r="Q135" s="67" t="s">
        <v>90</v>
      </c>
      <c r="R135" s="68" t="s">
        <v>624</v>
      </c>
      <c r="S135" s="68" t="s">
        <v>155</v>
      </c>
      <c r="T135" s="68" t="s">
        <v>157</v>
      </c>
      <c r="U135" s="67" t="s">
        <v>215</v>
      </c>
      <c r="V135" s="102">
        <v>751242</v>
      </c>
      <c r="W135" s="99">
        <v>12779</v>
      </c>
      <c r="X135" s="56">
        <v>0</v>
      </c>
      <c r="Y135" s="68">
        <v>885</v>
      </c>
      <c r="Z135" s="56">
        <v>0</v>
      </c>
      <c r="AA135" s="101">
        <v>67303</v>
      </c>
      <c r="AB135" s="101">
        <v>0</v>
      </c>
      <c r="AC135" s="101">
        <v>0</v>
      </c>
      <c r="AD135" s="101">
        <v>26187</v>
      </c>
      <c r="AE135" s="103">
        <f>SUM(V135:AD135)</f>
        <v>858396</v>
      </c>
      <c r="AF135" s="99">
        <v>0</v>
      </c>
      <c r="AG135" s="99">
        <v>15000</v>
      </c>
      <c r="AH135" s="99">
        <v>10000</v>
      </c>
      <c r="AI135" s="99">
        <v>1</v>
      </c>
      <c r="AJ135" s="99">
        <v>0</v>
      </c>
      <c r="AK135" s="99">
        <v>0</v>
      </c>
      <c r="AL135" s="99">
        <v>0</v>
      </c>
      <c r="AM135" s="99">
        <v>35595</v>
      </c>
      <c r="AN135" s="45">
        <f>SUM(AF135:AM135)</f>
        <v>60596</v>
      </c>
      <c r="AO135" s="104">
        <f>+AE135-AN135</f>
        <v>797800</v>
      </c>
      <c r="AP135" s="101">
        <v>17380</v>
      </c>
      <c r="AQ135" s="105">
        <v>180</v>
      </c>
      <c r="AR135" s="101">
        <f>AP135-AQ135</f>
        <v>17200</v>
      </c>
      <c r="AS135" s="56">
        <v>0</v>
      </c>
      <c r="AT135" s="56">
        <v>0</v>
      </c>
      <c r="AU135" s="48">
        <f>+AN135+AQ135</f>
        <v>60776</v>
      </c>
      <c r="AV135" s="119">
        <f>AO135+AR135+AS135+AT135</f>
        <v>815000</v>
      </c>
      <c r="AW135" s="49">
        <f>O135-AX135</f>
        <v>0</v>
      </c>
      <c r="AX135" s="68">
        <v>400000</v>
      </c>
      <c r="AY135" s="106" t="str">
        <f>Q135</f>
        <v>MPGB</v>
      </c>
      <c r="AZ135" s="107">
        <v>45450</v>
      </c>
      <c r="BA135" s="33">
        <v>45450</v>
      </c>
      <c r="BB135" s="68">
        <f>10000</f>
        <v>10000</v>
      </c>
      <c r="BC135" s="68">
        <f>30000+330000</f>
        <v>360000</v>
      </c>
      <c r="BD135" s="56" t="s">
        <v>625</v>
      </c>
      <c r="BE135" s="56" t="s">
        <v>626</v>
      </c>
      <c r="BF135" s="56">
        <v>45000</v>
      </c>
      <c r="BG135" s="56">
        <v>0</v>
      </c>
      <c r="BH135" s="55">
        <f>+AV135-AX135-BB135-BC135-BF135+BG135</f>
        <v>0</v>
      </c>
      <c r="BI135" s="56" t="s">
        <v>109</v>
      </c>
      <c r="BJ135" s="56" t="s">
        <v>627</v>
      </c>
      <c r="BK135" s="19"/>
    </row>
    <row r="136" spans="1:63" ht="17.25" customHeight="1" x14ac:dyDescent="0.3">
      <c r="A136" s="30">
        <v>45444</v>
      </c>
      <c r="B136" s="31">
        <v>135</v>
      </c>
      <c r="C136" s="31">
        <v>11</v>
      </c>
      <c r="D136" s="33">
        <v>45453</v>
      </c>
      <c r="E136" s="34" t="s">
        <v>628</v>
      </c>
      <c r="F136" s="99">
        <v>7024306352</v>
      </c>
      <c r="G136" s="100">
        <f>D136</f>
        <v>45453</v>
      </c>
      <c r="H136" s="99" t="s">
        <v>629</v>
      </c>
      <c r="I136" s="68" t="s">
        <v>64</v>
      </c>
      <c r="J136" s="99" t="s">
        <v>65</v>
      </c>
      <c r="K136" s="99" t="s">
        <v>66</v>
      </c>
      <c r="L136" s="99">
        <v>4457018</v>
      </c>
      <c r="M136" s="99">
        <v>740206</v>
      </c>
      <c r="N136" s="99" t="s">
        <v>80</v>
      </c>
      <c r="O136" s="101">
        <v>300000</v>
      </c>
      <c r="P136" s="67" t="s">
        <v>68</v>
      </c>
      <c r="Q136" s="67" t="s">
        <v>69</v>
      </c>
      <c r="R136" s="68" t="s">
        <v>80</v>
      </c>
      <c r="S136" s="68" t="s">
        <v>80</v>
      </c>
      <c r="T136" s="68" t="s">
        <v>84</v>
      </c>
      <c r="U136" s="67" t="s">
        <v>92</v>
      </c>
      <c r="V136" s="102">
        <v>665742</v>
      </c>
      <c r="W136" s="99">
        <v>11328</v>
      </c>
      <c r="X136" s="56">
        <v>4307</v>
      </c>
      <c r="Y136" s="68">
        <v>885</v>
      </c>
      <c r="Z136" s="56">
        <v>0</v>
      </c>
      <c r="AA136" s="101">
        <v>60463</v>
      </c>
      <c r="AB136" s="101">
        <v>0</v>
      </c>
      <c r="AC136" s="101">
        <v>0</v>
      </c>
      <c r="AD136" s="101">
        <v>25801</v>
      </c>
      <c r="AE136" s="103">
        <f>SUM(V136:AD136)</f>
        <v>768526</v>
      </c>
      <c r="AF136" s="99">
        <v>10000</v>
      </c>
      <c r="AG136" s="99">
        <v>25000</v>
      </c>
      <c r="AH136" s="99">
        <v>15000</v>
      </c>
      <c r="AI136" s="99">
        <v>1</v>
      </c>
      <c r="AJ136" s="99">
        <v>0</v>
      </c>
      <c r="AK136" s="99">
        <v>0</v>
      </c>
      <c r="AL136" s="99">
        <v>0</v>
      </c>
      <c r="AM136" s="99">
        <v>13425</v>
      </c>
      <c r="AN136" s="45">
        <f>SUM(AF136:AM136)</f>
        <v>63426</v>
      </c>
      <c r="AO136" s="104">
        <f>+AE136-AN136</f>
        <v>705100</v>
      </c>
      <c r="AP136" s="101">
        <v>53100</v>
      </c>
      <c r="AQ136" s="105">
        <v>1100</v>
      </c>
      <c r="AR136" s="101">
        <f>AP136-AQ136</f>
        <v>52000</v>
      </c>
      <c r="AS136" s="56">
        <v>0</v>
      </c>
      <c r="AT136" s="56">
        <v>0</v>
      </c>
      <c r="AU136" s="48">
        <f>+AN136+AQ136</f>
        <v>64526</v>
      </c>
      <c r="AV136" s="119">
        <f>AO136+AR136+AS136+AT136</f>
        <v>757100</v>
      </c>
      <c r="AW136" s="49">
        <f>O136-AX136</f>
        <v>0</v>
      </c>
      <c r="AX136" s="68">
        <v>300000</v>
      </c>
      <c r="AY136" s="106" t="str">
        <f>Q136</f>
        <v>SUNDARAM</v>
      </c>
      <c r="AZ136" s="107">
        <f>D136</f>
        <v>45453</v>
      </c>
      <c r="BA136" s="33">
        <v>45456</v>
      </c>
      <c r="BB136" s="68">
        <f>25000+93000</f>
        <v>118000</v>
      </c>
      <c r="BC136" s="68">
        <f>307000+32100</f>
        <v>339100</v>
      </c>
      <c r="BD136" s="56" t="s">
        <v>354</v>
      </c>
      <c r="BE136" s="56">
        <v>0</v>
      </c>
      <c r="BF136" s="56">
        <v>0</v>
      </c>
      <c r="BG136" s="56">
        <v>0</v>
      </c>
      <c r="BH136" s="55">
        <f>+AV136-AX136-BB136-BC136-BF136+BG136</f>
        <v>0</v>
      </c>
      <c r="BI136" s="56" t="s">
        <v>109</v>
      </c>
      <c r="BJ136" s="56" t="s">
        <v>630</v>
      </c>
      <c r="BK136" s="19"/>
    </row>
    <row r="137" spans="1:63" ht="17.25" customHeight="1" x14ac:dyDescent="0.3">
      <c r="A137" s="30">
        <v>45444</v>
      </c>
      <c r="B137" s="31">
        <v>136</v>
      </c>
      <c r="C137" s="32">
        <v>12</v>
      </c>
      <c r="D137" s="33">
        <v>45453</v>
      </c>
      <c r="E137" s="34" t="s">
        <v>631</v>
      </c>
      <c r="F137" s="99">
        <v>9479690218</v>
      </c>
      <c r="G137" s="100">
        <f>D137</f>
        <v>45453</v>
      </c>
      <c r="H137" s="99" t="s">
        <v>632</v>
      </c>
      <c r="I137" s="68" t="s">
        <v>78</v>
      </c>
      <c r="J137" s="99" t="s">
        <v>104</v>
      </c>
      <c r="K137" s="99" t="s">
        <v>66</v>
      </c>
      <c r="L137" s="99">
        <v>7506202</v>
      </c>
      <c r="M137" s="99">
        <v>274564</v>
      </c>
      <c r="N137" s="99" t="s">
        <v>67</v>
      </c>
      <c r="O137" s="101">
        <v>886000</v>
      </c>
      <c r="P137" s="67" t="s">
        <v>68</v>
      </c>
      <c r="Q137" s="67" t="s">
        <v>69</v>
      </c>
      <c r="R137" s="68" t="s">
        <v>67</v>
      </c>
      <c r="S137" s="68" t="s">
        <v>67</v>
      </c>
      <c r="T137" s="68" t="s">
        <v>70</v>
      </c>
      <c r="U137" s="67" t="s">
        <v>234</v>
      </c>
      <c r="V137" s="102">
        <v>932242</v>
      </c>
      <c r="W137" s="99">
        <v>15847</v>
      </c>
      <c r="X137" s="56">
        <v>0</v>
      </c>
      <c r="Y137" s="68">
        <v>885</v>
      </c>
      <c r="Z137" s="56">
        <v>500</v>
      </c>
      <c r="AA137" s="101">
        <v>81783</v>
      </c>
      <c r="AB137" s="101">
        <v>0</v>
      </c>
      <c r="AC137" s="101">
        <v>0</v>
      </c>
      <c r="AD137" s="101">
        <v>27949</v>
      </c>
      <c r="AE137" s="103">
        <f>SUM(V137:AD137)</f>
        <v>1059206</v>
      </c>
      <c r="AF137" s="99">
        <v>0</v>
      </c>
      <c r="AG137" s="99">
        <v>0</v>
      </c>
      <c r="AH137" s="99">
        <v>0</v>
      </c>
      <c r="AI137" s="99">
        <v>2000</v>
      </c>
      <c r="AJ137" s="99">
        <v>0</v>
      </c>
      <c r="AK137" s="99">
        <v>0</v>
      </c>
      <c r="AL137" s="99">
        <v>0</v>
      </c>
      <c r="AM137" s="99">
        <v>22656</v>
      </c>
      <c r="AN137" s="45">
        <f>SUM(AF137:AM137)</f>
        <v>24656</v>
      </c>
      <c r="AO137" s="104">
        <f>+AE137-AN137</f>
        <v>1034550</v>
      </c>
      <c r="AP137" s="101">
        <v>17240</v>
      </c>
      <c r="AQ137" s="105">
        <v>140</v>
      </c>
      <c r="AR137" s="101">
        <f>AP137-AQ137</f>
        <v>17100</v>
      </c>
      <c r="AS137" s="56">
        <v>0</v>
      </c>
      <c r="AT137" s="56">
        <v>0</v>
      </c>
      <c r="AU137" s="48">
        <f>+AN137+AQ137</f>
        <v>24796</v>
      </c>
      <c r="AV137" s="119">
        <f>AO137+AR137+AS137+AT137</f>
        <v>1051650</v>
      </c>
      <c r="AW137" s="49">
        <f>O137-AX137</f>
        <v>0</v>
      </c>
      <c r="AX137" s="68">
        <v>886000</v>
      </c>
      <c r="AY137" s="106" t="str">
        <f>Q137</f>
        <v>SUNDARAM</v>
      </c>
      <c r="AZ137" s="107">
        <f>D137</f>
        <v>45453</v>
      </c>
      <c r="BA137" s="33">
        <v>45462</v>
      </c>
      <c r="BB137" s="68">
        <v>450</v>
      </c>
      <c r="BC137" s="68">
        <f>5000+50000+20000+75000+13000+2200</f>
        <v>165200</v>
      </c>
      <c r="BD137" s="56">
        <v>0</v>
      </c>
      <c r="BE137" s="56">
        <v>0</v>
      </c>
      <c r="BF137" s="56">
        <v>0</v>
      </c>
      <c r="BG137" s="56">
        <v>0</v>
      </c>
      <c r="BH137" s="55">
        <f>+AV137-AX137-BB137-BC137-BF137+BG137</f>
        <v>0</v>
      </c>
      <c r="BI137" s="56" t="s">
        <v>109</v>
      </c>
      <c r="BJ137" s="56"/>
      <c r="BK137" s="19"/>
    </row>
    <row r="138" spans="1:63" ht="17.25" customHeight="1" x14ac:dyDescent="0.3">
      <c r="A138" s="30">
        <v>45444</v>
      </c>
      <c r="B138" s="31">
        <v>137</v>
      </c>
      <c r="C138" s="31">
        <v>13</v>
      </c>
      <c r="D138" s="33">
        <v>45453</v>
      </c>
      <c r="E138" s="34" t="s">
        <v>633</v>
      </c>
      <c r="F138" s="99">
        <v>9074760784</v>
      </c>
      <c r="G138" s="100">
        <f>D138</f>
        <v>45453</v>
      </c>
      <c r="H138" s="99" t="s">
        <v>634</v>
      </c>
      <c r="I138" s="68" t="s">
        <v>64</v>
      </c>
      <c r="J138" s="99" t="s">
        <v>104</v>
      </c>
      <c r="K138" s="99" t="s">
        <v>66</v>
      </c>
      <c r="L138" s="99">
        <v>4476176</v>
      </c>
      <c r="M138" s="99">
        <v>762607</v>
      </c>
      <c r="N138" s="99" t="s">
        <v>147</v>
      </c>
      <c r="O138" s="101">
        <v>825000</v>
      </c>
      <c r="P138" s="67" t="s">
        <v>68</v>
      </c>
      <c r="Q138" s="67" t="s">
        <v>114</v>
      </c>
      <c r="R138" s="68" t="s">
        <v>67</v>
      </c>
      <c r="S138" s="68" t="s">
        <v>67</v>
      </c>
      <c r="T138" s="68" t="s">
        <v>150</v>
      </c>
      <c r="U138" s="67" t="s">
        <v>469</v>
      </c>
      <c r="V138" s="102">
        <v>839742</v>
      </c>
      <c r="W138" s="99">
        <v>14278</v>
      </c>
      <c r="X138" s="56">
        <v>5428</v>
      </c>
      <c r="Y138" s="68">
        <v>885</v>
      </c>
      <c r="Z138" s="56">
        <v>500</v>
      </c>
      <c r="AA138" s="101">
        <v>74383</v>
      </c>
      <c r="AB138" s="101">
        <v>0</v>
      </c>
      <c r="AC138" s="101">
        <v>0</v>
      </c>
      <c r="AD138" s="101">
        <v>28676</v>
      </c>
      <c r="AE138" s="103">
        <f>SUM(V138:AD138)</f>
        <v>963892</v>
      </c>
      <c r="AF138" s="99">
        <v>0</v>
      </c>
      <c r="AG138" s="99">
        <v>15000</v>
      </c>
      <c r="AH138" s="99">
        <v>0</v>
      </c>
      <c r="AI138" s="99">
        <v>1</v>
      </c>
      <c r="AJ138" s="99">
        <v>0</v>
      </c>
      <c r="AK138" s="99">
        <v>0</v>
      </c>
      <c r="AL138" s="99">
        <v>0</v>
      </c>
      <c r="AM138" s="99">
        <v>34941</v>
      </c>
      <c r="AN138" s="45">
        <f>SUM(AF138:AM138)</f>
        <v>49942</v>
      </c>
      <c r="AO138" s="104">
        <f>+AE138-AN138</f>
        <v>913950</v>
      </c>
      <c r="AP138" s="101">
        <v>25630</v>
      </c>
      <c r="AQ138" s="105">
        <v>630</v>
      </c>
      <c r="AR138" s="101">
        <f>AP138-AQ138</f>
        <v>25000</v>
      </c>
      <c r="AS138" s="56">
        <v>0</v>
      </c>
      <c r="AT138" s="56">
        <v>0</v>
      </c>
      <c r="AU138" s="48">
        <f>+AN138+AQ138</f>
        <v>50572</v>
      </c>
      <c r="AV138" s="119">
        <f>AO138+AR138+AS138+AT138</f>
        <v>938950</v>
      </c>
      <c r="AW138" s="49">
        <f>O138-AX138</f>
        <v>10425</v>
      </c>
      <c r="AX138" s="68">
        <v>814575</v>
      </c>
      <c r="AY138" s="106" t="str">
        <f>Q138</f>
        <v>INDUSIND</v>
      </c>
      <c r="AZ138" s="107">
        <f>D138</f>
        <v>45453</v>
      </c>
      <c r="BA138" s="33">
        <v>45454</v>
      </c>
      <c r="BB138" s="68">
        <v>13375</v>
      </c>
      <c r="BC138" s="68">
        <f>11000+100000</f>
        <v>111000</v>
      </c>
      <c r="BD138" s="56">
        <v>0</v>
      </c>
      <c r="BE138" s="56">
        <v>0</v>
      </c>
      <c r="BF138" s="56">
        <v>0</v>
      </c>
      <c r="BG138" s="56">
        <v>0</v>
      </c>
      <c r="BH138" s="55">
        <f>+AV138-AX138-BB138-BC138-BF138+BG138</f>
        <v>0</v>
      </c>
      <c r="BI138" s="56" t="s">
        <v>109</v>
      </c>
      <c r="BJ138" s="56"/>
      <c r="BK138" s="19"/>
    </row>
    <row r="139" spans="1:63" ht="17.25" customHeight="1" x14ac:dyDescent="0.3">
      <c r="A139" s="30">
        <v>45444</v>
      </c>
      <c r="B139" s="31">
        <v>138</v>
      </c>
      <c r="C139" s="31">
        <v>14</v>
      </c>
      <c r="D139" s="33">
        <v>45453</v>
      </c>
      <c r="E139" s="60" t="s">
        <v>635</v>
      </c>
      <c r="F139" s="99">
        <v>0</v>
      </c>
      <c r="G139" s="100">
        <f>D139</f>
        <v>45453</v>
      </c>
      <c r="H139" s="60" t="s">
        <v>186</v>
      </c>
      <c r="I139" s="68" t="s">
        <v>78</v>
      </c>
      <c r="J139" s="99" t="s">
        <v>104</v>
      </c>
      <c r="K139" s="99" t="s">
        <v>66</v>
      </c>
      <c r="L139" s="99">
        <v>7507410</v>
      </c>
      <c r="M139" s="99">
        <v>275733</v>
      </c>
      <c r="N139" s="99" t="s">
        <v>67</v>
      </c>
      <c r="O139" s="101">
        <v>0</v>
      </c>
      <c r="P139" s="67" t="s">
        <v>81</v>
      </c>
      <c r="Q139" s="67" t="s">
        <v>175</v>
      </c>
      <c r="R139" s="68" t="s">
        <v>175</v>
      </c>
      <c r="S139" s="68" t="s">
        <v>67</v>
      </c>
      <c r="T139" s="68" t="s">
        <v>176</v>
      </c>
      <c r="U139" s="67" t="s">
        <v>176</v>
      </c>
      <c r="V139" s="102">
        <v>932242</v>
      </c>
      <c r="W139" s="99">
        <v>0</v>
      </c>
      <c r="X139" s="56">
        <v>0</v>
      </c>
      <c r="Y139" s="68">
        <v>0</v>
      </c>
      <c r="Z139" s="56">
        <v>0</v>
      </c>
      <c r="AA139" s="101">
        <v>0</v>
      </c>
      <c r="AB139" s="101">
        <v>0</v>
      </c>
      <c r="AC139" s="101">
        <v>0</v>
      </c>
      <c r="AD139" s="101">
        <v>0</v>
      </c>
      <c r="AE139" s="103">
        <f>SUM(V139:AD139)</f>
        <v>932242</v>
      </c>
      <c r="AF139" s="99">
        <v>0</v>
      </c>
      <c r="AG139" s="99">
        <v>0</v>
      </c>
      <c r="AH139" s="99">
        <v>0</v>
      </c>
      <c r="AI139" s="99">
        <v>1</v>
      </c>
      <c r="AJ139" s="99">
        <v>0</v>
      </c>
      <c r="AK139" s="99">
        <v>22849</v>
      </c>
      <c r="AL139" s="99">
        <v>0</v>
      </c>
      <c r="AM139" s="99">
        <v>0</v>
      </c>
      <c r="AN139" s="45">
        <f>SUM(AF139:AM139)</f>
        <v>22850</v>
      </c>
      <c r="AO139" s="104">
        <f>+AE139-AN139</f>
        <v>909392</v>
      </c>
      <c r="AP139" s="101">
        <v>0</v>
      </c>
      <c r="AQ139" s="105">
        <v>0</v>
      </c>
      <c r="AR139" s="101">
        <f>AP139-AQ139</f>
        <v>0</v>
      </c>
      <c r="AS139" s="56">
        <v>0</v>
      </c>
      <c r="AT139" s="56">
        <v>0</v>
      </c>
      <c r="AU139" s="48">
        <f>+AN139+AQ139</f>
        <v>22850</v>
      </c>
      <c r="AV139" s="119">
        <f>AO139+AR139+AS139+AT139</f>
        <v>909392</v>
      </c>
      <c r="AW139" s="49">
        <f>O139-AX139</f>
        <v>-909392</v>
      </c>
      <c r="AX139" s="112">
        <f>AV139</f>
        <v>909392</v>
      </c>
      <c r="AY139" s="106" t="str">
        <f>Q139</f>
        <v>NMPL</v>
      </c>
      <c r="AZ139" s="107">
        <f>D139</f>
        <v>45453</v>
      </c>
      <c r="BA139" s="33">
        <v>45453</v>
      </c>
      <c r="BB139" s="68">
        <v>0</v>
      </c>
      <c r="BC139" s="68">
        <v>0</v>
      </c>
      <c r="BD139" s="56">
        <v>0</v>
      </c>
      <c r="BE139" s="56">
        <v>0</v>
      </c>
      <c r="BF139" s="56">
        <v>0</v>
      </c>
      <c r="BG139" s="56">
        <v>0</v>
      </c>
      <c r="BH139" s="55">
        <f>+AV139-AX139-BB139-BC139-BF139+BG139</f>
        <v>0</v>
      </c>
      <c r="BI139" s="56" t="s">
        <v>109</v>
      </c>
      <c r="BJ139" s="56"/>
      <c r="BK139" s="19"/>
    </row>
    <row r="140" spans="1:63" ht="17.25" customHeight="1" x14ac:dyDescent="0.3">
      <c r="A140" s="30">
        <v>45444</v>
      </c>
      <c r="B140" s="31">
        <v>139</v>
      </c>
      <c r="C140" s="31">
        <v>15</v>
      </c>
      <c r="D140" s="33">
        <v>45453</v>
      </c>
      <c r="E140" s="34" t="s">
        <v>636</v>
      </c>
      <c r="F140" s="99">
        <v>8770151080</v>
      </c>
      <c r="G140" s="100">
        <f>D140</f>
        <v>45453</v>
      </c>
      <c r="H140" s="99" t="s">
        <v>637</v>
      </c>
      <c r="I140" s="68" t="s">
        <v>121</v>
      </c>
      <c r="J140" s="99" t="s">
        <v>113</v>
      </c>
      <c r="K140" s="99" t="s">
        <v>199</v>
      </c>
      <c r="L140" s="99">
        <v>7144585</v>
      </c>
      <c r="M140" s="99">
        <v>148392</v>
      </c>
      <c r="N140" s="99" t="s">
        <v>67</v>
      </c>
      <c r="O140" s="101">
        <v>900000</v>
      </c>
      <c r="P140" s="67" t="s">
        <v>68</v>
      </c>
      <c r="Q140" s="67" t="s">
        <v>122</v>
      </c>
      <c r="R140" s="68" t="s">
        <v>638</v>
      </c>
      <c r="S140" s="68" t="s">
        <v>67</v>
      </c>
      <c r="T140" s="68" t="s">
        <v>115</v>
      </c>
      <c r="U140" s="67" t="s">
        <v>116</v>
      </c>
      <c r="V140" s="102">
        <v>1400601</v>
      </c>
      <c r="W140" s="99">
        <v>0</v>
      </c>
      <c r="X140" s="56">
        <v>0</v>
      </c>
      <c r="Y140" s="68" t="s">
        <v>180</v>
      </c>
      <c r="Z140" s="56">
        <v>500</v>
      </c>
      <c r="AA140" s="101">
        <v>147290</v>
      </c>
      <c r="AB140" s="101">
        <v>0</v>
      </c>
      <c r="AC140" s="101">
        <v>12649</v>
      </c>
      <c r="AD140" s="101">
        <v>39261</v>
      </c>
      <c r="AE140" s="103">
        <f>SUM(V140:AD140)</f>
        <v>1600301</v>
      </c>
      <c r="AF140" s="99">
        <v>0</v>
      </c>
      <c r="AG140" s="99">
        <v>30000</v>
      </c>
      <c r="AH140" s="99">
        <v>30000</v>
      </c>
      <c r="AI140" s="99">
        <v>0</v>
      </c>
      <c r="AJ140" s="99">
        <v>3100</v>
      </c>
      <c r="AK140" s="99">
        <v>10000</v>
      </c>
      <c r="AL140" s="99">
        <v>0</v>
      </c>
      <c r="AM140" s="99">
        <v>62558</v>
      </c>
      <c r="AN140" s="45">
        <f>SUM(AF140:AM140)</f>
        <v>135658</v>
      </c>
      <c r="AO140" s="104">
        <f>+AE140-AN140</f>
        <v>1464643</v>
      </c>
      <c r="AP140" s="101">
        <v>52000</v>
      </c>
      <c r="AQ140" s="105">
        <v>1643</v>
      </c>
      <c r="AR140" s="101">
        <f>AP140-AQ140</f>
        <v>50357</v>
      </c>
      <c r="AS140" s="56">
        <v>0</v>
      </c>
      <c r="AT140" s="56">
        <v>0</v>
      </c>
      <c r="AU140" s="48">
        <f>+AN140+AQ140</f>
        <v>137301</v>
      </c>
      <c r="AV140" s="119">
        <f>AO140+AR140+AS140+AT140</f>
        <v>1515000</v>
      </c>
      <c r="AW140" s="49">
        <f>O140-AX140</f>
        <v>0</v>
      </c>
      <c r="AX140" s="68">
        <v>900000</v>
      </c>
      <c r="AY140" s="106" t="str">
        <f>Q140</f>
        <v>BOI</v>
      </c>
      <c r="AZ140" s="107">
        <f>D140</f>
        <v>45453</v>
      </c>
      <c r="BA140" s="33">
        <v>45455</v>
      </c>
      <c r="BB140" s="68">
        <v>0</v>
      </c>
      <c r="BC140" s="68">
        <v>15000</v>
      </c>
      <c r="BD140" s="56" t="s">
        <v>354</v>
      </c>
      <c r="BE140" s="56" t="s">
        <v>639</v>
      </c>
      <c r="BF140" s="56">
        <v>0</v>
      </c>
      <c r="BG140" s="56">
        <v>0</v>
      </c>
      <c r="BH140" s="55">
        <f>+AV140-AX140-BB140-BC140-BF140+BG140</f>
        <v>600000</v>
      </c>
      <c r="BI140" s="56" t="s">
        <v>640</v>
      </c>
      <c r="BJ140" s="56" t="s">
        <v>641</v>
      </c>
      <c r="BK140" s="19"/>
    </row>
    <row r="141" spans="1:63" ht="17.25" customHeight="1" x14ac:dyDescent="0.3">
      <c r="A141" s="30">
        <v>45444</v>
      </c>
      <c r="B141" s="31">
        <v>140</v>
      </c>
      <c r="C141" s="32">
        <v>16</v>
      </c>
      <c r="D141" s="33">
        <v>45455</v>
      </c>
      <c r="E141" s="34" t="s">
        <v>642</v>
      </c>
      <c r="F141" s="99">
        <v>9584466996</v>
      </c>
      <c r="G141" s="100">
        <f>D141</f>
        <v>45455</v>
      </c>
      <c r="H141" s="99" t="s">
        <v>643</v>
      </c>
      <c r="I141" s="68" t="s">
        <v>78</v>
      </c>
      <c r="J141" s="99" t="s">
        <v>478</v>
      </c>
      <c r="K141" s="99" t="s">
        <v>213</v>
      </c>
      <c r="L141" s="99">
        <v>7513958</v>
      </c>
      <c r="M141" s="99">
        <v>282662</v>
      </c>
      <c r="N141" s="99" t="s">
        <v>67</v>
      </c>
      <c r="O141" s="101">
        <v>0</v>
      </c>
      <c r="P141" s="67" t="s">
        <v>81</v>
      </c>
      <c r="Q141" s="67" t="s">
        <v>148</v>
      </c>
      <c r="R141" s="68" t="s">
        <v>149</v>
      </c>
      <c r="S141" s="68" t="s">
        <v>67</v>
      </c>
      <c r="T141" s="68" t="s">
        <v>115</v>
      </c>
      <c r="U141" s="67" t="s">
        <v>100</v>
      </c>
      <c r="V141" s="102">
        <v>877242</v>
      </c>
      <c r="W141" s="99">
        <v>14915</v>
      </c>
      <c r="X141" s="56">
        <v>0</v>
      </c>
      <c r="Y141" s="68">
        <v>0</v>
      </c>
      <c r="Z141" s="56">
        <v>0</v>
      </c>
      <c r="AA141" s="101">
        <v>77383</v>
      </c>
      <c r="AB141" s="101">
        <v>0</v>
      </c>
      <c r="AC141" s="101">
        <v>0</v>
      </c>
      <c r="AD141" s="101">
        <v>28932</v>
      </c>
      <c r="AE141" s="103">
        <f>SUM(V141:AD141)</f>
        <v>998472</v>
      </c>
      <c r="AF141" s="99">
        <v>0</v>
      </c>
      <c r="AG141" s="99">
        <v>15000</v>
      </c>
      <c r="AH141" s="99">
        <v>0</v>
      </c>
      <c r="AI141" s="99">
        <v>1</v>
      </c>
      <c r="AJ141" s="99">
        <v>0</v>
      </c>
      <c r="AK141" s="99">
        <v>0</v>
      </c>
      <c r="AL141" s="99">
        <v>0</v>
      </c>
      <c r="AM141" s="99">
        <v>33493</v>
      </c>
      <c r="AN141" s="45">
        <f>SUM(AF141:AM141)</f>
        <v>48494</v>
      </c>
      <c r="AO141" s="104">
        <f>+AE141-AN141</f>
        <v>949978</v>
      </c>
      <c r="AP141" s="101">
        <v>32400</v>
      </c>
      <c r="AQ141" s="105">
        <v>1400</v>
      </c>
      <c r="AR141" s="101">
        <f>AP141-AQ141</f>
        <v>31000</v>
      </c>
      <c r="AS141" s="56">
        <v>0</v>
      </c>
      <c r="AT141" s="56">
        <v>0</v>
      </c>
      <c r="AU141" s="48">
        <f>+AN141+AQ141</f>
        <v>49894</v>
      </c>
      <c r="AV141" s="119">
        <f>AO141+AR141+AS141+AT141</f>
        <v>980978</v>
      </c>
      <c r="AW141" s="49">
        <f>O141-AX141</f>
        <v>-964013</v>
      </c>
      <c r="AX141" s="68">
        <v>964013</v>
      </c>
      <c r="AY141" s="106" t="str">
        <f>Q141</f>
        <v>CHEQUE</v>
      </c>
      <c r="AZ141" s="107">
        <f>D141</f>
        <v>45455</v>
      </c>
      <c r="BA141" s="33">
        <v>45455</v>
      </c>
      <c r="BB141" s="68">
        <v>0</v>
      </c>
      <c r="BC141" s="68">
        <f>16000+965</f>
        <v>16965</v>
      </c>
      <c r="BD141" s="56">
        <v>0</v>
      </c>
      <c r="BE141" s="56">
        <v>0</v>
      </c>
      <c r="BF141" s="56">
        <v>0</v>
      </c>
      <c r="BG141" s="56">
        <v>0</v>
      </c>
      <c r="BH141" s="55">
        <f>+AV141-AX141-BB141-BC141-BF141+BG141</f>
        <v>0</v>
      </c>
      <c r="BI141" s="56" t="s">
        <v>109</v>
      </c>
      <c r="BJ141" s="56"/>
      <c r="BK141" s="19"/>
    </row>
    <row r="142" spans="1:63" ht="17.25" customHeight="1" x14ac:dyDescent="0.3">
      <c r="A142" s="30">
        <v>45444</v>
      </c>
      <c r="B142" s="31">
        <v>141</v>
      </c>
      <c r="C142" s="31">
        <v>17</v>
      </c>
      <c r="D142" s="33">
        <v>45456</v>
      </c>
      <c r="E142" s="34" t="s">
        <v>644</v>
      </c>
      <c r="F142" s="99">
        <v>9977551823</v>
      </c>
      <c r="G142" s="100">
        <f>D142</f>
        <v>45456</v>
      </c>
      <c r="H142" s="99" t="s">
        <v>645</v>
      </c>
      <c r="I142" s="68" t="s">
        <v>78</v>
      </c>
      <c r="J142" s="99" t="s">
        <v>79</v>
      </c>
      <c r="K142" s="99" t="s">
        <v>66</v>
      </c>
      <c r="L142" s="99">
        <v>7510366</v>
      </c>
      <c r="M142" s="99">
        <v>279339</v>
      </c>
      <c r="N142" s="99" t="s">
        <v>147</v>
      </c>
      <c r="O142" s="101">
        <v>725000</v>
      </c>
      <c r="P142" s="67" t="s">
        <v>68</v>
      </c>
      <c r="Q142" s="67" t="s">
        <v>122</v>
      </c>
      <c r="R142" s="68" t="s">
        <v>203</v>
      </c>
      <c r="S142" s="68" t="s">
        <v>147</v>
      </c>
      <c r="T142" s="68" t="s">
        <v>150</v>
      </c>
      <c r="U142" s="67" t="s">
        <v>151</v>
      </c>
      <c r="V142" s="102">
        <v>846242</v>
      </c>
      <c r="W142" s="99">
        <v>14384</v>
      </c>
      <c r="X142" s="56">
        <v>5475</v>
      </c>
      <c r="Y142" s="68">
        <v>885</v>
      </c>
      <c r="Z142" s="56">
        <v>500</v>
      </c>
      <c r="AA142" s="101">
        <v>73199</v>
      </c>
      <c r="AB142" s="101">
        <v>0</v>
      </c>
      <c r="AC142" s="101">
        <v>0</v>
      </c>
      <c r="AD142" s="101">
        <v>28163</v>
      </c>
      <c r="AE142" s="103">
        <f>SUM(V142:AD142)</f>
        <v>968848</v>
      </c>
      <c r="AF142" s="99">
        <v>0</v>
      </c>
      <c r="AG142" s="99">
        <v>0</v>
      </c>
      <c r="AH142" s="99">
        <v>10000</v>
      </c>
      <c r="AI142" s="99">
        <v>1</v>
      </c>
      <c r="AJ142" s="99">
        <v>0</v>
      </c>
      <c r="AK142" s="99">
        <v>0</v>
      </c>
      <c r="AL142" s="99">
        <v>0</v>
      </c>
      <c r="AM142" s="99">
        <v>3896</v>
      </c>
      <c r="AN142" s="45">
        <f>SUM(AF142:AM142)</f>
        <v>13897</v>
      </c>
      <c r="AO142" s="104">
        <f>+AE142-AN142</f>
        <v>954951</v>
      </c>
      <c r="AP142" s="101">
        <v>60049</v>
      </c>
      <c r="AQ142" s="105">
        <v>2000</v>
      </c>
      <c r="AR142" s="101">
        <f>AP142-AQ142</f>
        <v>58049</v>
      </c>
      <c r="AS142" s="56">
        <v>0</v>
      </c>
      <c r="AT142" s="56">
        <v>0</v>
      </c>
      <c r="AU142" s="48">
        <f>+AN142+AQ142</f>
        <v>15897</v>
      </c>
      <c r="AV142" s="119">
        <f>AO142+AR142+AS142+AT142</f>
        <v>1013000</v>
      </c>
      <c r="AW142" s="49">
        <f>O142-AX142</f>
        <v>0</v>
      </c>
      <c r="AX142" s="68">
        <v>725000</v>
      </c>
      <c r="AY142" s="106" t="str">
        <f>Q142</f>
        <v>BOI</v>
      </c>
      <c r="AZ142" s="107">
        <f>D142</f>
        <v>45456</v>
      </c>
      <c r="BA142" s="33">
        <v>45458</v>
      </c>
      <c r="BB142" s="68">
        <v>0</v>
      </c>
      <c r="BC142" s="68">
        <f>11000+30300</f>
        <v>41300</v>
      </c>
      <c r="BD142" s="56" t="s">
        <v>646</v>
      </c>
      <c r="BE142" s="56" t="s">
        <v>647</v>
      </c>
      <c r="BF142" s="56">
        <v>490000</v>
      </c>
      <c r="BG142" s="56">
        <v>244000</v>
      </c>
      <c r="BH142" s="55">
        <f>+AV142-AX142-BB142-BC142-BF142+BG142</f>
        <v>700</v>
      </c>
      <c r="BI142" s="56" t="s">
        <v>209</v>
      </c>
      <c r="BJ142" s="56"/>
      <c r="BK142" s="19"/>
    </row>
    <row r="143" spans="1:63" ht="17.25" customHeight="1" x14ac:dyDescent="0.3">
      <c r="A143" s="30">
        <v>45444</v>
      </c>
      <c r="B143" s="31">
        <v>142</v>
      </c>
      <c r="C143" s="31">
        <v>18</v>
      </c>
      <c r="D143" s="33">
        <v>45456</v>
      </c>
      <c r="E143" s="34" t="s">
        <v>648</v>
      </c>
      <c r="F143" s="99">
        <v>9893500739</v>
      </c>
      <c r="G143" s="100">
        <f>D143</f>
        <v>45456</v>
      </c>
      <c r="H143" s="99" t="s">
        <v>649</v>
      </c>
      <c r="I143" s="68" t="s">
        <v>162</v>
      </c>
      <c r="J143" s="99" t="s">
        <v>113</v>
      </c>
      <c r="K143" s="99" t="s">
        <v>66</v>
      </c>
      <c r="L143" s="99">
        <v>7438918</v>
      </c>
      <c r="M143" s="99">
        <v>380054</v>
      </c>
      <c r="N143" s="99" t="s">
        <v>80</v>
      </c>
      <c r="O143" s="101">
        <v>950000</v>
      </c>
      <c r="P143" s="67" t="s">
        <v>68</v>
      </c>
      <c r="Q143" s="67" t="s">
        <v>191</v>
      </c>
      <c r="R143" s="68" t="s">
        <v>650</v>
      </c>
      <c r="S143" s="68" t="s">
        <v>80</v>
      </c>
      <c r="T143" s="68" t="s">
        <v>84</v>
      </c>
      <c r="U143" s="67" t="s">
        <v>366</v>
      </c>
      <c r="V143" s="102">
        <v>1161000</v>
      </c>
      <c r="W143" s="99">
        <v>0</v>
      </c>
      <c r="X143" s="56">
        <v>0</v>
      </c>
      <c r="Y143" s="68">
        <v>885</v>
      </c>
      <c r="Z143" s="56">
        <v>0</v>
      </c>
      <c r="AA143" s="101">
        <v>121600</v>
      </c>
      <c r="AB143" s="101">
        <v>0</v>
      </c>
      <c r="AC143" s="101">
        <v>11150</v>
      </c>
      <c r="AD143" s="101">
        <v>36076</v>
      </c>
      <c r="AE143" s="103">
        <f>SUM(V143:AD143)</f>
        <v>1330711</v>
      </c>
      <c r="AF143" s="99">
        <v>0</v>
      </c>
      <c r="AG143" s="99">
        <v>10000</v>
      </c>
      <c r="AH143" s="99">
        <v>20000</v>
      </c>
      <c r="AI143" s="99">
        <v>1</v>
      </c>
      <c r="AJ143" s="99">
        <v>0</v>
      </c>
      <c r="AK143" s="99">
        <v>0</v>
      </c>
      <c r="AL143" s="99">
        <v>0</v>
      </c>
      <c r="AM143" s="99">
        <v>15970</v>
      </c>
      <c r="AN143" s="45">
        <f>SUM(AF143:AM143)</f>
        <v>45971</v>
      </c>
      <c r="AO143" s="104">
        <f>+AE143-AN143</f>
        <v>1284740</v>
      </c>
      <c r="AP143" s="101">
        <v>20300</v>
      </c>
      <c r="AQ143" s="105">
        <v>1040</v>
      </c>
      <c r="AR143" s="101">
        <f>AP143-AQ143</f>
        <v>19260</v>
      </c>
      <c r="AS143" s="56">
        <v>0</v>
      </c>
      <c r="AT143" s="56">
        <v>0</v>
      </c>
      <c r="AU143" s="48">
        <f>+AN143+AQ143</f>
        <v>47011</v>
      </c>
      <c r="AV143" s="119">
        <f>AO143+AR143+AS143+AT143</f>
        <v>1304000</v>
      </c>
      <c r="AW143" s="49">
        <f>O143-AX143</f>
        <v>0</v>
      </c>
      <c r="AX143" s="68">
        <v>950000</v>
      </c>
      <c r="AY143" s="106" t="str">
        <f>Q143</f>
        <v>SBI</v>
      </c>
      <c r="AZ143" s="107">
        <f>D143</f>
        <v>45456</v>
      </c>
      <c r="BA143" s="33">
        <v>45456</v>
      </c>
      <c r="BB143" s="68">
        <f>10000+20000</f>
        <v>30000</v>
      </c>
      <c r="BC143" s="68">
        <f>9000</f>
        <v>9000</v>
      </c>
      <c r="BD143" s="56" t="s">
        <v>651</v>
      </c>
      <c r="BE143" s="56" t="s">
        <v>652</v>
      </c>
      <c r="BF143" s="56">
        <v>315000</v>
      </c>
      <c r="BG143" s="56">
        <v>0</v>
      </c>
      <c r="BH143" s="55">
        <f>+AV143-AX143-BB143-BC143-BF143+BG143</f>
        <v>0</v>
      </c>
      <c r="BI143" s="56" t="s">
        <v>109</v>
      </c>
      <c r="BJ143" s="56" t="s">
        <v>653</v>
      </c>
      <c r="BK143" s="19"/>
    </row>
    <row r="144" spans="1:63" ht="17.25" x14ac:dyDescent="0.3">
      <c r="A144" s="30">
        <v>45444</v>
      </c>
      <c r="B144" s="31">
        <v>143</v>
      </c>
      <c r="C144" s="31">
        <v>19</v>
      </c>
      <c r="D144" s="61">
        <v>45457</v>
      </c>
      <c r="E144" s="60" t="s">
        <v>654</v>
      </c>
      <c r="F144" s="99">
        <v>0</v>
      </c>
      <c r="G144" s="100"/>
      <c r="H144" s="99" t="s">
        <v>389</v>
      </c>
      <c r="I144" s="68" t="s">
        <v>655</v>
      </c>
      <c r="J144" s="99" t="s">
        <v>656</v>
      </c>
      <c r="K144" s="99" t="s">
        <v>66</v>
      </c>
      <c r="L144" s="99">
        <v>1704606</v>
      </c>
      <c r="M144" s="101" t="s">
        <v>657</v>
      </c>
      <c r="N144" s="99" t="s">
        <v>67</v>
      </c>
      <c r="O144" s="101">
        <v>0</v>
      </c>
      <c r="P144" s="67" t="s">
        <v>81</v>
      </c>
      <c r="Q144" s="67" t="s">
        <v>175</v>
      </c>
      <c r="R144" s="68" t="s">
        <v>175</v>
      </c>
      <c r="S144" s="68" t="s">
        <v>67</v>
      </c>
      <c r="T144" s="68" t="s">
        <v>176</v>
      </c>
      <c r="U144" s="67" t="s">
        <v>176</v>
      </c>
      <c r="V144" s="102">
        <v>2901107</v>
      </c>
      <c r="W144" s="99">
        <v>0</v>
      </c>
      <c r="X144" s="56">
        <v>0</v>
      </c>
      <c r="Y144" s="68">
        <v>0</v>
      </c>
      <c r="Z144" s="56">
        <v>0</v>
      </c>
      <c r="AA144" s="101">
        <v>0</v>
      </c>
      <c r="AB144" s="101">
        <v>0</v>
      </c>
      <c r="AC144" s="101">
        <v>28511</v>
      </c>
      <c r="AD144" s="101">
        <v>0</v>
      </c>
      <c r="AE144" s="103">
        <f>SUM(V144:AD144)</f>
        <v>2929618</v>
      </c>
      <c r="AF144" s="99">
        <v>0</v>
      </c>
      <c r="AG144" s="99">
        <v>0</v>
      </c>
      <c r="AH144" s="99">
        <v>0</v>
      </c>
      <c r="AI144" s="99">
        <v>1</v>
      </c>
      <c r="AJ144" s="99">
        <v>0</v>
      </c>
      <c r="AK144" s="99">
        <v>49974</v>
      </c>
      <c r="AL144" s="99">
        <v>0</v>
      </c>
      <c r="AM144" s="99">
        <v>0</v>
      </c>
      <c r="AN144" s="45">
        <f>SUM(AF144:AM144)</f>
        <v>49975</v>
      </c>
      <c r="AO144" s="104">
        <f>+AE144-AN144</f>
        <v>2879643</v>
      </c>
      <c r="AP144" s="101">
        <v>0</v>
      </c>
      <c r="AQ144" s="105">
        <v>0</v>
      </c>
      <c r="AR144" s="101">
        <f>AP144-AQ144</f>
        <v>0</v>
      </c>
      <c r="AS144" s="56">
        <v>0</v>
      </c>
      <c r="AT144" s="56">
        <v>0</v>
      </c>
      <c r="AU144" s="48">
        <f>+AN144+AQ144</f>
        <v>49975</v>
      </c>
      <c r="AV144" s="119">
        <f>AO144+AR144+AS144+AT144</f>
        <v>2879643</v>
      </c>
      <c r="AW144" s="49">
        <f>O144-AX144</f>
        <v>-2879643</v>
      </c>
      <c r="AX144" s="112">
        <f>AV144</f>
        <v>2879643</v>
      </c>
      <c r="AY144" s="106" t="str">
        <f>Q144</f>
        <v>NMPL</v>
      </c>
      <c r="AZ144" s="107">
        <f>D144</f>
        <v>45457</v>
      </c>
      <c r="BA144" s="33">
        <f>AZ144</f>
        <v>45457</v>
      </c>
      <c r="BB144" s="68">
        <v>0</v>
      </c>
      <c r="BC144" s="68">
        <v>0</v>
      </c>
      <c r="BD144" s="56">
        <v>0</v>
      </c>
      <c r="BE144" s="56">
        <v>0</v>
      </c>
      <c r="BF144" s="56">
        <v>0</v>
      </c>
      <c r="BG144" s="56">
        <v>0</v>
      </c>
      <c r="BH144" s="55">
        <f>+AV144-AX144-BB144-BC144-BF144+BG144</f>
        <v>0</v>
      </c>
      <c r="BI144" s="56" t="s">
        <v>109</v>
      </c>
      <c r="BJ144" s="56"/>
      <c r="BK144" s="19"/>
    </row>
    <row r="145" spans="1:63" ht="17.25" customHeight="1" x14ac:dyDescent="0.3">
      <c r="A145" s="30">
        <v>45444</v>
      </c>
      <c r="B145" s="31">
        <v>144</v>
      </c>
      <c r="C145" s="32">
        <v>20</v>
      </c>
      <c r="D145" s="33">
        <v>45457</v>
      </c>
      <c r="E145" s="34" t="s">
        <v>658</v>
      </c>
      <c r="F145" s="99">
        <v>9893078911</v>
      </c>
      <c r="G145" s="100">
        <f>D145</f>
        <v>45457</v>
      </c>
      <c r="H145" s="99" t="s">
        <v>659</v>
      </c>
      <c r="I145" s="68" t="s">
        <v>78</v>
      </c>
      <c r="J145" s="99" t="s">
        <v>324</v>
      </c>
      <c r="K145" s="99" t="s">
        <v>97</v>
      </c>
      <c r="L145" s="99">
        <v>7518366</v>
      </c>
      <c r="M145" s="99">
        <v>287251</v>
      </c>
      <c r="N145" s="99" t="s">
        <v>106</v>
      </c>
      <c r="O145" s="101">
        <v>800000</v>
      </c>
      <c r="P145" s="67" t="s">
        <v>68</v>
      </c>
      <c r="Q145" s="67" t="s">
        <v>191</v>
      </c>
      <c r="R145" s="67" t="s">
        <v>660</v>
      </c>
      <c r="S145" s="68" t="s">
        <v>106</v>
      </c>
      <c r="T145" s="68" t="s">
        <v>124</v>
      </c>
      <c r="U145" s="67" t="s">
        <v>125</v>
      </c>
      <c r="V145" s="102">
        <v>877242</v>
      </c>
      <c r="W145" s="99">
        <v>14915</v>
      </c>
      <c r="X145" s="56">
        <v>5664</v>
      </c>
      <c r="Y145" s="68">
        <v>885</v>
      </c>
      <c r="Z145" s="56">
        <v>0</v>
      </c>
      <c r="AA145" s="101">
        <v>75679</v>
      </c>
      <c r="AB145" s="101">
        <v>0</v>
      </c>
      <c r="AC145" s="101">
        <v>0</v>
      </c>
      <c r="AD145" s="101">
        <v>31786</v>
      </c>
      <c r="AE145" s="103">
        <f>SUM(V145:AD145)</f>
        <v>1006171</v>
      </c>
      <c r="AF145" s="99">
        <v>0</v>
      </c>
      <c r="AG145" s="99">
        <v>15000</v>
      </c>
      <c r="AH145" s="99">
        <v>10000</v>
      </c>
      <c r="AI145" s="99">
        <v>2000</v>
      </c>
      <c r="AJ145" s="99">
        <v>0</v>
      </c>
      <c r="AK145" s="99">
        <v>0</v>
      </c>
      <c r="AL145" s="99">
        <v>0</v>
      </c>
      <c r="AM145" s="99">
        <v>1071</v>
      </c>
      <c r="AN145" s="45">
        <f>SUM(AF145:AM145)</f>
        <v>28071</v>
      </c>
      <c r="AO145" s="104">
        <f>+AE145-AN145</f>
        <v>978100</v>
      </c>
      <c r="AP145" s="101">
        <v>26010</v>
      </c>
      <c r="AQ145" s="105">
        <v>110</v>
      </c>
      <c r="AR145" s="101">
        <f>AP145-AQ145</f>
        <v>25900</v>
      </c>
      <c r="AS145" s="56">
        <v>0</v>
      </c>
      <c r="AT145" s="56">
        <v>0</v>
      </c>
      <c r="AU145" s="48">
        <f>+AN145+AQ145</f>
        <v>28181</v>
      </c>
      <c r="AV145" s="119">
        <f>AO145+AR145+AS145+AT145</f>
        <v>1004000</v>
      </c>
      <c r="AW145" s="49">
        <f>O145-AX145</f>
        <v>0</v>
      </c>
      <c r="AX145" s="68">
        <v>800000</v>
      </c>
      <c r="AY145" s="106" t="str">
        <f>Q145</f>
        <v>SBI</v>
      </c>
      <c r="AZ145" s="107">
        <f>D145</f>
        <v>45457</v>
      </c>
      <c r="BA145" s="33">
        <v>45458</v>
      </c>
      <c r="BB145" s="68">
        <v>30000</v>
      </c>
      <c r="BC145" s="68">
        <f>11000+58000</f>
        <v>69000</v>
      </c>
      <c r="BD145" s="56" t="s">
        <v>661</v>
      </c>
      <c r="BE145" s="56" t="s">
        <v>662</v>
      </c>
      <c r="BF145" s="56">
        <v>105000</v>
      </c>
      <c r="BG145" s="56">
        <v>0</v>
      </c>
      <c r="BH145" s="55">
        <f>+AV145-AX145-BB145-BC145-BF145+BG145</f>
        <v>0</v>
      </c>
      <c r="BI145" s="56" t="s">
        <v>663</v>
      </c>
      <c r="BJ145" s="56"/>
      <c r="BK145" s="19"/>
    </row>
    <row r="146" spans="1:63" ht="17.25" customHeight="1" x14ac:dyDescent="0.3">
      <c r="A146" s="30">
        <v>45444</v>
      </c>
      <c r="B146" s="31">
        <v>145</v>
      </c>
      <c r="C146" s="31">
        <v>21</v>
      </c>
      <c r="D146" s="33">
        <v>45457</v>
      </c>
      <c r="E146" s="34" t="s">
        <v>664</v>
      </c>
      <c r="F146" s="99">
        <v>9479603711</v>
      </c>
      <c r="G146" s="100">
        <f>D146</f>
        <v>45457</v>
      </c>
      <c r="H146" s="99" t="s">
        <v>665</v>
      </c>
      <c r="I146" s="68" t="s">
        <v>78</v>
      </c>
      <c r="J146" s="99" t="s">
        <v>324</v>
      </c>
      <c r="K146" s="99" t="s">
        <v>97</v>
      </c>
      <c r="L146" s="99">
        <v>7518167</v>
      </c>
      <c r="M146" s="99">
        <v>287002</v>
      </c>
      <c r="N146" s="99" t="s">
        <v>106</v>
      </c>
      <c r="O146" s="101">
        <v>0</v>
      </c>
      <c r="P146" s="110" t="s">
        <v>81</v>
      </c>
      <c r="Q146" s="110" t="s">
        <v>122</v>
      </c>
      <c r="R146" s="111" t="s">
        <v>666</v>
      </c>
      <c r="S146" s="111" t="s">
        <v>106</v>
      </c>
      <c r="T146" s="68" t="s">
        <v>124</v>
      </c>
      <c r="U146" s="67" t="s">
        <v>125</v>
      </c>
      <c r="V146" s="102">
        <v>877242</v>
      </c>
      <c r="W146" s="99">
        <v>0</v>
      </c>
      <c r="X146" s="56">
        <v>0</v>
      </c>
      <c r="Y146" s="68">
        <v>885</v>
      </c>
      <c r="Z146" s="56">
        <v>0</v>
      </c>
      <c r="AA146" s="101">
        <v>75679</v>
      </c>
      <c r="AB146" s="101">
        <v>0</v>
      </c>
      <c r="AC146" s="101">
        <v>0</v>
      </c>
      <c r="AD146" s="101">
        <v>31786</v>
      </c>
      <c r="AE146" s="103">
        <f>SUM(V146:AD146)</f>
        <v>985592</v>
      </c>
      <c r="AF146" s="99">
        <v>0</v>
      </c>
      <c r="AG146" s="99">
        <v>15000</v>
      </c>
      <c r="AH146" s="99">
        <v>0</v>
      </c>
      <c r="AI146" s="99">
        <v>1</v>
      </c>
      <c r="AJ146" s="99">
        <v>0</v>
      </c>
      <c r="AK146" s="99">
        <v>0</v>
      </c>
      <c r="AL146" s="99">
        <v>0</v>
      </c>
      <c r="AM146" s="99">
        <v>16291</v>
      </c>
      <c r="AN146" s="45">
        <f>SUM(AF146:AM146)</f>
        <v>31292</v>
      </c>
      <c r="AO146" s="104">
        <f>+AE146-AN146</f>
        <v>954300</v>
      </c>
      <c r="AP146" s="101">
        <v>10840</v>
      </c>
      <c r="AQ146" s="105">
        <v>140</v>
      </c>
      <c r="AR146" s="101">
        <f>AP146-AQ146</f>
        <v>10700</v>
      </c>
      <c r="AS146" s="56">
        <v>0</v>
      </c>
      <c r="AT146" s="56">
        <v>0</v>
      </c>
      <c r="AU146" s="48">
        <f>+AN146+AQ146</f>
        <v>31432</v>
      </c>
      <c r="AV146" s="119">
        <f>AO146+AR146+AS146+AT146</f>
        <v>965000</v>
      </c>
      <c r="AW146" s="49">
        <f>O146-AX146</f>
        <v>-775000</v>
      </c>
      <c r="AX146" s="68">
        <v>775000</v>
      </c>
      <c r="AY146" s="106" t="str">
        <f>Q146</f>
        <v>BOI</v>
      </c>
      <c r="AZ146" s="107">
        <f>D146</f>
        <v>45457</v>
      </c>
      <c r="BA146" s="33">
        <v>45458</v>
      </c>
      <c r="BB146" s="68">
        <f>190000</f>
        <v>190000</v>
      </c>
      <c r="BC146" s="68">
        <v>0</v>
      </c>
      <c r="BD146" s="56">
        <v>0</v>
      </c>
      <c r="BE146" s="56">
        <v>0</v>
      </c>
      <c r="BF146" s="56">
        <v>0</v>
      </c>
      <c r="BG146" s="56">
        <v>0</v>
      </c>
      <c r="BH146" s="55">
        <f>+AV146-AX146-BB146-BC146-BF146+BG146</f>
        <v>0</v>
      </c>
      <c r="BI146" s="56" t="s">
        <v>109</v>
      </c>
      <c r="BJ146" s="56"/>
      <c r="BK146" s="19"/>
    </row>
    <row r="147" spans="1:63" ht="17.25" customHeight="1" x14ac:dyDescent="0.3">
      <c r="A147" s="30">
        <v>45444</v>
      </c>
      <c r="B147" s="31">
        <v>146</v>
      </c>
      <c r="C147" s="31">
        <v>22</v>
      </c>
      <c r="D147" s="33">
        <v>45458</v>
      </c>
      <c r="E147" s="34" t="s">
        <v>667</v>
      </c>
      <c r="F147" s="99">
        <v>9926033992</v>
      </c>
      <c r="G147" s="100">
        <f>D147</f>
        <v>45458</v>
      </c>
      <c r="H147" s="99" t="s">
        <v>668</v>
      </c>
      <c r="I147" s="68" t="s">
        <v>78</v>
      </c>
      <c r="J147" s="99" t="s">
        <v>79</v>
      </c>
      <c r="K147" s="99" t="s">
        <v>66</v>
      </c>
      <c r="L147" s="99">
        <v>7523450</v>
      </c>
      <c r="M147" s="99">
        <v>293041</v>
      </c>
      <c r="N147" s="99" t="s">
        <v>67</v>
      </c>
      <c r="O147" s="101">
        <v>450000</v>
      </c>
      <c r="P147" s="110" t="s">
        <v>68</v>
      </c>
      <c r="Q147" s="110" t="s">
        <v>122</v>
      </c>
      <c r="R147" s="111" t="s">
        <v>447</v>
      </c>
      <c r="S147" s="111" t="s">
        <v>67</v>
      </c>
      <c r="T147" s="68" t="s">
        <v>115</v>
      </c>
      <c r="U147" s="67" t="s">
        <v>116</v>
      </c>
      <c r="V147" s="102">
        <v>846242</v>
      </c>
      <c r="W147" s="99">
        <v>0</v>
      </c>
      <c r="X147" s="56">
        <v>0</v>
      </c>
      <c r="Y147" s="68">
        <v>885</v>
      </c>
      <c r="Z147" s="56">
        <v>500</v>
      </c>
      <c r="AA147" s="101">
        <v>73199</v>
      </c>
      <c r="AB147" s="101">
        <v>0</v>
      </c>
      <c r="AC147" s="101">
        <v>0</v>
      </c>
      <c r="AD147" s="101">
        <v>28163</v>
      </c>
      <c r="AE147" s="103">
        <f>SUM(V147:AD147)</f>
        <v>948989</v>
      </c>
      <c r="AF147" s="99">
        <v>0</v>
      </c>
      <c r="AG147" s="99">
        <v>0</v>
      </c>
      <c r="AH147" s="99">
        <v>10000</v>
      </c>
      <c r="AI147" s="99">
        <v>1</v>
      </c>
      <c r="AJ147" s="99">
        <v>0</v>
      </c>
      <c r="AK147" s="99">
        <v>0</v>
      </c>
      <c r="AL147" s="99">
        <v>0</v>
      </c>
      <c r="AM147" s="99">
        <v>28988</v>
      </c>
      <c r="AN147" s="45">
        <f>SUM(AF147:AM147)</f>
        <v>38989</v>
      </c>
      <c r="AO147" s="104">
        <f>+AE147-AN147</f>
        <v>910000</v>
      </c>
      <c r="AP147" s="101">
        <v>21000</v>
      </c>
      <c r="AQ147" s="105">
        <v>1000</v>
      </c>
      <c r="AR147" s="101">
        <f>AP147-AQ147</f>
        <v>20000</v>
      </c>
      <c r="AS147" s="56">
        <v>0</v>
      </c>
      <c r="AT147" s="56">
        <v>0</v>
      </c>
      <c r="AU147" s="48">
        <f>+AN147+AQ147</f>
        <v>39989</v>
      </c>
      <c r="AV147" s="119">
        <f>AO147+AR147+AS147+AT147</f>
        <v>930000</v>
      </c>
      <c r="AW147" s="49">
        <f>O147-AX147</f>
        <v>0</v>
      </c>
      <c r="AX147" s="68">
        <v>450000</v>
      </c>
      <c r="AY147" s="106" t="str">
        <f>Q147</f>
        <v>BOI</v>
      </c>
      <c r="AZ147" s="107">
        <f>D147</f>
        <v>45458</v>
      </c>
      <c r="BA147" s="33">
        <v>45464</v>
      </c>
      <c r="BB147" s="68">
        <f>175000+5900</f>
        <v>180900</v>
      </c>
      <c r="BC147" s="68">
        <f>5100+99000+25000+20000</f>
        <v>149100</v>
      </c>
      <c r="BD147" s="56" t="s">
        <v>669</v>
      </c>
      <c r="BE147" s="56" t="s">
        <v>670</v>
      </c>
      <c r="BF147" s="56">
        <v>150000</v>
      </c>
      <c r="BG147" s="56">
        <v>0</v>
      </c>
      <c r="BH147" s="55">
        <f>+AV147-AX147-BB147-BC147-BF147+BG147</f>
        <v>0</v>
      </c>
      <c r="BI147" s="56" t="s">
        <v>109</v>
      </c>
      <c r="BJ147" s="56"/>
      <c r="BK147" s="19"/>
    </row>
    <row r="148" spans="1:63" ht="17.25" customHeight="1" x14ac:dyDescent="0.3">
      <c r="A148" s="30">
        <v>45444</v>
      </c>
      <c r="B148" s="31">
        <v>147</v>
      </c>
      <c r="C148" s="31">
        <v>23</v>
      </c>
      <c r="D148" s="33">
        <v>45459</v>
      </c>
      <c r="E148" s="62" t="s">
        <v>671</v>
      </c>
      <c r="F148" s="99">
        <v>9111021155</v>
      </c>
      <c r="G148" s="100">
        <f>D148</f>
        <v>45459</v>
      </c>
      <c r="H148" s="99" t="s">
        <v>672</v>
      </c>
      <c r="I148" s="68" t="s">
        <v>64</v>
      </c>
      <c r="J148" s="99" t="s">
        <v>65</v>
      </c>
      <c r="K148" s="99" t="s">
        <v>66</v>
      </c>
      <c r="L148" s="99">
        <v>4457085</v>
      </c>
      <c r="M148" s="99">
        <v>740189</v>
      </c>
      <c r="N148" s="99" t="s">
        <v>147</v>
      </c>
      <c r="O148" s="101">
        <v>600000</v>
      </c>
      <c r="P148" s="67" t="s">
        <v>68</v>
      </c>
      <c r="Q148" s="67" t="s">
        <v>114</v>
      </c>
      <c r="R148" s="68" t="s">
        <v>106</v>
      </c>
      <c r="S148" s="68" t="s">
        <v>106</v>
      </c>
      <c r="T148" s="68" t="s">
        <v>150</v>
      </c>
      <c r="U148" s="67" t="s">
        <v>469</v>
      </c>
      <c r="V148" s="102">
        <v>665742</v>
      </c>
      <c r="W148" s="99">
        <v>11328</v>
      </c>
      <c r="X148" s="56">
        <v>4307</v>
      </c>
      <c r="Y148" s="68">
        <v>885</v>
      </c>
      <c r="Z148" s="56">
        <v>500</v>
      </c>
      <c r="AA148" s="101">
        <v>60463</v>
      </c>
      <c r="AB148" s="101">
        <v>0</v>
      </c>
      <c r="AC148" s="101">
        <v>0</v>
      </c>
      <c r="AD148" s="101">
        <v>25337</v>
      </c>
      <c r="AE148" s="103">
        <f>SUM(V148:AD148)</f>
        <v>768562</v>
      </c>
      <c r="AF148" s="99">
        <v>10000</v>
      </c>
      <c r="AG148" s="99">
        <v>25000</v>
      </c>
      <c r="AH148" s="99">
        <v>0</v>
      </c>
      <c r="AI148" s="99">
        <v>1</v>
      </c>
      <c r="AJ148" s="99">
        <v>0</v>
      </c>
      <c r="AK148" s="99">
        <v>0</v>
      </c>
      <c r="AL148" s="99">
        <v>0</v>
      </c>
      <c r="AM148" s="99">
        <v>23561</v>
      </c>
      <c r="AN148" s="45">
        <f>SUM(AF148:AM148)</f>
        <v>58562</v>
      </c>
      <c r="AO148" s="104">
        <f>+AE148-AN148</f>
        <v>710000</v>
      </c>
      <c r="AP148" s="101">
        <v>57000</v>
      </c>
      <c r="AQ148" s="105">
        <v>1500</v>
      </c>
      <c r="AR148" s="101">
        <f>AP148-AQ148</f>
        <v>55500</v>
      </c>
      <c r="AS148" s="56">
        <v>0</v>
      </c>
      <c r="AT148" s="56">
        <v>0</v>
      </c>
      <c r="AU148" s="48">
        <f>+AN148+AQ148</f>
        <v>60062</v>
      </c>
      <c r="AV148" s="119">
        <f>AO148+AR148+AS148+AT148</f>
        <v>765500</v>
      </c>
      <c r="AW148" s="49">
        <f>O148-AX148</f>
        <v>19282</v>
      </c>
      <c r="AX148" s="68">
        <v>580718</v>
      </c>
      <c r="AY148" s="106" t="str">
        <f>Q148</f>
        <v>INDUSIND</v>
      </c>
      <c r="AZ148" s="107">
        <f>D148</f>
        <v>45459</v>
      </c>
      <c r="BA148" s="33">
        <v>45461</v>
      </c>
      <c r="BB148" s="68">
        <f>40000</f>
        <v>40000</v>
      </c>
      <c r="BC148" s="68">
        <f>11000+15500+90000+28500</f>
        <v>145000</v>
      </c>
      <c r="BD148" s="56">
        <v>0</v>
      </c>
      <c r="BE148" s="56">
        <v>0</v>
      </c>
      <c r="BF148" s="56">
        <v>0</v>
      </c>
      <c r="BG148" s="56">
        <v>0</v>
      </c>
      <c r="BH148" s="55">
        <f>+AV148-AX148-BB148-BC148-BF148+BG148</f>
        <v>-218</v>
      </c>
      <c r="BI148" s="56" t="s">
        <v>109</v>
      </c>
      <c r="BJ148" s="56"/>
      <c r="BK148" s="19"/>
    </row>
    <row r="149" spans="1:63" ht="17.25" customHeight="1" x14ac:dyDescent="0.3">
      <c r="A149" s="30">
        <v>45444</v>
      </c>
      <c r="B149" s="31">
        <v>148</v>
      </c>
      <c r="C149" s="32">
        <v>24</v>
      </c>
      <c r="D149" s="33">
        <v>45460</v>
      </c>
      <c r="E149" s="34" t="s">
        <v>673</v>
      </c>
      <c r="F149" s="99">
        <v>7389865777</v>
      </c>
      <c r="G149" s="100">
        <f>D149</f>
        <v>45460</v>
      </c>
      <c r="H149" s="99" t="s">
        <v>674</v>
      </c>
      <c r="I149" s="68" t="s">
        <v>64</v>
      </c>
      <c r="J149" s="99" t="s">
        <v>65</v>
      </c>
      <c r="K149" s="99" t="s">
        <v>66</v>
      </c>
      <c r="L149" s="99">
        <v>4457422</v>
      </c>
      <c r="M149" s="99">
        <v>740668</v>
      </c>
      <c r="N149" s="99" t="s">
        <v>67</v>
      </c>
      <c r="O149" s="101">
        <v>520000</v>
      </c>
      <c r="P149" s="67" t="s">
        <v>68</v>
      </c>
      <c r="Q149" s="67" t="s">
        <v>69</v>
      </c>
      <c r="R149" s="68" t="s">
        <v>83</v>
      </c>
      <c r="S149" s="68" t="s">
        <v>80</v>
      </c>
      <c r="T149" s="68" t="s">
        <v>115</v>
      </c>
      <c r="U149" s="67" t="s">
        <v>675</v>
      </c>
      <c r="V149" s="102">
        <v>665742</v>
      </c>
      <c r="W149" s="99">
        <v>11328</v>
      </c>
      <c r="X149" s="56">
        <v>4307</v>
      </c>
      <c r="Y149" s="68">
        <v>885</v>
      </c>
      <c r="Z149" s="56">
        <v>500</v>
      </c>
      <c r="AA149" s="101">
        <v>58759</v>
      </c>
      <c r="AB149" s="101">
        <v>0</v>
      </c>
      <c r="AC149" s="101">
        <v>0</v>
      </c>
      <c r="AD149" s="101">
        <v>25337</v>
      </c>
      <c r="AE149" s="103">
        <f>SUM(V149:AD149)</f>
        <v>766858</v>
      </c>
      <c r="AF149" s="99">
        <v>10000</v>
      </c>
      <c r="AG149" s="99">
        <v>25000</v>
      </c>
      <c r="AH149" s="99">
        <v>0</v>
      </c>
      <c r="AI149" s="99">
        <v>0</v>
      </c>
      <c r="AJ149" s="99">
        <v>2100</v>
      </c>
      <c r="AK149" s="99">
        <v>0</v>
      </c>
      <c r="AL149" s="99">
        <v>0</v>
      </c>
      <c r="AM149" s="99">
        <v>19708</v>
      </c>
      <c r="AN149" s="45">
        <f>SUM(AF149:AM149)</f>
        <v>56808</v>
      </c>
      <c r="AO149" s="104">
        <f>+AE149-AN149</f>
        <v>710050</v>
      </c>
      <c r="AP149" s="101">
        <v>5000</v>
      </c>
      <c r="AQ149" s="105">
        <v>50</v>
      </c>
      <c r="AR149" s="101">
        <f>AP149-AQ149</f>
        <v>4950</v>
      </c>
      <c r="AS149" s="56">
        <v>0</v>
      </c>
      <c r="AT149" s="56">
        <v>0</v>
      </c>
      <c r="AU149" s="48">
        <f>+AN149+AQ149</f>
        <v>56858</v>
      </c>
      <c r="AV149" s="119">
        <f>AO149+AR149+AS149+AT149</f>
        <v>715000</v>
      </c>
      <c r="AW149" s="49">
        <f>O149-AX149</f>
        <v>0</v>
      </c>
      <c r="AX149" s="68">
        <v>520000</v>
      </c>
      <c r="AY149" s="106" t="str">
        <f>Q149</f>
        <v>SUNDARAM</v>
      </c>
      <c r="AZ149" s="107">
        <f>D149</f>
        <v>45460</v>
      </c>
      <c r="BA149" s="33">
        <v>45462</v>
      </c>
      <c r="BB149" s="68">
        <f>121000+10000+20000</f>
        <v>151000</v>
      </c>
      <c r="BC149" s="68">
        <v>49000</v>
      </c>
      <c r="BD149" s="56">
        <v>0</v>
      </c>
      <c r="BE149" s="56">
        <v>0</v>
      </c>
      <c r="BF149" s="56">
        <v>0</v>
      </c>
      <c r="BG149" s="56">
        <v>0</v>
      </c>
      <c r="BH149" s="55">
        <f>+AV149-AX149-BB149-BC149-BF149+BG149</f>
        <v>-5000</v>
      </c>
      <c r="BI149" s="56" t="s">
        <v>109</v>
      </c>
      <c r="BJ149" s="56" t="s">
        <v>676</v>
      </c>
      <c r="BK149" s="19"/>
    </row>
    <row r="150" spans="1:63" ht="17.25" customHeight="1" x14ac:dyDescent="0.3">
      <c r="A150" s="30">
        <v>45444</v>
      </c>
      <c r="B150" s="31">
        <v>149</v>
      </c>
      <c r="C150" s="31">
        <v>25</v>
      </c>
      <c r="D150" s="33">
        <v>45461</v>
      </c>
      <c r="E150" s="34" t="s">
        <v>677</v>
      </c>
      <c r="F150" s="99">
        <v>9840345740</v>
      </c>
      <c r="G150" s="100">
        <f>D150</f>
        <v>45461</v>
      </c>
      <c r="H150" s="99" t="s">
        <v>678</v>
      </c>
      <c r="I150" s="68" t="s">
        <v>64</v>
      </c>
      <c r="J150" s="99" t="s">
        <v>89</v>
      </c>
      <c r="K150" s="99" t="s">
        <v>97</v>
      </c>
      <c r="L150" s="99">
        <v>4451432</v>
      </c>
      <c r="M150" s="99">
        <v>733651</v>
      </c>
      <c r="N150" s="99" t="s">
        <v>106</v>
      </c>
      <c r="O150" s="101">
        <v>600000</v>
      </c>
      <c r="P150" s="67" t="s">
        <v>68</v>
      </c>
      <c r="Q150" s="67" t="s">
        <v>191</v>
      </c>
      <c r="R150" s="67" t="s">
        <v>660</v>
      </c>
      <c r="S150" s="68" t="s">
        <v>106</v>
      </c>
      <c r="T150" s="68" t="s">
        <v>124</v>
      </c>
      <c r="U150" s="67" t="s">
        <v>125</v>
      </c>
      <c r="V150" s="102">
        <v>749742</v>
      </c>
      <c r="W150" s="99">
        <v>12744</v>
      </c>
      <c r="X150" s="56">
        <v>4850</v>
      </c>
      <c r="Y150" s="68">
        <v>885</v>
      </c>
      <c r="Z150" s="56">
        <v>0</v>
      </c>
      <c r="AA150" s="101">
        <v>16000</v>
      </c>
      <c r="AB150" s="101">
        <v>0</v>
      </c>
      <c r="AC150" s="101">
        <v>0</v>
      </c>
      <c r="AD150" s="101">
        <v>27488</v>
      </c>
      <c r="AE150" s="103">
        <f>SUM(V150:AD150)</f>
        <v>811709</v>
      </c>
      <c r="AF150" s="99">
        <v>10000</v>
      </c>
      <c r="AG150" s="99">
        <v>25000</v>
      </c>
      <c r="AH150" s="99">
        <v>0</v>
      </c>
      <c r="AI150" s="99">
        <v>1</v>
      </c>
      <c r="AJ150" s="99">
        <v>0</v>
      </c>
      <c r="AK150" s="99">
        <v>0</v>
      </c>
      <c r="AL150" s="99">
        <v>0</v>
      </c>
      <c r="AM150" s="99">
        <v>16708</v>
      </c>
      <c r="AN150" s="45">
        <f>SUM(AF150:AM150)</f>
        <v>51709</v>
      </c>
      <c r="AO150" s="104">
        <f>+AE150-AN150</f>
        <v>760000</v>
      </c>
      <c r="AP150" s="101">
        <v>29790</v>
      </c>
      <c r="AQ150" s="105">
        <v>790</v>
      </c>
      <c r="AR150" s="101">
        <f>AP150-AQ150</f>
        <v>29000</v>
      </c>
      <c r="AS150" s="56">
        <v>0</v>
      </c>
      <c r="AT150" s="56">
        <v>0</v>
      </c>
      <c r="AU150" s="48">
        <f>+AN150+AQ150</f>
        <v>52499</v>
      </c>
      <c r="AV150" s="119">
        <f>AO150+AR150+AS150+AT150</f>
        <v>789000</v>
      </c>
      <c r="AW150" s="49">
        <f>O150-AX150</f>
        <v>0</v>
      </c>
      <c r="AX150" s="68">
        <v>600000</v>
      </c>
      <c r="AY150" s="106" t="str">
        <f>Q150</f>
        <v>SBI</v>
      </c>
      <c r="AZ150" s="107">
        <f>D150</f>
        <v>45461</v>
      </c>
      <c r="BA150" s="33">
        <v>45461</v>
      </c>
      <c r="BB150" s="68">
        <v>0</v>
      </c>
      <c r="BC150" s="68">
        <f>5000+86000+6000+92000</f>
        <v>189000</v>
      </c>
      <c r="BD150" s="56">
        <v>0</v>
      </c>
      <c r="BE150" s="56">
        <v>0</v>
      </c>
      <c r="BF150" s="56">
        <v>0</v>
      </c>
      <c r="BG150" s="56">
        <v>0</v>
      </c>
      <c r="BH150" s="55">
        <f>+AV150-AX150-BB150-BC150-BF150+BG150</f>
        <v>0</v>
      </c>
      <c r="BI150" s="56" t="s">
        <v>109</v>
      </c>
      <c r="BJ150" s="56"/>
      <c r="BK150" s="19"/>
    </row>
    <row r="151" spans="1:63" ht="17.25" x14ac:dyDescent="0.3">
      <c r="A151" s="30">
        <v>45444</v>
      </c>
      <c r="B151" s="31">
        <v>150</v>
      </c>
      <c r="C151" s="31">
        <v>26</v>
      </c>
      <c r="D151" s="33">
        <v>45458</v>
      </c>
      <c r="E151" s="34" t="s">
        <v>679</v>
      </c>
      <c r="F151" s="99">
        <v>9926759740</v>
      </c>
      <c r="G151" s="113">
        <v>45462</v>
      </c>
      <c r="H151" s="99" t="s">
        <v>680</v>
      </c>
      <c r="I151" s="68" t="s">
        <v>397</v>
      </c>
      <c r="J151" s="99" t="s">
        <v>89</v>
      </c>
      <c r="K151" s="99" t="s">
        <v>97</v>
      </c>
      <c r="L151" s="99">
        <v>4865883</v>
      </c>
      <c r="M151" s="99">
        <v>437664</v>
      </c>
      <c r="N151" s="99" t="s">
        <v>147</v>
      </c>
      <c r="O151" s="101">
        <v>650000</v>
      </c>
      <c r="P151" s="67" t="s">
        <v>68</v>
      </c>
      <c r="Q151" s="67" t="s">
        <v>191</v>
      </c>
      <c r="R151" s="68" t="s">
        <v>147</v>
      </c>
      <c r="S151" s="68" t="s">
        <v>147</v>
      </c>
      <c r="T151" s="68" t="s">
        <v>150</v>
      </c>
      <c r="U151" s="67" t="s">
        <v>332</v>
      </c>
      <c r="V151" s="102">
        <v>638000</v>
      </c>
      <c r="W151" s="99">
        <v>10844</v>
      </c>
      <c r="X151" s="56">
        <v>4118</v>
      </c>
      <c r="Y151" s="68">
        <v>885</v>
      </c>
      <c r="Z151" s="56">
        <v>500</v>
      </c>
      <c r="AA151" s="101">
        <v>56540</v>
      </c>
      <c r="AB151" s="101">
        <v>0</v>
      </c>
      <c r="AC151" s="101">
        <v>0</v>
      </c>
      <c r="AD151" s="101">
        <v>25553</v>
      </c>
      <c r="AE151" s="103">
        <f>SUM(V151:AD151)</f>
        <v>736440</v>
      </c>
      <c r="AF151" s="99">
        <v>10000</v>
      </c>
      <c r="AG151" s="99">
        <v>25000</v>
      </c>
      <c r="AH151" s="99">
        <v>0</v>
      </c>
      <c r="AI151" s="99">
        <v>3000</v>
      </c>
      <c r="AJ151" s="99">
        <v>0</v>
      </c>
      <c r="AK151" s="99">
        <v>0</v>
      </c>
      <c r="AL151" s="99">
        <v>0</v>
      </c>
      <c r="AM151" s="99">
        <v>21940</v>
      </c>
      <c r="AN151" s="45">
        <f>SUM(AF151:AM151)</f>
        <v>59940</v>
      </c>
      <c r="AO151" s="104">
        <f>+AE151-AN151</f>
        <v>676500</v>
      </c>
      <c r="AP151" s="101">
        <v>20150</v>
      </c>
      <c r="AQ151" s="105">
        <v>150</v>
      </c>
      <c r="AR151" s="101">
        <f>AP151-AQ151</f>
        <v>20000</v>
      </c>
      <c r="AS151" s="56">
        <v>0</v>
      </c>
      <c r="AT151" s="56">
        <v>0</v>
      </c>
      <c r="AU151" s="48">
        <f>+AN151+AQ151</f>
        <v>60090</v>
      </c>
      <c r="AV151" s="119">
        <f>AO151+AR151+AS151+AT151</f>
        <v>696500</v>
      </c>
      <c r="AW151" s="49">
        <f>O151-AX151</f>
        <v>12000</v>
      </c>
      <c r="AX151" s="68">
        <v>638000</v>
      </c>
      <c r="AY151" s="106" t="str">
        <f>Q151</f>
        <v>SBI</v>
      </c>
      <c r="AZ151" s="107">
        <f>D151</f>
        <v>45458</v>
      </c>
      <c r="BA151" s="33">
        <v>45463</v>
      </c>
      <c r="BB151" s="68">
        <v>5000</v>
      </c>
      <c r="BC151" s="68">
        <f>41500</f>
        <v>41500</v>
      </c>
      <c r="BD151" s="56">
        <v>0</v>
      </c>
      <c r="BE151" s="56">
        <v>0</v>
      </c>
      <c r="BF151" s="56">
        <v>0</v>
      </c>
      <c r="BG151" s="56">
        <v>0</v>
      </c>
      <c r="BH151" s="55">
        <f>+AV151-AX151-BB151-BC151-BF151+BG151</f>
        <v>12000</v>
      </c>
      <c r="BI151" s="56" t="s">
        <v>209</v>
      </c>
      <c r="BJ151" s="56" t="s">
        <v>681</v>
      </c>
      <c r="BK151" s="19"/>
    </row>
    <row r="152" spans="1:63" ht="17.25" customHeight="1" x14ac:dyDescent="0.3">
      <c r="A152" s="30">
        <v>45444</v>
      </c>
      <c r="B152" s="31">
        <v>151</v>
      </c>
      <c r="C152" s="31">
        <v>27</v>
      </c>
      <c r="D152" s="33">
        <v>45458</v>
      </c>
      <c r="E152" s="62" t="s">
        <v>682</v>
      </c>
      <c r="F152" s="99">
        <v>9893315472</v>
      </c>
      <c r="G152" s="113">
        <v>45462</v>
      </c>
      <c r="H152" s="99" t="s">
        <v>683</v>
      </c>
      <c r="I152" s="68" t="s">
        <v>78</v>
      </c>
      <c r="J152" s="99" t="s">
        <v>324</v>
      </c>
      <c r="K152" s="99" t="s">
        <v>97</v>
      </c>
      <c r="L152" s="99">
        <v>7519117</v>
      </c>
      <c r="M152" s="99">
        <v>288124</v>
      </c>
      <c r="N152" s="99" t="s">
        <v>80</v>
      </c>
      <c r="O152" s="101">
        <v>500000</v>
      </c>
      <c r="P152" s="110" t="s">
        <v>81</v>
      </c>
      <c r="Q152" s="110" t="s">
        <v>191</v>
      </c>
      <c r="R152" s="111" t="s">
        <v>91</v>
      </c>
      <c r="S152" s="68" t="s">
        <v>80</v>
      </c>
      <c r="T152" s="68" t="s">
        <v>84</v>
      </c>
      <c r="U152" s="67" t="s">
        <v>170</v>
      </c>
      <c r="V152" s="102">
        <v>877242</v>
      </c>
      <c r="W152" s="99">
        <v>0</v>
      </c>
      <c r="X152" s="56">
        <v>0</v>
      </c>
      <c r="Y152" s="68">
        <v>885</v>
      </c>
      <c r="Z152" s="56">
        <v>0</v>
      </c>
      <c r="AA152" s="101">
        <v>75679</v>
      </c>
      <c r="AB152" s="101">
        <v>0</v>
      </c>
      <c r="AC152" s="101">
        <v>0</v>
      </c>
      <c r="AD152" s="101">
        <v>28977</v>
      </c>
      <c r="AE152" s="103">
        <f>SUM(V152:AD152)</f>
        <v>982783</v>
      </c>
      <c r="AF152" s="99">
        <v>0</v>
      </c>
      <c r="AG152" s="99">
        <v>15000</v>
      </c>
      <c r="AH152" s="99">
        <v>0</v>
      </c>
      <c r="AI152" s="99">
        <v>1</v>
      </c>
      <c r="AJ152" s="99">
        <v>0</v>
      </c>
      <c r="AK152" s="99">
        <v>0</v>
      </c>
      <c r="AL152" s="99">
        <v>0</v>
      </c>
      <c r="AM152" s="99">
        <v>21582</v>
      </c>
      <c r="AN152" s="45">
        <f>SUM(AF152:AM152)</f>
        <v>36583</v>
      </c>
      <c r="AO152" s="104">
        <f>+AE152-AN152</f>
        <v>946200</v>
      </c>
      <c r="AP152" s="101">
        <v>28500</v>
      </c>
      <c r="AQ152" s="105">
        <v>200</v>
      </c>
      <c r="AR152" s="101">
        <f>AP152-AQ152</f>
        <v>28300</v>
      </c>
      <c r="AS152" s="56">
        <v>0</v>
      </c>
      <c r="AT152" s="56">
        <v>0</v>
      </c>
      <c r="AU152" s="48">
        <f>+AN152+AQ152</f>
        <v>36783</v>
      </c>
      <c r="AV152" s="119">
        <f>AO152+AR152+AS152+AT152</f>
        <v>974500</v>
      </c>
      <c r="AW152" s="49">
        <f>O152-AX152</f>
        <v>0</v>
      </c>
      <c r="AX152" s="68">
        <v>500000</v>
      </c>
      <c r="AY152" s="106" t="str">
        <f>Q152</f>
        <v>SBI</v>
      </c>
      <c r="AZ152" s="107">
        <f>D152</f>
        <v>45458</v>
      </c>
      <c r="BA152" s="33">
        <v>45461</v>
      </c>
      <c r="BB152" s="68">
        <f>5100+9377</f>
        <v>14477</v>
      </c>
      <c r="BC152" s="68">
        <f>460023</f>
        <v>460023</v>
      </c>
      <c r="BD152" s="56">
        <v>0</v>
      </c>
      <c r="BE152" s="56">
        <v>0</v>
      </c>
      <c r="BF152" s="56">
        <v>0</v>
      </c>
      <c r="BG152" s="56">
        <v>0</v>
      </c>
      <c r="BH152" s="55">
        <f>+AV152-AX152-BB152-BC152-BF152+BG152</f>
        <v>0</v>
      </c>
      <c r="BI152" s="56" t="s">
        <v>684</v>
      </c>
      <c r="BJ152" s="56"/>
      <c r="BK152" s="19"/>
    </row>
    <row r="153" spans="1:63" ht="17.25" customHeight="1" x14ac:dyDescent="0.3">
      <c r="A153" s="30">
        <v>45444</v>
      </c>
      <c r="B153" s="31">
        <v>152</v>
      </c>
      <c r="C153" s="32">
        <v>28</v>
      </c>
      <c r="D153" s="33">
        <v>45462</v>
      </c>
      <c r="E153" s="34" t="s">
        <v>685</v>
      </c>
      <c r="F153" s="99">
        <v>8964928143</v>
      </c>
      <c r="G153" s="100">
        <f>D153</f>
        <v>45462</v>
      </c>
      <c r="H153" s="99" t="s">
        <v>686</v>
      </c>
      <c r="I153" s="68" t="s">
        <v>78</v>
      </c>
      <c r="J153" s="99" t="s">
        <v>104</v>
      </c>
      <c r="K153" s="99" t="s">
        <v>66</v>
      </c>
      <c r="L153" s="99">
        <v>7518161</v>
      </c>
      <c r="M153" s="99">
        <v>286993</v>
      </c>
      <c r="N153" s="99" t="s">
        <v>147</v>
      </c>
      <c r="O153" s="101">
        <v>800000</v>
      </c>
      <c r="P153" s="67" t="s">
        <v>68</v>
      </c>
      <c r="Q153" s="67" t="s">
        <v>114</v>
      </c>
      <c r="R153" s="68" t="s">
        <v>106</v>
      </c>
      <c r="S153" s="68" t="s">
        <v>106</v>
      </c>
      <c r="T153" s="68" t="s">
        <v>150</v>
      </c>
      <c r="U153" s="67" t="s">
        <v>469</v>
      </c>
      <c r="V153" s="102">
        <v>932242</v>
      </c>
      <c r="W153" s="99">
        <v>0</v>
      </c>
      <c r="X153" s="56">
        <v>0</v>
      </c>
      <c r="Y153" s="68">
        <v>885</v>
      </c>
      <c r="Z153" s="56">
        <v>500</v>
      </c>
      <c r="AA153" s="101">
        <v>80079</v>
      </c>
      <c r="AB153" s="101">
        <v>0</v>
      </c>
      <c r="AC153" s="101">
        <v>0</v>
      </c>
      <c r="AD153" s="101">
        <v>27444</v>
      </c>
      <c r="AE153" s="103">
        <f>SUM(V153:AD153)</f>
        <v>1041150</v>
      </c>
      <c r="AF153" s="99">
        <v>0</v>
      </c>
      <c r="AG153" s="99">
        <v>0</v>
      </c>
      <c r="AH153" s="99">
        <v>0</v>
      </c>
      <c r="AI153" s="99">
        <v>1</v>
      </c>
      <c r="AJ153" s="99">
        <v>0</v>
      </c>
      <c r="AK153" s="99">
        <v>0</v>
      </c>
      <c r="AL153" s="99">
        <v>0</v>
      </c>
      <c r="AM153" s="99">
        <v>36104</v>
      </c>
      <c r="AN153" s="45">
        <f>SUM(AF153:AM153)</f>
        <v>36105</v>
      </c>
      <c r="AO153" s="104">
        <f>+AE153-AN153</f>
        <v>1005045</v>
      </c>
      <c r="AP153" s="101">
        <v>3980</v>
      </c>
      <c r="AQ153" s="105">
        <v>80</v>
      </c>
      <c r="AR153" s="101">
        <f>AP153-AQ153</f>
        <v>3900</v>
      </c>
      <c r="AS153" s="56">
        <v>0</v>
      </c>
      <c r="AT153" s="56">
        <v>0</v>
      </c>
      <c r="AU153" s="48">
        <f>+AN153+AQ153</f>
        <v>36185</v>
      </c>
      <c r="AV153" s="119">
        <f>AO153+AR153+AS153+AT153</f>
        <v>1008945</v>
      </c>
      <c r="AW153" s="49">
        <f>O153-AX153</f>
        <v>23755</v>
      </c>
      <c r="AX153" s="68">
        <v>776245</v>
      </c>
      <c r="AY153" s="106" t="str">
        <f>Q153</f>
        <v>INDUSIND</v>
      </c>
      <c r="AZ153" s="107">
        <f>D153</f>
        <v>45462</v>
      </c>
      <c r="BA153" s="33">
        <v>45464</v>
      </c>
      <c r="BB153" s="68">
        <f>189200+8500</f>
        <v>197700</v>
      </c>
      <c r="BC153" s="68">
        <f>15100+20000</f>
        <v>35100</v>
      </c>
      <c r="BD153" s="56">
        <v>0</v>
      </c>
      <c r="BE153" s="56">
        <v>0</v>
      </c>
      <c r="BF153" s="56">
        <v>0</v>
      </c>
      <c r="BG153" s="56">
        <v>0</v>
      </c>
      <c r="BH153" s="55">
        <f>+AV153-AX153-BB153-BC153-BF153+BG153</f>
        <v>-100</v>
      </c>
      <c r="BI153" s="56" t="s">
        <v>109</v>
      </c>
      <c r="BJ153" s="56"/>
      <c r="BK153" s="19"/>
    </row>
    <row r="154" spans="1:63" ht="17.25" customHeight="1" x14ac:dyDescent="0.3">
      <c r="A154" s="30">
        <v>45444</v>
      </c>
      <c r="B154" s="31">
        <v>153</v>
      </c>
      <c r="C154" s="31">
        <v>29</v>
      </c>
      <c r="D154" s="33">
        <v>45462</v>
      </c>
      <c r="E154" s="63" t="s">
        <v>687</v>
      </c>
      <c r="F154" s="99">
        <v>9131616132</v>
      </c>
      <c r="G154" s="100">
        <f>D154</f>
        <v>45462</v>
      </c>
      <c r="H154" s="99" t="s">
        <v>688</v>
      </c>
      <c r="I154" s="68" t="s">
        <v>64</v>
      </c>
      <c r="J154" s="99" t="s">
        <v>689</v>
      </c>
      <c r="K154" s="99" t="s">
        <v>66</v>
      </c>
      <c r="L154" s="99">
        <v>4345632</v>
      </c>
      <c r="M154" s="99">
        <v>572488</v>
      </c>
      <c r="N154" s="99" t="s">
        <v>106</v>
      </c>
      <c r="O154" s="101">
        <v>500000</v>
      </c>
      <c r="P154" s="67" t="s">
        <v>68</v>
      </c>
      <c r="Q154" s="67" t="s">
        <v>191</v>
      </c>
      <c r="R154" s="68" t="s">
        <v>690</v>
      </c>
      <c r="S154" s="68" t="s">
        <v>106</v>
      </c>
      <c r="T154" s="68" t="s">
        <v>124</v>
      </c>
      <c r="U154" s="67" t="s">
        <v>125</v>
      </c>
      <c r="V154" s="102">
        <v>987742</v>
      </c>
      <c r="W154" s="99">
        <v>0</v>
      </c>
      <c r="X154" s="56">
        <v>0</v>
      </c>
      <c r="Y154" s="68">
        <v>885</v>
      </c>
      <c r="Z154" s="56">
        <v>0</v>
      </c>
      <c r="AA154" s="101">
        <v>84119</v>
      </c>
      <c r="AB154" s="101">
        <v>0</v>
      </c>
      <c r="AC154" s="101">
        <v>0</v>
      </c>
      <c r="AD154" s="101">
        <v>30514</v>
      </c>
      <c r="AE154" s="103">
        <f>SUM(V154:AD154)</f>
        <v>1103260</v>
      </c>
      <c r="AF154" s="99">
        <v>10000</v>
      </c>
      <c r="AG154" s="99">
        <v>30000</v>
      </c>
      <c r="AH154" s="99">
        <v>0</v>
      </c>
      <c r="AI154" s="99">
        <v>2000</v>
      </c>
      <c r="AJ154" s="99">
        <v>0</v>
      </c>
      <c r="AK154" s="99">
        <v>10000</v>
      </c>
      <c r="AL154" s="99">
        <v>0</v>
      </c>
      <c r="AM154" s="99">
        <v>60960</v>
      </c>
      <c r="AN154" s="45">
        <f>SUM(AF154:AM154)</f>
        <v>112960</v>
      </c>
      <c r="AO154" s="104">
        <f>+AE154-AN154</f>
        <v>990300</v>
      </c>
      <c r="AP154" s="101">
        <v>9850</v>
      </c>
      <c r="AQ154" s="105">
        <v>150</v>
      </c>
      <c r="AR154" s="101">
        <f>AP154-AQ154</f>
        <v>9700</v>
      </c>
      <c r="AS154" s="56">
        <v>0</v>
      </c>
      <c r="AT154" s="56">
        <v>0</v>
      </c>
      <c r="AU154" s="48">
        <f>+AN154+AQ154</f>
        <v>113110</v>
      </c>
      <c r="AV154" s="119">
        <f>AO154+AR154+AS154+AT154</f>
        <v>1000000</v>
      </c>
      <c r="AW154" s="49">
        <f>O154-AX154</f>
        <v>0</v>
      </c>
      <c r="AX154" s="68">
        <v>500000</v>
      </c>
      <c r="AY154" s="106" t="str">
        <f>Q154</f>
        <v>SBI</v>
      </c>
      <c r="AZ154" s="107">
        <f>D154</f>
        <v>45462</v>
      </c>
      <c r="BA154" s="33">
        <v>45463</v>
      </c>
      <c r="BB154" s="68">
        <v>190000</v>
      </c>
      <c r="BC154" s="68">
        <f>10000+300000</f>
        <v>310000</v>
      </c>
      <c r="BD154" s="56">
        <v>0</v>
      </c>
      <c r="BE154" s="56">
        <v>0</v>
      </c>
      <c r="BF154" s="56">
        <v>0</v>
      </c>
      <c r="BG154" s="56">
        <v>0</v>
      </c>
      <c r="BH154" s="55">
        <f>+AV154-AX154-BB154-BC154-BF154+BG154</f>
        <v>0</v>
      </c>
      <c r="BI154" s="56" t="s">
        <v>691</v>
      </c>
      <c r="BJ154" s="56"/>
      <c r="BK154" s="19"/>
    </row>
    <row r="155" spans="1:63" ht="17.25" customHeight="1" x14ac:dyDescent="0.3">
      <c r="A155" s="30">
        <v>45444</v>
      </c>
      <c r="B155" s="31">
        <v>154</v>
      </c>
      <c r="C155" s="31">
        <v>30</v>
      </c>
      <c r="D155" s="33">
        <v>45462</v>
      </c>
      <c r="E155" s="63" t="s">
        <v>692</v>
      </c>
      <c r="F155" s="99">
        <v>8602206221</v>
      </c>
      <c r="G155" s="100">
        <f>D155</f>
        <v>45462</v>
      </c>
      <c r="H155" s="99" t="s">
        <v>693</v>
      </c>
      <c r="I155" s="68" t="s">
        <v>64</v>
      </c>
      <c r="J155" s="99" t="s">
        <v>89</v>
      </c>
      <c r="K155" s="99" t="s">
        <v>97</v>
      </c>
      <c r="L155" s="99">
        <v>4463213</v>
      </c>
      <c r="M155" s="99">
        <v>747945</v>
      </c>
      <c r="N155" s="99" t="s">
        <v>106</v>
      </c>
      <c r="O155" s="101">
        <v>420000</v>
      </c>
      <c r="P155" s="67" t="s">
        <v>68</v>
      </c>
      <c r="Q155" s="67" t="s">
        <v>136</v>
      </c>
      <c r="R155" s="68" t="s">
        <v>106</v>
      </c>
      <c r="S155" s="68" t="s">
        <v>106</v>
      </c>
      <c r="T155" s="68" t="s">
        <v>124</v>
      </c>
      <c r="U155" s="67" t="s">
        <v>142</v>
      </c>
      <c r="V155" s="102">
        <v>749742</v>
      </c>
      <c r="W155" s="99">
        <v>12744</v>
      </c>
      <c r="X155" s="56">
        <v>0</v>
      </c>
      <c r="Y155" s="68">
        <v>885</v>
      </c>
      <c r="Z155" s="56">
        <v>0</v>
      </c>
      <c r="AA155" s="101">
        <v>65479</v>
      </c>
      <c r="AB155" s="101">
        <v>0</v>
      </c>
      <c r="AC155" s="101">
        <v>0</v>
      </c>
      <c r="AD155" s="101">
        <v>26688</v>
      </c>
      <c r="AE155" s="103">
        <f>SUM(V155:AD155)</f>
        <v>855538</v>
      </c>
      <c r="AF155" s="99">
        <v>10000</v>
      </c>
      <c r="AG155" s="99">
        <v>25000</v>
      </c>
      <c r="AH155" s="99">
        <v>0</v>
      </c>
      <c r="AI155" s="99">
        <v>1</v>
      </c>
      <c r="AJ155" s="99">
        <v>0</v>
      </c>
      <c r="AK155" s="99">
        <v>0</v>
      </c>
      <c r="AL155" s="99">
        <v>0</v>
      </c>
      <c r="AM155" s="99">
        <v>10537</v>
      </c>
      <c r="AN155" s="45">
        <f>SUM(AF155:AM155)</f>
        <v>45538</v>
      </c>
      <c r="AO155" s="104">
        <f>+AE155-AN155</f>
        <v>810000</v>
      </c>
      <c r="AP155" s="101">
        <v>10050</v>
      </c>
      <c r="AQ155" s="105">
        <v>50</v>
      </c>
      <c r="AR155" s="101">
        <f>AP155-AQ155</f>
        <v>10000</v>
      </c>
      <c r="AS155" s="56">
        <v>0</v>
      </c>
      <c r="AT155" s="56">
        <v>0</v>
      </c>
      <c r="AU155" s="48">
        <f>+AN155+AQ155</f>
        <v>45588</v>
      </c>
      <c r="AV155" s="119">
        <f>AO155+AR155+AS155+AT155</f>
        <v>820000</v>
      </c>
      <c r="AW155" s="49">
        <f>O155-AX155</f>
        <v>16806</v>
      </c>
      <c r="AX155" s="68">
        <v>403194</v>
      </c>
      <c r="AY155" s="106" t="str">
        <f>Q155</f>
        <v>CHOLA</v>
      </c>
      <c r="AZ155" s="107">
        <f>D155</f>
        <v>45462</v>
      </c>
      <c r="BA155" s="33">
        <v>45465</v>
      </c>
      <c r="BB155" s="68">
        <f>50000</f>
        <v>50000</v>
      </c>
      <c r="BC155" s="68">
        <f>50000+50000+224000+39000+5000</f>
        <v>368000</v>
      </c>
      <c r="BD155" s="56">
        <v>0</v>
      </c>
      <c r="BE155" s="56">
        <v>0</v>
      </c>
      <c r="BF155" s="56">
        <v>0</v>
      </c>
      <c r="BG155" s="56">
        <v>0</v>
      </c>
      <c r="BH155" s="55">
        <f>+AV155-AX155-BB155-BC155-BF155+BG155</f>
        <v>-1194</v>
      </c>
      <c r="BI155" s="56" t="s">
        <v>694</v>
      </c>
      <c r="BJ155" s="56"/>
      <c r="BK155" s="19"/>
    </row>
    <row r="156" spans="1:63" ht="17.25" customHeight="1" x14ac:dyDescent="0.3">
      <c r="A156" s="30">
        <v>45444</v>
      </c>
      <c r="B156" s="31">
        <v>155</v>
      </c>
      <c r="C156" s="31">
        <v>31</v>
      </c>
      <c r="D156" s="33">
        <v>45462</v>
      </c>
      <c r="E156" s="34" t="s">
        <v>695</v>
      </c>
      <c r="F156" s="99">
        <v>9685893252</v>
      </c>
      <c r="G156" s="100">
        <f>D156</f>
        <v>45462</v>
      </c>
      <c r="H156" s="99" t="s">
        <v>696</v>
      </c>
      <c r="I156" s="68" t="s">
        <v>64</v>
      </c>
      <c r="J156" s="99" t="s">
        <v>135</v>
      </c>
      <c r="K156" s="99" t="s">
        <v>66</v>
      </c>
      <c r="L156" s="99">
        <v>4475452</v>
      </c>
      <c r="M156" s="99">
        <v>761716</v>
      </c>
      <c r="N156" s="99" t="s">
        <v>80</v>
      </c>
      <c r="O156" s="101">
        <v>800000</v>
      </c>
      <c r="P156" s="67" t="s">
        <v>68</v>
      </c>
      <c r="Q156" s="67" t="s">
        <v>69</v>
      </c>
      <c r="R156" s="68" t="s">
        <v>83</v>
      </c>
      <c r="S156" s="68" t="s">
        <v>80</v>
      </c>
      <c r="T156" s="68" t="s">
        <v>84</v>
      </c>
      <c r="U156" s="67" t="s">
        <v>366</v>
      </c>
      <c r="V156" s="102">
        <v>932742</v>
      </c>
      <c r="W156" s="99">
        <v>0</v>
      </c>
      <c r="X156" s="56">
        <v>0</v>
      </c>
      <c r="Y156" s="68">
        <v>885</v>
      </c>
      <c r="Z156" s="56">
        <v>0</v>
      </c>
      <c r="AA156" s="101">
        <v>80119</v>
      </c>
      <c r="AB156" s="101">
        <v>0</v>
      </c>
      <c r="AC156" s="101">
        <v>0</v>
      </c>
      <c r="AD156" s="101">
        <v>30855</v>
      </c>
      <c r="AE156" s="103">
        <f>SUM(V156:AD156)</f>
        <v>1044601</v>
      </c>
      <c r="AF156" s="99">
        <v>0</v>
      </c>
      <c r="AG156" s="99">
        <v>15000</v>
      </c>
      <c r="AH156" s="99">
        <v>0</v>
      </c>
      <c r="AI156" s="99">
        <v>1</v>
      </c>
      <c r="AJ156" s="99">
        <v>0</v>
      </c>
      <c r="AK156" s="99">
        <v>0</v>
      </c>
      <c r="AL156" s="99">
        <v>0</v>
      </c>
      <c r="AM156" s="99">
        <v>14400</v>
      </c>
      <c r="AN156" s="45">
        <f>SUM(AF156:AM156)</f>
        <v>29401</v>
      </c>
      <c r="AO156" s="104">
        <f>+AE156-AN156</f>
        <v>1015200</v>
      </c>
      <c r="AP156" s="101">
        <v>25000</v>
      </c>
      <c r="AQ156" s="105">
        <v>200</v>
      </c>
      <c r="AR156" s="101">
        <f>AP156-AQ156</f>
        <v>24800</v>
      </c>
      <c r="AS156" s="56">
        <v>0</v>
      </c>
      <c r="AT156" s="56">
        <v>0</v>
      </c>
      <c r="AU156" s="48">
        <f>+AN156+AQ156</f>
        <v>29601</v>
      </c>
      <c r="AV156" s="119">
        <f>AO156+AR156+AS156+AT156</f>
        <v>1040000</v>
      </c>
      <c r="AW156" s="49">
        <f>O156-AX156</f>
        <v>0</v>
      </c>
      <c r="AX156" s="68">
        <v>800000</v>
      </c>
      <c r="AY156" s="106" t="str">
        <f>Q156</f>
        <v>SUNDARAM</v>
      </c>
      <c r="AZ156" s="107">
        <f>D156</f>
        <v>45462</v>
      </c>
      <c r="BA156" s="33"/>
      <c r="BB156" s="68">
        <f>100000</f>
        <v>100000</v>
      </c>
      <c r="BC156" s="68">
        <f>5000+50000+85000</f>
        <v>140000</v>
      </c>
      <c r="BD156" s="56">
        <v>0</v>
      </c>
      <c r="BE156" s="56">
        <v>0</v>
      </c>
      <c r="BF156" s="56">
        <v>0</v>
      </c>
      <c r="BG156" s="56">
        <v>0</v>
      </c>
      <c r="BH156" s="55">
        <f>+AV156-AX156-BB156-BC156-BF156+BG156</f>
        <v>0</v>
      </c>
      <c r="BI156" s="56" t="s">
        <v>109</v>
      </c>
      <c r="BJ156" s="56" t="s">
        <v>697</v>
      </c>
      <c r="BK156" s="19"/>
    </row>
    <row r="157" spans="1:63" ht="17.25" customHeight="1" x14ac:dyDescent="0.3">
      <c r="A157" s="30">
        <v>45444</v>
      </c>
      <c r="B157" s="31">
        <v>156</v>
      </c>
      <c r="C157" s="32">
        <v>32</v>
      </c>
      <c r="D157" s="33">
        <v>45463</v>
      </c>
      <c r="E157" s="34" t="s">
        <v>698</v>
      </c>
      <c r="F157" s="64">
        <v>9893586582</v>
      </c>
      <c r="G157" s="100">
        <f>D157</f>
        <v>45463</v>
      </c>
      <c r="H157" s="99" t="s">
        <v>699</v>
      </c>
      <c r="I157" s="68" t="s">
        <v>64</v>
      </c>
      <c r="J157" s="99" t="s">
        <v>65</v>
      </c>
      <c r="K157" s="99" t="s">
        <v>199</v>
      </c>
      <c r="L157" s="99">
        <v>4471377</v>
      </c>
      <c r="M157" s="99">
        <v>756920</v>
      </c>
      <c r="N157" s="99" t="s">
        <v>80</v>
      </c>
      <c r="O157" s="101">
        <v>550000</v>
      </c>
      <c r="P157" s="67" t="s">
        <v>68</v>
      </c>
      <c r="Q157" s="67" t="s">
        <v>114</v>
      </c>
      <c r="R157" s="68" t="s">
        <v>80</v>
      </c>
      <c r="S157" s="68" t="s">
        <v>80</v>
      </c>
      <c r="T157" s="68" t="s">
        <v>84</v>
      </c>
      <c r="U157" s="67" t="s">
        <v>170</v>
      </c>
      <c r="V157" s="102">
        <v>665742</v>
      </c>
      <c r="W157" s="99">
        <v>0</v>
      </c>
      <c r="X157" s="56">
        <v>0</v>
      </c>
      <c r="Y157" s="68">
        <v>885</v>
      </c>
      <c r="Z157" s="56">
        <v>0</v>
      </c>
      <c r="AA157" s="101">
        <v>58759</v>
      </c>
      <c r="AB157" s="101">
        <v>0</v>
      </c>
      <c r="AC157" s="101">
        <v>0</v>
      </c>
      <c r="AD157" s="101">
        <v>25801</v>
      </c>
      <c r="AE157" s="103">
        <f>SUM(V157:AD157)</f>
        <v>751187</v>
      </c>
      <c r="AF157" s="99">
        <v>10000</v>
      </c>
      <c r="AG157" s="99">
        <v>25000</v>
      </c>
      <c r="AH157" s="99">
        <v>15000</v>
      </c>
      <c r="AI157" s="99">
        <v>1</v>
      </c>
      <c r="AJ157" s="99">
        <v>0</v>
      </c>
      <c r="AK157" s="99">
        <v>0</v>
      </c>
      <c r="AL157" s="99">
        <v>0</v>
      </c>
      <c r="AM157" s="99">
        <v>34086</v>
      </c>
      <c r="AN157" s="45">
        <f>SUM(AF157:AM157)</f>
        <v>84087</v>
      </c>
      <c r="AO157" s="104">
        <f>+AE157-AN157</f>
        <v>667100</v>
      </c>
      <c r="AP157" s="101">
        <v>24000</v>
      </c>
      <c r="AQ157" s="105">
        <v>1100</v>
      </c>
      <c r="AR157" s="101">
        <f>AP157-AQ157</f>
        <v>22900</v>
      </c>
      <c r="AS157" s="56">
        <v>0</v>
      </c>
      <c r="AT157" s="56">
        <v>5100</v>
      </c>
      <c r="AU157" s="48">
        <f>+AN157+AQ157</f>
        <v>85187</v>
      </c>
      <c r="AV157" s="119">
        <f>AO157+AR157+AS157+AT157</f>
        <v>695100</v>
      </c>
      <c r="AW157" s="49">
        <f>O157-AX157</f>
        <v>9450</v>
      </c>
      <c r="AX157" s="68">
        <v>540550</v>
      </c>
      <c r="AY157" s="106" t="str">
        <f>Q157</f>
        <v>INDUSIND</v>
      </c>
      <c r="AZ157" s="107">
        <f>D157</f>
        <v>45463</v>
      </c>
      <c r="BA157" s="33">
        <v>45467</v>
      </c>
      <c r="BB157" s="68">
        <v>0</v>
      </c>
      <c r="BC157" s="68">
        <v>0</v>
      </c>
      <c r="BD157" s="56" t="s">
        <v>700</v>
      </c>
      <c r="BE157" s="56" t="s">
        <v>701</v>
      </c>
      <c r="BF157" s="56">
        <v>160000</v>
      </c>
      <c r="BG157" s="56">
        <v>0</v>
      </c>
      <c r="BH157" s="55">
        <f>+AV157-AX157-BB157-BC157-BF157+BG157</f>
        <v>-5450</v>
      </c>
      <c r="BI157" s="56"/>
      <c r="BJ157" s="56"/>
      <c r="BK157" s="19"/>
    </row>
    <row r="158" spans="1:63" ht="17.25" customHeight="1" x14ac:dyDescent="0.3">
      <c r="A158" s="30">
        <v>45444</v>
      </c>
      <c r="B158" s="31">
        <v>157</v>
      </c>
      <c r="C158" s="31">
        <v>33</v>
      </c>
      <c r="D158" s="33">
        <v>45463</v>
      </c>
      <c r="E158" s="34" t="s">
        <v>702</v>
      </c>
      <c r="F158" s="99">
        <v>9617003803</v>
      </c>
      <c r="G158" s="100">
        <f>D158</f>
        <v>45463</v>
      </c>
      <c r="H158" s="99" t="s">
        <v>703</v>
      </c>
      <c r="I158" s="68" t="s">
        <v>121</v>
      </c>
      <c r="J158" s="99" t="s">
        <v>104</v>
      </c>
      <c r="K158" s="99" t="s">
        <v>66</v>
      </c>
      <c r="L158" s="99">
        <v>7396239</v>
      </c>
      <c r="M158" s="99">
        <v>118920</v>
      </c>
      <c r="N158" s="99" t="s">
        <v>106</v>
      </c>
      <c r="O158" s="101">
        <v>1500000</v>
      </c>
      <c r="P158" s="67" t="s">
        <v>68</v>
      </c>
      <c r="Q158" s="67" t="s">
        <v>122</v>
      </c>
      <c r="R158" s="68" t="s">
        <v>660</v>
      </c>
      <c r="S158" s="68" t="s">
        <v>106</v>
      </c>
      <c r="T158" s="68" t="s">
        <v>124</v>
      </c>
      <c r="U158" s="67" t="s">
        <v>125</v>
      </c>
      <c r="V158" s="102">
        <v>1314601</v>
      </c>
      <c r="W158" s="99">
        <v>22349</v>
      </c>
      <c r="X158" s="56">
        <v>0</v>
      </c>
      <c r="Y158" s="68">
        <v>885</v>
      </c>
      <c r="Z158" s="56">
        <v>0</v>
      </c>
      <c r="AA158" s="101">
        <v>136960</v>
      </c>
      <c r="AB158" s="101">
        <v>0</v>
      </c>
      <c r="AC158" s="101">
        <v>12966</v>
      </c>
      <c r="AD158" s="101">
        <v>35538</v>
      </c>
      <c r="AE158" s="103">
        <f>SUM(V158:AD158)</f>
        <v>1523299</v>
      </c>
      <c r="AF158" s="99">
        <v>0</v>
      </c>
      <c r="AG158" s="99">
        <v>0</v>
      </c>
      <c r="AH158" s="99">
        <v>0</v>
      </c>
      <c r="AI158" s="99">
        <v>1</v>
      </c>
      <c r="AJ158" s="99">
        <v>0</v>
      </c>
      <c r="AK158" s="99">
        <v>0</v>
      </c>
      <c r="AL158" s="99">
        <v>0</v>
      </c>
      <c r="AM158" s="99">
        <v>17978</v>
      </c>
      <c r="AN158" s="45">
        <f>SUM(AF158:AM158)</f>
        <v>17979</v>
      </c>
      <c r="AO158" s="104">
        <f>+AE158-AN158</f>
        <v>1505320</v>
      </c>
      <c r="AP158" s="101">
        <v>45000</v>
      </c>
      <c r="AQ158" s="105">
        <v>320</v>
      </c>
      <c r="AR158" s="101">
        <f>AP158-AQ158</f>
        <v>44680</v>
      </c>
      <c r="AS158" s="56">
        <v>0</v>
      </c>
      <c r="AT158" s="56">
        <v>0</v>
      </c>
      <c r="AU158" s="48">
        <f>+AN158+AQ158</f>
        <v>18299</v>
      </c>
      <c r="AV158" s="119">
        <f>AO158+AR158+AS158+AT158</f>
        <v>1550000</v>
      </c>
      <c r="AW158" s="49">
        <f>O158-AX158</f>
        <v>0</v>
      </c>
      <c r="AX158" s="68">
        <v>1500000</v>
      </c>
      <c r="AY158" s="106" t="str">
        <f>Q158</f>
        <v>BOI</v>
      </c>
      <c r="AZ158" s="107">
        <v>45462</v>
      </c>
      <c r="BA158" s="33">
        <v>45462</v>
      </c>
      <c r="BB158" s="68">
        <v>0</v>
      </c>
      <c r="BC158" s="68">
        <f>5100+44900</f>
        <v>50000</v>
      </c>
      <c r="BD158" s="56">
        <v>0</v>
      </c>
      <c r="BE158" s="56">
        <v>0</v>
      </c>
      <c r="BF158" s="56">
        <v>0</v>
      </c>
      <c r="BG158" s="56">
        <v>0</v>
      </c>
      <c r="BH158" s="55">
        <f>+AV158-AX158-BB158-BC158-BF158+BG158</f>
        <v>0</v>
      </c>
      <c r="BI158" s="56" t="s">
        <v>109</v>
      </c>
      <c r="BJ158" s="56"/>
      <c r="BK158" s="19"/>
    </row>
    <row r="159" spans="1:63" ht="17.25" customHeight="1" x14ac:dyDescent="0.3">
      <c r="A159" s="30">
        <v>45444</v>
      </c>
      <c r="B159" s="31">
        <v>158</v>
      </c>
      <c r="C159" s="31">
        <v>34</v>
      </c>
      <c r="D159" s="33">
        <v>45463</v>
      </c>
      <c r="E159" s="34" t="s">
        <v>704</v>
      </c>
      <c r="F159" s="99">
        <v>9755146950</v>
      </c>
      <c r="G159" s="100">
        <f>D159</f>
        <v>45463</v>
      </c>
      <c r="H159" s="99" t="s">
        <v>705</v>
      </c>
      <c r="I159" s="68" t="s">
        <v>78</v>
      </c>
      <c r="J159" s="99" t="s">
        <v>324</v>
      </c>
      <c r="K159" s="99" t="s">
        <v>66</v>
      </c>
      <c r="L159" s="99">
        <v>7461600</v>
      </c>
      <c r="M159" s="99">
        <v>236223</v>
      </c>
      <c r="N159" s="99" t="s">
        <v>706</v>
      </c>
      <c r="O159" s="101">
        <v>0</v>
      </c>
      <c r="P159" s="67" t="s">
        <v>81</v>
      </c>
      <c r="Q159" s="67" t="s">
        <v>148</v>
      </c>
      <c r="R159" s="68" t="s">
        <v>149</v>
      </c>
      <c r="S159" s="68" t="s">
        <v>106</v>
      </c>
      <c r="T159" s="68" t="s">
        <v>124</v>
      </c>
      <c r="U159" s="67" t="s">
        <v>302</v>
      </c>
      <c r="V159" s="102">
        <v>877242</v>
      </c>
      <c r="W159" s="99">
        <v>14915</v>
      </c>
      <c r="X159" s="56">
        <v>0</v>
      </c>
      <c r="Y159" s="68">
        <v>0</v>
      </c>
      <c r="Z159" s="56">
        <v>0</v>
      </c>
      <c r="AA159" s="101">
        <v>75679</v>
      </c>
      <c r="AB159" s="101">
        <v>0</v>
      </c>
      <c r="AC159" s="101">
        <v>0</v>
      </c>
      <c r="AD159" s="101">
        <v>25665</v>
      </c>
      <c r="AE159" s="103">
        <f>SUM(V159:AD159)</f>
        <v>993501</v>
      </c>
      <c r="AF159" s="99">
        <v>0</v>
      </c>
      <c r="AG159" s="99">
        <v>15000</v>
      </c>
      <c r="AH159" s="99">
        <v>0</v>
      </c>
      <c r="AI159" s="99">
        <v>1</v>
      </c>
      <c r="AJ159" s="99">
        <v>0</v>
      </c>
      <c r="AK159" s="99">
        <v>0</v>
      </c>
      <c r="AL159" s="99">
        <v>0</v>
      </c>
      <c r="AM159" s="99">
        <v>34400</v>
      </c>
      <c r="AN159" s="45">
        <f>SUM(AF159:AM159)</f>
        <v>49401</v>
      </c>
      <c r="AO159" s="104">
        <f>+AE159-AN159</f>
        <v>944100</v>
      </c>
      <c r="AP159" s="101">
        <v>26060</v>
      </c>
      <c r="AQ159" s="105">
        <v>160</v>
      </c>
      <c r="AR159" s="101">
        <f>AP159-AQ159</f>
        <v>25900</v>
      </c>
      <c r="AS159" s="56">
        <v>0</v>
      </c>
      <c r="AT159" s="56">
        <v>0</v>
      </c>
      <c r="AU159" s="48">
        <f>+AN159+AQ159</f>
        <v>49561</v>
      </c>
      <c r="AV159" s="119">
        <f>AO159+AR159+AS159+AT159</f>
        <v>970000</v>
      </c>
      <c r="AW159" s="49">
        <f>O159-AX159</f>
        <v>-780000</v>
      </c>
      <c r="AX159" s="68">
        <v>780000</v>
      </c>
      <c r="AY159" s="106" t="str">
        <f>Q159</f>
        <v>CHEQUE</v>
      </c>
      <c r="AZ159" s="107">
        <f>D159</f>
        <v>45463</v>
      </c>
      <c r="BA159" s="33">
        <v>45463</v>
      </c>
      <c r="BB159" s="68">
        <v>190000</v>
      </c>
      <c r="BC159" s="68">
        <v>0</v>
      </c>
      <c r="BD159" s="56">
        <v>0</v>
      </c>
      <c r="BE159" s="56">
        <v>0</v>
      </c>
      <c r="BF159" s="56">
        <v>0</v>
      </c>
      <c r="BG159" s="56">
        <v>0</v>
      </c>
      <c r="BH159" s="55">
        <f>+AV159-AX159-BB159-BC159-BF159+BG159</f>
        <v>0</v>
      </c>
      <c r="BI159" s="56" t="s">
        <v>707</v>
      </c>
      <c r="BJ159" s="56"/>
      <c r="BK159" s="19"/>
    </row>
    <row r="160" spans="1:63" ht="17.25" customHeight="1" x14ac:dyDescent="0.3">
      <c r="A160" s="30">
        <v>45444</v>
      </c>
      <c r="B160" s="31">
        <v>159</v>
      </c>
      <c r="C160" s="31">
        <v>35</v>
      </c>
      <c r="D160" s="33">
        <v>45464</v>
      </c>
      <c r="E160" s="34" t="s">
        <v>708</v>
      </c>
      <c r="F160" s="99">
        <v>8959840360</v>
      </c>
      <c r="G160" s="100">
        <f>D160</f>
        <v>45464</v>
      </c>
      <c r="H160" s="99" t="s">
        <v>709</v>
      </c>
      <c r="I160" s="68" t="s">
        <v>78</v>
      </c>
      <c r="J160" s="99" t="s">
        <v>710</v>
      </c>
      <c r="K160" s="99" t="s">
        <v>97</v>
      </c>
      <c r="L160" s="99">
        <v>7527288</v>
      </c>
      <c r="M160" s="99">
        <v>296856</v>
      </c>
      <c r="N160" s="99" t="s">
        <v>67</v>
      </c>
      <c r="O160" s="101">
        <v>800000</v>
      </c>
      <c r="P160" s="67" t="s">
        <v>68</v>
      </c>
      <c r="Q160" s="67" t="s">
        <v>90</v>
      </c>
      <c r="R160" s="68" t="s">
        <v>432</v>
      </c>
      <c r="S160" s="68" t="s">
        <v>67</v>
      </c>
      <c r="T160" s="68" t="s">
        <v>115</v>
      </c>
      <c r="U160" s="67" t="s">
        <v>137</v>
      </c>
      <c r="V160" s="102">
        <v>932242</v>
      </c>
      <c r="W160" s="99">
        <v>15847</v>
      </c>
      <c r="X160" s="56">
        <v>6030</v>
      </c>
      <c r="Y160" s="68">
        <v>885</v>
      </c>
      <c r="Z160" s="56">
        <v>500</v>
      </c>
      <c r="AA160" s="101">
        <v>80079</v>
      </c>
      <c r="AB160" s="101">
        <v>0</v>
      </c>
      <c r="AC160" s="101">
        <v>0</v>
      </c>
      <c r="AD160" s="101">
        <v>31933</v>
      </c>
      <c r="AE160" s="103">
        <f>SUM(V160:AD160)</f>
        <v>1067516</v>
      </c>
      <c r="AF160" s="99">
        <v>0</v>
      </c>
      <c r="AG160" s="99">
        <v>0</v>
      </c>
      <c r="AH160" s="99">
        <v>0</v>
      </c>
      <c r="AI160" s="99">
        <v>1</v>
      </c>
      <c r="AJ160" s="99">
        <v>0</v>
      </c>
      <c r="AK160" s="99">
        <v>0</v>
      </c>
      <c r="AL160" s="99">
        <v>0</v>
      </c>
      <c r="AM160" s="99">
        <v>22515</v>
      </c>
      <c r="AN160" s="45">
        <f>SUM(AF160:AM160)</f>
        <v>22516</v>
      </c>
      <c r="AO160" s="104">
        <f>+AE160-AN160</f>
        <v>1045000</v>
      </c>
      <c r="AP160" s="101">
        <v>11120</v>
      </c>
      <c r="AQ160" s="105">
        <v>120</v>
      </c>
      <c r="AR160" s="101">
        <f>AP160-AQ160</f>
        <v>11000</v>
      </c>
      <c r="AS160" s="56">
        <v>0</v>
      </c>
      <c r="AT160" s="56">
        <v>0</v>
      </c>
      <c r="AU160" s="48">
        <f>+AN160+AQ160</f>
        <v>22636</v>
      </c>
      <c r="AV160" s="119">
        <f>AO160+AR160+AS160+AT160</f>
        <v>1056000</v>
      </c>
      <c r="AW160" s="49">
        <f>O160-AX160</f>
        <v>0</v>
      </c>
      <c r="AX160" s="68">
        <v>800000</v>
      </c>
      <c r="AY160" s="106" t="str">
        <f>Q160</f>
        <v>MPGB</v>
      </c>
      <c r="AZ160" s="107">
        <f>D160</f>
        <v>45464</v>
      </c>
      <c r="BA160" s="33">
        <v>45464</v>
      </c>
      <c r="BB160" s="68">
        <v>0</v>
      </c>
      <c r="BC160" s="68">
        <f>11000+120000+50000+75000</f>
        <v>256000</v>
      </c>
      <c r="BD160" s="56">
        <v>0</v>
      </c>
      <c r="BE160" s="56">
        <v>0</v>
      </c>
      <c r="BF160" s="56">
        <v>0</v>
      </c>
      <c r="BG160" s="56">
        <v>0</v>
      </c>
      <c r="BH160" s="55">
        <f>+AV160-AX160-BB160-BC160-BF160+BG160</f>
        <v>0</v>
      </c>
      <c r="BI160" s="56" t="s">
        <v>109</v>
      </c>
      <c r="BJ160" s="56"/>
      <c r="BK160" s="19"/>
    </row>
    <row r="161" spans="1:63" ht="17.25" customHeight="1" x14ac:dyDescent="0.3">
      <c r="A161" s="30">
        <v>45444</v>
      </c>
      <c r="B161" s="31">
        <v>160</v>
      </c>
      <c r="C161" s="32">
        <v>36</v>
      </c>
      <c r="D161" s="33">
        <v>45464</v>
      </c>
      <c r="E161" s="34" t="s">
        <v>711</v>
      </c>
      <c r="F161" s="99">
        <v>9669633078</v>
      </c>
      <c r="G161" s="100">
        <f>D161</f>
        <v>45464</v>
      </c>
      <c r="H161" s="99" t="s">
        <v>712</v>
      </c>
      <c r="I161" s="68" t="s">
        <v>64</v>
      </c>
      <c r="J161" s="99" t="s">
        <v>89</v>
      </c>
      <c r="K161" s="99" t="s">
        <v>199</v>
      </c>
      <c r="L161" s="99">
        <v>1606567</v>
      </c>
      <c r="M161" s="99">
        <v>692905</v>
      </c>
      <c r="N161" s="99" t="s">
        <v>67</v>
      </c>
      <c r="O161" s="101">
        <v>711000</v>
      </c>
      <c r="P161" s="110" t="s">
        <v>81</v>
      </c>
      <c r="Q161" s="110" t="s">
        <v>185</v>
      </c>
      <c r="R161" s="111" t="s">
        <v>713</v>
      </c>
      <c r="S161" s="68" t="s">
        <v>67</v>
      </c>
      <c r="T161" s="68" t="s">
        <v>70</v>
      </c>
      <c r="U161" s="67" t="s">
        <v>234</v>
      </c>
      <c r="V161" s="102">
        <v>749742</v>
      </c>
      <c r="W161" s="99">
        <v>12744</v>
      </c>
      <c r="X161" s="56">
        <v>0</v>
      </c>
      <c r="Y161" s="68">
        <v>0</v>
      </c>
      <c r="Z161" s="56">
        <v>500</v>
      </c>
      <c r="AA161" s="101">
        <v>65479</v>
      </c>
      <c r="AB161" s="101">
        <v>0</v>
      </c>
      <c r="AC161" s="101">
        <v>0</v>
      </c>
      <c r="AD161" s="101">
        <v>28246</v>
      </c>
      <c r="AE161" s="103">
        <f>SUM(V161:AD161)</f>
        <v>856711</v>
      </c>
      <c r="AF161" s="99">
        <v>10000</v>
      </c>
      <c r="AG161" s="99">
        <v>25000</v>
      </c>
      <c r="AH161" s="99">
        <v>0</v>
      </c>
      <c r="AI161" s="99">
        <v>0</v>
      </c>
      <c r="AJ161" s="99">
        <v>2100</v>
      </c>
      <c r="AK161" s="99">
        <v>0</v>
      </c>
      <c r="AL161" s="99">
        <v>0</v>
      </c>
      <c r="AM161" s="99">
        <v>26411</v>
      </c>
      <c r="AN161" s="45">
        <f>SUM(AF161:AM161)</f>
        <v>63511</v>
      </c>
      <c r="AO161" s="104">
        <f>+AE161-AN161</f>
        <v>793200</v>
      </c>
      <c r="AP161" s="101">
        <v>6850</v>
      </c>
      <c r="AQ161" s="105">
        <v>50</v>
      </c>
      <c r="AR161" s="101">
        <f>AP161-AQ161</f>
        <v>6800</v>
      </c>
      <c r="AS161" s="56">
        <v>0</v>
      </c>
      <c r="AT161" s="56">
        <v>0</v>
      </c>
      <c r="AU161" s="48">
        <f>+AN161+AQ161</f>
        <v>63561</v>
      </c>
      <c r="AV161" s="119">
        <f>AO161+AR161+AS161+AT161</f>
        <v>800000</v>
      </c>
      <c r="AW161" s="49">
        <f>O161-AX161</f>
        <v>11000</v>
      </c>
      <c r="AX161" s="68">
        <v>700000</v>
      </c>
      <c r="AY161" s="106" t="str">
        <f>Q161</f>
        <v>HDFC</v>
      </c>
      <c r="AZ161" s="107">
        <f>D161</f>
        <v>45464</v>
      </c>
      <c r="BA161" s="33">
        <v>45468</v>
      </c>
      <c r="BB161" s="68">
        <f>21000+79000</f>
        <v>100000</v>
      </c>
      <c r="BC161" s="68">
        <v>0</v>
      </c>
      <c r="BD161" s="56">
        <v>0</v>
      </c>
      <c r="BE161" s="56">
        <v>0</v>
      </c>
      <c r="BF161" s="56">
        <v>0</v>
      </c>
      <c r="BG161" s="56">
        <v>0</v>
      </c>
      <c r="BH161" s="55">
        <f>+AV161-AX161-BB161-BC161-BF161+BG161</f>
        <v>0</v>
      </c>
      <c r="BI161" s="56" t="s">
        <v>109</v>
      </c>
      <c r="BJ161" s="56"/>
      <c r="BK161" s="19"/>
    </row>
    <row r="162" spans="1:63" ht="17.25" customHeight="1" x14ac:dyDescent="0.3">
      <c r="A162" s="30">
        <v>45444</v>
      </c>
      <c r="B162" s="31">
        <v>161</v>
      </c>
      <c r="C162" s="31">
        <v>37</v>
      </c>
      <c r="D162" s="33">
        <v>45464</v>
      </c>
      <c r="E162" s="34" t="s">
        <v>714</v>
      </c>
      <c r="F162" s="99">
        <v>9826554231</v>
      </c>
      <c r="G162" s="100">
        <f>D162</f>
        <v>45464</v>
      </c>
      <c r="H162" s="99" t="s">
        <v>715</v>
      </c>
      <c r="I162" s="68" t="s">
        <v>78</v>
      </c>
      <c r="J162" s="99" t="s">
        <v>324</v>
      </c>
      <c r="K162" s="99" t="s">
        <v>66</v>
      </c>
      <c r="L162" s="99">
        <v>7468669</v>
      </c>
      <c r="M162" s="99">
        <v>241524</v>
      </c>
      <c r="N162" s="99" t="s">
        <v>155</v>
      </c>
      <c r="O162" s="101">
        <v>850000</v>
      </c>
      <c r="P162" s="67" t="s">
        <v>68</v>
      </c>
      <c r="Q162" s="67" t="s">
        <v>388</v>
      </c>
      <c r="R162" s="68" t="s">
        <v>155</v>
      </c>
      <c r="S162" s="68" t="s">
        <v>155</v>
      </c>
      <c r="T162" s="68" t="s">
        <v>157</v>
      </c>
      <c r="U162" s="67" t="s">
        <v>158</v>
      </c>
      <c r="V162" s="102">
        <v>877242</v>
      </c>
      <c r="W162" s="99">
        <v>14915</v>
      </c>
      <c r="X162" s="56">
        <v>0</v>
      </c>
      <c r="Y162" s="68">
        <v>885</v>
      </c>
      <c r="Z162" s="56">
        <v>0</v>
      </c>
      <c r="AA162" s="101">
        <v>75679</v>
      </c>
      <c r="AB162" s="101">
        <v>0</v>
      </c>
      <c r="AC162" s="101">
        <v>0</v>
      </c>
      <c r="AD162" s="101">
        <v>29961</v>
      </c>
      <c r="AE162" s="103">
        <f>SUM(V162:AD162)</f>
        <v>998682</v>
      </c>
      <c r="AF162" s="99">
        <v>0</v>
      </c>
      <c r="AG162" s="99">
        <v>15000</v>
      </c>
      <c r="AH162" s="99">
        <v>0</v>
      </c>
      <c r="AI162" s="99">
        <v>1</v>
      </c>
      <c r="AJ162" s="99">
        <v>0</v>
      </c>
      <c r="AK162" s="99">
        <v>0</v>
      </c>
      <c r="AL162" s="99">
        <v>5500</v>
      </c>
      <c r="AM162" s="99">
        <v>37181</v>
      </c>
      <c r="AN162" s="45">
        <f>SUM(AF162:AM162)</f>
        <v>57682</v>
      </c>
      <c r="AO162" s="104">
        <f>+AE162-AN162</f>
        <v>941000</v>
      </c>
      <c r="AP162" s="101">
        <v>14289</v>
      </c>
      <c r="AQ162" s="105">
        <v>289</v>
      </c>
      <c r="AR162" s="101">
        <f>AP162-AQ162</f>
        <v>14000</v>
      </c>
      <c r="AS162" s="56">
        <v>0</v>
      </c>
      <c r="AT162" s="56">
        <v>0</v>
      </c>
      <c r="AU162" s="48">
        <f>+AN162+AQ162</f>
        <v>57971</v>
      </c>
      <c r="AV162" s="119">
        <f>AO162+AR162+AS162+AT162</f>
        <v>955000</v>
      </c>
      <c r="AW162" s="49">
        <f>O162-AX162</f>
        <v>25395</v>
      </c>
      <c r="AX162" s="68">
        <v>824605</v>
      </c>
      <c r="AY162" s="106" t="str">
        <f>Q162</f>
        <v>AU BANK</v>
      </c>
      <c r="AZ162" s="107">
        <f>D162</f>
        <v>45464</v>
      </c>
      <c r="BA162" s="33">
        <v>45469</v>
      </c>
      <c r="BB162" s="68">
        <v>5000</v>
      </c>
      <c r="BC162" s="68">
        <f>25500</f>
        <v>25500</v>
      </c>
      <c r="BD162" s="56">
        <v>0</v>
      </c>
      <c r="BE162" s="56">
        <v>0</v>
      </c>
      <c r="BF162" s="56">
        <v>0</v>
      </c>
      <c r="BG162" s="56">
        <v>0</v>
      </c>
      <c r="BH162" s="55">
        <f>+AV162-AX162-BB162-BC162-BF162+BG162</f>
        <v>99895</v>
      </c>
      <c r="BI162" s="56" t="s">
        <v>716</v>
      </c>
      <c r="BJ162" s="56" t="s">
        <v>717</v>
      </c>
      <c r="BK162" s="19"/>
    </row>
    <row r="163" spans="1:63" ht="17.25" customHeight="1" x14ac:dyDescent="0.3">
      <c r="A163" s="30">
        <v>45444</v>
      </c>
      <c r="B163" s="31">
        <v>162</v>
      </c>
      <c r="C163" s="31">
        <v>38</v>
      </c>
      <c r="D163" s="33">
        <v>45465</v>
      </c>
      <c r="E163" s="34" t="s">
        <v>718</v>
      </c>
      <c r="F163" s="99">
        <v>9993489909</v>
      </c>
      <c r="G163" s="100">
        <f>D163</f>
        <v>45465</v>
      </c>
      <c r="H163" s="99" t="s">
        <v>719</v>
      </c>
      <c r="I163" s="68" t="s">
        <v>78</v>
      </c>
      <c r="J163" s="99" t="s">
        <v>104</v>
      </c>
      <c r="K163" s="99" t="s">
        <v>66</v>
      </c>
      <c r="L163" s="99">
        <v>7518508</v>
      </c>
      <c r="M163" s="99">
        <v>287439</v>
      </c>
      <c r="N163" s="99" t="s">
        <v>99</v>
      </c>
      <c r="O163" s="101">
        <v>900000</v>
      </c>
      <c r="P163" s="67" t="s">
        <v>68</v>
      </c>
      <c r="Q163" s="67" t="s">
        <v>720</v>
      </c>
      <c r="R163" s="68" t="s">
        <v>721</v>
      </c>
      <c r="S163" s="68" t="s">
        <v>99</v>
      </c>
      <c r="T163" s="68" t="s">
        <v>165</v>
      </c>
      <c r="U163" s="67" t="s">
        <v>525</v>
      </c>
      <c r="V163" s="102">
        <v>932242</v>
      </c>
      <c r="W163" s="99">
        <v>0</v>
      </c>
      <c r="X163" s="56">
        <v>0</v>
      </c>
      <c r="Y163" s="68">
        <v>885</v>
      </c>
      <c r="Z163" s="56">
        <v>0</v>
      </c>
      <c r="AA163" s="101">
        <v>80079</v>
      </c>
      <c r="AB163" s="101">
        <v>0</v>
      </c>
      <c r="AC163" s="101">
        <v>0</v>
      </c>
      <c r="AD163" s="101">
        <v>29518</v>
      </c>
      <c r="AE163" s="103">
        <f>SUM(V163:AD163)</f>
        <v>1042724</v>
      </c>
      <c r="AF163" s="99">
        <v>0</v>
      </c>
      <c r="AG163" s="99">
        <v>0</v>
      </c>
      <c r="AH163" s="99">
        <v>10000</v>
      </c>
      <c r="AI163" s="99">
        <v>1</v>
      </c>
      <c r="AJ163" s="99">
        <v>0</v>
      </c>
      <c r="AK163" s="99">
        <v>0</v>
      </c>
      <c r="AL163" s="99">
        <v>0</v>
      </c>
      <c r="AM163" s="99">
        <v>16723</v>
      </c>
      <c r="AN163" s="45">
        <f>SUM(AF163:AM163)</f>
        <v>26724</v>
      </c>
      <c r="AO163" s="104">
        <f>+AE163-AN163</f>
        <v>1016000</v>
      </c>
      <c r="AP163" s="101">
        <v>65000</v>
      </c>
      <c r="AQ163" s="105">
        <v>1000</v>
      </c>
      <c r="AR163" s="101">
        <f>AP163-AQ163</f>
        <v>64000</v>
      </c>
      <c r="AS163" s="56">
        <v>0</v>
      </c>
      <c r="AT163" s="56">
        <v>0</v>
      </c>
      <c r="AU163" s="48">
        <f>+AN163+AQ163</f>
        <v>27724</v>
      </c>
      <c r="AV163" s="119">
        <f>AO163+AR163+AS163+AT163</f>
        <v>1080000</v>
      </c>
      <c r="AW163" s="49">
        <f>O163-AX163</f>
        <v>0</v>
      </c>
      <c r="AX163" s="68">
        <v>900000</v>
      </c>
      <c r="AY163" s="106" t="str">
        <f>Q163</f>
        <v>PNB</v>
      </c>
      <c r="AZ163" s="107">
        <f>D163</f>
        <v>45465</v>
      </c>
      <c r="BA163" s="33">
        <v>45467</v>
      </c>
      <c r="BB163" s="68">
        <v>0</v>
      </c>
      <c r="BC163" s="68">
        <v>0</v>
      </c>
      <c r="BD163" s="56" t="s">
        <v>722</v>
      </c>
      <c r="BE163" s="56" t="s">
        <v>723</v>
      </c>
      <c r="BF163" s="56">
        <v>300000</v>
      </c>
      <c r="BG163" s="56">
        <v>0</v>
      </c>
      <c r="BH163" s="55">
        <f>+AV163-AX163-BB163-BC163-BF163+BG163</f>
        <v>-120000</v>
      </c>
      <c r="BI163" s="56" t="s">
        <v>724</v>
      </c>
      <c r="BJ163" s="56"/>
      <c r="BK163" s="19"/>
    </row>
    <row r="164" spans="1:63" ht="17.25" customHeight="1" x14ac:dyDescent="0.3">
      <c r="A164" s="30">
        <v>45444</v>
      </c>
      <c r="B164" s="31">
        <v>163</v>
      </c>
      <c r="C164" s="31">
        <v>39</v>
      </c>
      <c r="D164" s="33">
        <v>45465</v>
      </c>
      <c r="E164" s="34" t="s">
        <v>725</v>
      </c>
      <c r="F164" s="99">
        <v>9406688615</v>
      </c>
      <c r="G164" s="100">
        <f>D164</f>
        <v>45465</v>
      </c>
      <c r="H164" s="99" t="s">
        <v>726</v>
      </c>
      <c r="I164" s="68" t="s">
        <v>64</v>
      </c>
      <c r="J164" s="99" t="s">
        <v>135</v>
      </c>
      <c r="K164" s="99" t="s">
        <v>97</v>
      </c>
      <c r="L164" s="99">
        <v>4489419</v>
      </c>
      <c r="M164" s="99">
        <v>778141</v>
      </c>
      <c r="N164" s="99" t="s">
        <v>80</v>
      </c>
      <c r="O164" s="101">
        <v>560000</v>
      </c>
      <c r="P164" s="67" t="s">
        <v>68</v>
      </c>
      <c r="Q164" s="67" t="s">
        <v>122</v>
      </c>
      <c r="R164" s="68" t="s">
        <v>727</v>
      </c>
      <c r="S164" s="68" t="s">
        <v>67</v>
      </c>
      <c r="T164" s="68" t="s">
        <v>84</v>
      </c>
      <c r="U164" s="67" t="s">
        <v>85</v>
      </c>
      <c r="V164" s="102">
        <v>932742</v>
      </c>
      <c r="W164" s="99">
        <v>0</v>
      </c>
      <c r="X164" s="56">
        <v>0</v>
      </c>
      <c r="Y164" s="68" t="s">
        <v>180</v>
      </c>
      <c r="Z164" s="56">
        <v>500</v>
      </c>
      <c r="AA164" s="101">
        <v>80119</v>
      </c>
      <c r="AB164" s="101">
        <v>0</v>
      </c>
      <c r="AC164" s="101">
        <v>0</v>
      </c>
      <c r="AD164" s="101">
        <v>31253</v>
      </c>
      <c r="AE164" s="103">
        <f>SUM(V164:AD164)</f>
        <v>1044614</v>
      </c>
      <c r="AF164" s="99">
        <v>0</v>
      </c>
      <c r="AG164" s="99">
        <v>15000</v>
      </c>
      <c r="AH164" s="99">
        <v>15000</v>
      </c>
      <c r="AI164" s="99">
        <v>1</v>
      </c>
      <c r="AJ164" s="99">
        <v>0</v>
      </c>
      <c r="AK164" s="99">
        <v>0</v>
      </c>
      <c r="AL164" s="99">
        <v>10000</v>
      </c>
      <c r="AM164" s="99">
        <v>4913</v>
      </c>
      <c r="AN164" s="45">
        <f>SUM(AF164:AM164)</f>
        <v>44914</v>
      </c>
      <c r="AO164" s="104">
        <f>+AE164-AN164</f>
        <v>999700</v>
      </c>
      <c r="AP164" s="101">
        <v>31800</v>
      </c>
      <c r="AQ164" s="105">
        <v>0</v>
      </c>
      <c r="AR164" s="101">
        <f>AP164-AQ164</f>
        <v>31800</v>
      </c>
      <c r="AS164" s="56">
        <v>0</v>
      </c>
      <c r="AT164" s="56">
        <v>0</v>
      </c>
      <c r="AU164" s="48">
        <f>+AN164+AQ164</f>
        <v>44914</v>
      </c>
      <c r="AV164" s="119">
        <f>AO164+AR164+AS164+AT164</f>
        <v>1031500</v>
      </c>
      <c r="AW164" s="49">
        <f>O164-AX164</f>
        <v>0</v>
      </c>
      <c r="AX164" s="68">
        <v>560000</v>
      </c>
      <c r="AY164" s="106" t="str">
        <f>Q164</f>
        <v>BOI</v>
      </c>
      <c r="AZ164" s="107">
        <f>D164</f>
        <v>45465</v>
      </c>
      <c r="BA164" s="33">
        <v>45467</v>
      </c>
      <c r="BB164" s="68">
        <v>0</v>
      </c>
      <c r="BC164" s="68">
        <f>19500+2000</f>
        <v>21500</v>
      </c>
      <c r="BD164" s="56" t="s">
        <v>625</v>
      </c>
      <c r="BE164" s="56" t="s">
        <v>728</v>
      </c>
      <c r="BF164" s="56">
        <v>450000</v>
      </c>
      <c r="BG164" s="56">
        <v>0</v>
      </c>
      <c r="BH164" s="55">
        <f>+AV164-AX164-BB164-BC164-BF164+BG164</f>
        <v>0</v>
      </c>
      <c r="BI164" s="56" t="s">
        <v>109</v>
      </c>
      <c r="BJ164" s="56"/>
      <c r="BK164" s="19"/>
    </row>
    <row r="165" spans="1:63" ht="17.25" customHeight="1" x14ac:dyDescent="0.3">
      <c r="A165" s="30">
        <v>45444</v>
      </c>
      <c r="B165" s="31">
        <v>164</v>
      </c>
      <c r="C165" s="32">
        <v>40</v>
      </c>
      <c r="D165" s="33">
        <v>45467</v>
      </c>
      <c r="E165" s="34" t="s">
        <v>729</v>
      </c>
      <c r="F165" s="99">
        <v>7898984857</v>
      </c>
      <c r="G165" s="100">
        <f>D165</f>
        <v>45467</v>
      </c>
      <c r="H165" s="99" t="s">
        <v>730</v>
      </c>
      <c r="I165" s="68" t="s">
        <v>64</v>
      </c>
      <c r="J165" s="99" t="s">
        <v>89</v>
      </c>
      <c r="K165" s="99" t="s">
        <v>66</v>
      </c>
      <c r="L165" s="99">
        <v>4464955</v>
      </c>
      <c r="M165" s="99">
        <v>749912</v>
      </c>
      <c r="N165" s="99" t="s">
        <v>67</v>
      </c>
      <c r="O165" s="101">
        <v>0</v>
      </c>
      <c r="P165" s="67" t="s">
        <v>81</v>
      </c>
      <c r="Q165" s="67" t="s">
        <v>148</v>
      </c>
      <c r="R165" s="68" t="s">
        <v>149</v>
      </c>
      <c r="S165" s="68" t="s">
        <v>67</v>
      </c>
      <c r="T165" s="68" t="s">
        <v>115</v>
      </c>
      <c r="U165" s="67" t="s">
        <v>675</v>
      </c>
      <c r="V165" s="102">
        <v>749742</v>
      </c>
      <c r="W165" s="99">
        <v>12744</v>
      </c>
      <c r="X165" s="56">
        <v>0</v>
      </c>
      <c r="Y165" s="68">
        <v>885</v>
      </c>
      <c r="Z165" s="56">
        <v>500</v>
      </c>
      <c r="AA165" s="101">
        <v>65479</v>
      </c>
      <c r="AB165" s="101">
        <v>0</v>
      </c>
      <c r="AC165" s="101">
        <v>0</v>
      </c>
      <c r="AD165" s="101">
        <v>27193</v>
      </c>
      <c r="AE165" s="103">
        <f>SUM(V165:AD165)</f>
        <v>856543</v>
      </c>
      <c r="AF165" s="99">
        <v>10000</v>
      </c>
      <c r="AG165" s="99">
        <v>25000</v>
      </c>
      <c r="AH165" s="99">
        <v>0</v>
      </c>
      <c r="AI165" s="99">
        <v>1</v>
      </c>
      <c r="AJ165" s="99">
        <v>0</v>
      </c>
      <c r="AK165" s="99">
        <v>0</v>
      </c>
      <c r="AL165" s="99">
        <v>0</v>
      </c>
      <c r="AM165" s="99">
        <v>26542</v>
      </c>
      <c r="AN165" s="45">
        <f>SUM(AF165:AM165)</f>
        <v>61543</v>
      </c>
      <c r="AO165" s="104">
        <f>+AE165-AN165</f>
        <v>795000</v>
      </c>
      <c r="AP165" s="101">
        <v>0</v>
      </c>
      <c r="AQ165" s="105">
        <v>0</v>
      </c>
      <c r="AR165" s="101">
        <f>AP165-AQ165</f>
        <v>0</v>
      </c>
      <c r="AS165" s="56">
        <v>0</v>
      </c>
      <c r="AT165" s="56">
        <v>0</v>
      </c>
      <c r="AU165" s="48">
        <f>+AN165+AQ165</f>
        <v>61543</v>
      </c>
      <c r="AV165" s="119">
        <f>AO165+AR165+AS165+AT165</f>
        <v>795000</v>
      </c>
      <c r="AW165" s="49">
        <f>O165-AX165</f>
        <v>-500000</v>
      </c>
      <c r="AX165" s="68">
        <v>500000</v>
      </c>
      <c r="AY165" s="106" t="str">
        <f>Q165</f>
        <v>CHEQUE</v>
      </c>
      <c r="AZ165" s="107">
        <f>D165</f>
        <v>45467</v>
      </c>
      <c r="BA165" s="33">
        <v>45467</v>
      </c>
      <c r="BB165" s="68">
        <v>0</v>
      </c>
      <c r="BC165" s="68">
        <f>289900+5100</f>
        <v>295000</v>
      </c>
      <c r="BD165" s="56">
        <v>0</v>
      </c>
      <c r="BE165" s="56">
        <v>0</v>
      </c>
      <c r="BF165" s="56">
        <v>0</v>
      </c>
      <c r="BG165" s="56">
        <v>0</v>
      </c>
      <c r="BH165" s="55">
        <f>+AV165-AX165-BB165-BC165-BF165+BG165</f>
        <v>0</v>
      </c>
      <c r="BI165" s="56"/>
      <c r="BJ165" s="56" t="s">
        <v>731</v>
      </c>
      <c r="BK165" s="19"/>
    </row>
    <row r="166" spans="1:63" ht="17.25" customHeight="1" x14ac:dyDescent="0.3">
      <c r="A166" s="30">
        <v>45444</v>
      </c>
      <c r="B166" s="31">
        <v>165</v>
      </c>
      <c r="C166" s="31">
        <v>41</v>
      </c>
      <c r="D166" s="33">
        <v>45467</v>
      </c>
      <c r="E166" s="34" t="s">
        <v>732</v>
      </c>
      <c r="F166" s="99">
        <v>8103388088</v>
      </c>
      <c r="G166" s="100">
        <f>D166</f>
        <v>45467</v>
      </c>
      <c r="H166" s="99" t="s">
        <v>733</v>
      </c>
      <c r="I166" s="68" t="s">
        <v>64</v>
      </c>
      <c r="J166" s="99" t="s">
        <v>89</v>
      </c>
      <c r="K166" s="99" t="s">
        <v>66</v>
      </c>
      <c r="L166" s="99">
        <v>4454637</v>
      </c>
      <c r="M166" s="99">
        <v>737345</v>
      </c>
      <c r="N166" s="99" t="s">
        <v>105</v>
      </c>
      <c r="O166" s="101">
        <v>700000</v>
      </c>
      <c r="P166" s="67" t="s">
        <v>68</v>
      </c>
      <c r="Q166" s="67" t="s">
        <v>122</v>
      </c>
      <c r="R166" s="68" t="s">
        <v>734</v>
      </c>
      <c r="S166" s="68" t="s">
        <v>105</v>
      </c>
      <c r="T166" s="68" t="s">
        <v>107</v>
      </c>
      <c r="U166" s="67" t="s">
        <v>359</v>
      </c>
      <c r="V166" s="102">
        <v>749742</v>
      </c>
      <c r="W166" s="99">
        <v>0</v>
      </c>
      <c r="X166" s="56">
        <v>0</v>
      </c>
      <c r="Y166" s="68">
        <v>885</v>
      </c>
      <c r="Z166" s="56">
        <v>0</v>
      </c>
      <c r="AA166" s="101">
        <v>65479</v>
      </c>
      <c r="AB166" s="101">
        <v>0</v>
      </c>
      <c r="AC166" s="101">
        <v>0</v>
      </c>
      <c r="AD166" s="101">
        <v>27193</v>
      </c>
      <c r="AE166" s="103">
        <f>SUM(V166:AD166)</f>
        <v>843299</v>
      </c>
      <c r="AF166" s="99">
        <v>10000</v>
      </c>
      <c r="AG166" s="99">
        <v>25000</v>
      </c>
      <c r="AH166" s="99">
        <v>0</v>
      </c>
      <c r="AI166" s="99">
        <v>1</v>
      </c>
      <c r="AJ166" s="99">
        <v>0</v>
      </c>
      <c r="AK166" s="99">
        <v>0</v>
      </c>
      <c r="AL166" s="99">
        <v>0</v>
      </c>
      <c r="AM166" s="99">
        <v>36598</v>
      </c>
      <c r="AN166" s="45">
        <f>SUM(AF166:AM166)</f>
        <v>71599</v>
      </c>
      <c r="AO166" s="104">
        <f>+AE166-AN166</f>
        <v>771700</v>
      </c>
      <c r="AP166" s="101">
        <v>19430</v>
      </c>
      <c r="AQ166" s="105">
        <v>130</v>
      </c>
      <c r="AR166" s="101">
        <f>AP166-AQ166</f>
        <v>19300</v>
      </c>
      <c r="AS166" s="56">
        <v>0</v>
      </c>
      <c r="AT166" s="56">
        <v>0</v>
      </c>
      <c r="AU166" s="48">
        <f>+AN166+AQ166</f>
        <v>71729</v>
      </c>
      <c r="AV166" s="119">
        <f>AO166+AR166+AS166+AT166</f>
        <v>791000</v>
      </c>
      <c r="AW166" s="49">
        <f>O166-AX166</f>
        <v>2065</v>
      </c>
      <c r="AX166" s="68">
        <v>697935</v>
      </c>
      <c r="AY166" s="106" t="str">
        <f>Q166</f>
        <v>BOI</v>
      </c>
      <c r="AZ166" s="107">
        <f>D166</f>
        <v>45467</v>
      </c>
      <c r="BA166" s="33">
        <v>45467</v>
      </c>
      <c r="BB166" s="68">
        <v>82000</v>
      </c>
      <c r="BC166" s="68">
        <f>5000</f>
        <v>5000</v>
      </c>
      <c r="BD166" s="56">
        <v>0</v>
      </c>
      <c r="BE166" s="56">
        <v>0</v>
      </c>
      <c r="BF166" s="56">
        <v>0</v>
      </c>
      <c r="BG166" s="56">
        <v>0</v>
      </c>
      <c r="BH166" s="55">
        <f>+AV166-AX166-BB166-BC166-BF166+BG166</f>
        <v>6065</v>
      </c>
      <c r="BI166" s="56" t="s">
        <v>209</v>
      </c>
      <c r="BJ166" s="56" t="s">
        <v>735</v>
      </c>
      <c r="BK166" s="19"/>
    </row>
    <row r="167" spans="1:63" ht="17.25" customHeight="1" x14ac:dyDescent="0.3">
      <c r="A167" s="30">
        <v>45444</v>
      </c>
      <c r="B167" s="31">
        <v>166</v>
      </c>
      <c r="C167" s="31">
        <v>42</v>
      </c>
      <c r="D167" s="33">
        <v>45467</v>
      </c>
      <c r="E167" s="34" t="s">
        <v>736</v>
      </c>
      <c r="F167" s="99">
        <v>8085717261</v>
      </c>
      <c r="G167" s="100">
        <f>D167</f>
        <v>45467</v>
      </c>
      <c r="H167" s="99" t="s">
        <v>737</v>
      </c>
      <c r="I167" s="68" t="s">
        <v>78</v>
      </c>
      <c r="J167" s="99" t="s">
        <v>65</v>
      </c>
      <c r="K167" s="99" t="s">
        <v>66</v>
      </c>
      <c r="L167" s="99">
        <v>7521734</v>
      </c>
      <c r="M167" s="99">
        <v>291040</v>
      </c>
      <c r="N167" s="99" t="s">
        <v>67</v>
      </c>
      <c r="O167" s="101">
        <v>713000</v>
      </c>
      <c r="P167" s="67" t="s">
        <v>68</v>
      </c>
      <c r="Q167" s="67" t="s">
        <v>69</v>
      </c>
      <c r="R167" s="68" t="s">
        <v>67</v>
      </c>
      <c r="S167" s="68" t="s">
        <v>67</v>
      </c>
      <c r="T167" s="68" t="s">
        <v>70</v>
      </c>
      <c r="U167" s="67" t="s">
        <v>71</v>
      </c>
      <c r="V167" s="102">
        <v>751242</v>
      </c>
      <c r="W167" s="99">
        <v>12779</v>
      </c>
      <c r="X167" s="56">
        <v>0</v>
      </c>
      <c r="Y167" s="68">
        <v>885</v>
      </c>
      <c r="Z167" s="56">
        <v>500</v>
      </c>
      <c r="AA167" s="101">
        <v>65599</v>
      </c>
      <c r="AB167" s="101">
        <v>0</v>
      </c>
      <c r="AC167" s="101">
        <v>0</v>
      </c>
      <c r="AD167" s="101">
        <v>24923</v>
      </c>
      <c r="AE167" s="103">
        <f>SUM(V167:AD167)</f>
        <v>855928</v>
      </c>
      <c r="AF167" s="99">
        <v>0</v>
      </c>
      <c r="AG167" s="99">
        <v>22500</v>
      </c>
      <c r="AH167" s="99">
        <v>0</v>
      </c>
      <c r="AI167" s="99">
        <v>1</v>
      </c>
      <c r="AJ167" s="99">
        <v>0</v>
      </c>
      <c r="AK167" s="99">
        <v>0</v>
      </c>
      <c r="AL167" s="99">
        <v>0</v>
      </c>
      <c r="AM167" s="99">
        <v>23017</v>
      </c>
      <c r="AN167" s="45">
        <f>SUM(AF167:AM167)</f>
        <v>45518</v>
      </c>
      <c r="AO167" s="104">
        <f>+AE167-AN167</f>
        <v>810410</v>
      </c>
      <c r="AP167" s="101">
        <v>89140</v>
      </c>
      <c r="AQ167" s="105">
        <v>140</v>
      </c>
      <c r="AR167" s="101">
        <f>AP167-AQ167</f>
        <v>89000</v>
      </c>
      <c r="AS167" s="56">
        <v>0</v>
      </c>
      <c r="AT167" s="56">
        <v>0</v>
      </c>
      <c r="AU167" s="48">
        <f>+AN167+AQ167</f>
        <v>45658</v>
      </c>
      <c r="AV167" s="119">
        <f>AO167+AR167+AS167+AT167</f>
        <v>899410</v>
      </c>
      <c r="AW167" s="49">
        <f>O167-AX167</f>
        <v>0</v>
      </c>
      <c r="AX167" s="68">
        <v>713000</v>
      </c>
      <c r="AY167" s="106" t="str">
        <f>Q167</f>
        <v>SUNDARAM</v>
      </c>
      <c r="AZ167" s="107">
        <f>D167</f>
        <v>45467</v>
      </c>
      <c r="BA167" s="33"/>
      <c r="BB167" s="68">
        <v>0</v>
      </c>
      <c r="BC167" s="68">
        <f>5100+120000</f>
        <v>125100</v>
      </c>
      <c r="BD167" s="56">
        <v>0</v>
      </c>
      <c r="BE167" s="56">
        <v>0</v>
      </c>
      <c r="BF167" s="56">
        <v>0</v>
      </c>
      <c r="BG167" s="56">
        <v>0</v>
      </c>
      <c r="BH167" s="55">
        <f>+AV167-AX167-BB167-BC167-BF167+BG167</f>
        <v>61310</v>
      </c>
      <c r="BI167" s="56" t="s">
        <v>738</v>
      </c>
      <c r="BJ167" s="56" t="s">
        <v>739</v>
      </c>
      <c r="BK167" s="19"/>
    </row>
    <row r="168" spans="1:63" ht="17.25" customHeight="1" x14ac:dyDescent="0.3">
      <c r="A168" s="30">
        <v>45444</v>
      </c>
      <c r="B168" s="31">
        <v>167</v>
      </c>
      <c r="C168" s="31">
        <v>43</v>
      </c>
      <c r="D168" s="33">
        <v>45468</v>
      </c>
      <c r="E168" s="34" t="s">
        <v>740</v>
      </c>
      <c r="F168" s="99">
        <v>9179717315</v>
      </c>
      <c r="G168" s="100">
        <f>D168</f>
        <v>45468</v>
      </c>
      <c r="H168" s="99" t="s">
        <v>741</v>
      </c>
      <c r="I168" s="68" t="s">
        <v>64</v>
      </c>
      <c r="J168" s="99" t="s">
        <v>65</v>
      </c>
      <c r="K168" s="99" t="s">
        <v>97</v>
      </c>
      <c r="L168" s="99">
        <v>4448241</v>
      </c>
      <c r="M168" s="99">
        <v>729645</v>
      </c>
      <c r="N168" s="99" t="s">
        <v>80</v>
      </c>
      <c r="O168" s="101">
        <v>0</v>
      </c>
      <c r="P168" s="67" t="s">
        <v>81</v>
      </c>
      <c r="Q168" s="67" t="s">
        <v>148</v>
      </c>
      <c r="R168" s="68" t="s">
        <v>149</v>
      </c>
      <c r="S168" s="68" t="s">
        <v>80</v>
      </c>
      <c r="T168" s="68" t="s">
        <v>84</v>
      </c>
      <c r="U168" s="67" t="s">
        <v>170</v>
      </c>
      <c r="V168" s="102">
        <v>665742</v>
      </c>
      <c r="W168" s="99">
        <v>11328</v>
      </c>
      <c r="X168" s="56">
        <v>0</v>
      </c>
      <c r="Y168" s="68">
        <v>885</v>
      </c>
      <c r="Z168" s="56">
        <v>0</v>
      </c>
      <c r="AA168" s="101">
        <v>58759</v>
      </c>
      <c r="AB168" s="101">
        <v>0</v>
      </c>
      <c r="AC168" s="101">
        <v>0</v>
      </c>
      <c r="AD168" s="101">
        <v>25779</v>
      </c>
      <c r="AE168" s="103">
        <f>SUM(V168:AD168)</f>
        <v>762493</v>
      </c>
      <c r="AF168" s="99">
        <v>10000</v>
      </c>
      <c r="AG168" s="99">
        <v>25000</v>
      </c>
      <c r="AH168" s="99">
        <v>15000</v>
      </c>
      <c r="AI168" s="99">
        <v>0</v>
      </c>
      <c r="AJ168" s="99">
        <v>2100</v>
      </c>
      <c r="AK168" s="99">
        <v>0</v>
      </c>
      <c r="AL168" s="99">
        <v>0</v>
      </c>
      <c r="AM168" s="99">
        <v>30393</v>
      </c>
      <c r="AN168" s="45">
        <f>SUM(AF168:AM168)</f>
        <v>82493</v>
      </c>
      <c r="AO168" s="104">
        <f>+AE168-AN168</f>
        <v>680000</v>
      </c>
      <c r="AP168" s="101">
        <v>0</v>
      </c>
      <c r="AQ168" s="105">
        <v>0</v>
      </c>
      <c r="AR168" s="101">
        <f>AP168-AQ168</f>
        <v>0</v>
      </c>
      <c r="AS168" s="56">
        <v>0</v>
      </c>
      <c r="AT168" s="56">
        <v>0</v>
      </c>
      <c r="AU168" s="48">
        <f>+AN168+AQ168</f>
        <v>82493</v>
      </c>
      <c r="AV168" s="119">
        <f>AO168+AR168+AS168+AT168</f>
        <v>680000</v>
      </c>
      <c r="AW168" s="49">
        <f>O168-AX168</f>
        <v>-200000</v>
      </c>
      <c r="AX168" s="68">
        <f>100000+100000</f>
        <v>200000</v>
      </c>
      <c r="AY168" s="106" t="str">
        <f>Q168</f>
        <v>CHEQUE</v>
      </c>
      <c r="AZ168" s="107">
        <f>D168</f>
        <v>45468</v>
      </c>
      <c r="BA168" s="33">
        <v>45468</v>
      </c>
      <c r="BB168" s="68">
        <v>0</v>
      </c>
      <c r="BC168" s="68">
        <f>50000+60000</f>
        <v>110000</v>
      </c>
      <c r="BD168" s="56" t="s">
        <v>742</v>
      </c>
      <c r="BE168" s="56" t="s">
        <v>743</v>
      </c>
      <c r="BF168" s="56">
        <v>370000</v>
      </c>
      <c r="BG168" s="56">
        <v>0</v>
      </c>
      <c r="BH168" s="55">
        <f>+AV168-AX168-BB168-BC168-BF168+BG168</f>
        <v>0</v>
      </c>
      <c r="BI168" s="56" t="s">
        <v>109</v>
      </c>
      <c r="BJ168" s="56" t="s">
        <v>744</v>
      </c>
      <c r="BK168" s="19"/>
    </row>
    <row r="169" spans="1:63" ht="17.25" customHeight="1" x14ac:dyDescent="0.3">
      <c r="A169" s="30">
        <v>45444</v>
      </c>
      <c r="B169" s="31">
        <v>168</v>
      </c>
      <c r="C169" s="32">
        <v>44</v>
      </c>
      <c r="D169" s="33">
        <v>45468</v>
      </c>
      <c r="E169" s="34" t="s">
        <v>745</v>
      </c>
      <c r="F169" s="99">
        <v>9860888821</v>
      </c>
      <c r="G169" s="100">
        <f>D169</f>
        <v>45468</v>
      </c>
      <c r="H169" s="99" t="s">
        <v>746</v>
      </c>
      <c r="I169" s="68" t="s">
        <v>64</v>
      </c>
      <c r="J169" s="99" t="s">
        <v>89</v>
      </c>
      <c r="K169" s="99" t="s">
        <v>66</v>
      </c>
      <c r="L169" s="99">
        <v>4464446</v>
      </c>
      <c r="M169" s="99">
        <v>749398</v>
      </c>
      <c r="N169" s="99" t="s">
        <v>105</v>
      </c>
      <c r="O169" s="101">
        <v>500000</v>
      </c>
      <c r="P169" s="67" t="s">
        <v>68</v>
      </c>
      <c r="Q169" s="67" t="s">
        <v>388</v>
      </c>
      <c r="R169" s="68" t="s">
        <v>105</v>
      </c>
      <c r="S169" s="68" t="s">
        <v>105</v>
      </c>
      <c r="T169" s="68" t="s">
        <v>107</v>
      </c>
      <c r="U169" s="67" t="s">
        <v>359</v>
      </c>
      <c r="V169" s="102">
        <v>749742</v>
      </c>
      <c r="W169" s="99">
        <v>0</v>
      </c>
      <c r="X169" s="56">
        <v>0</v>
      </c>
      <c r="Y169" s="68">
        <v>885</v>
      </c>
      <c r="Z169" s="56">
        <v>500</v>
      </c>
      <c r="AA169" s="101">
        <v>90000</v>
      </c>
      <c r="AB169" s="101">
        <v>4500</v>
      </c>
      <c r="AC169" s="101">
        <v>0</v>
      </c>
      <c r="AD169" s="101">
        <v>27021</v>
      </c>
      <c r="AE169" s="103">
        <f>SUM(V169:AD169)</f>
        <v>872648</v>
      </c>
      <c r="AF169" s="99">
        <v>10000</v>
      </c>
      <c r="AG169" s="99">
        <v>25000</v>
      </c>
      <c r="AH169" s="99">
        <v>0</v>
      </c>
      <c r="AI169" s="99">
        <v>1</v>
      </c>
      <c r="AJ169" s="99">
        <v>0</v>
      </c>
      <c r="AK169" s="99">
        <v>0</v>
      </c>
      <c r="AL169" s="99">
        <v>0</v>
      </c>
      <c r="AM169" s="99">
        <v>28337</v>
      </c>
      <c r="AN169" s="45">
        <f>SUM(AF169:AM169)</f>
        <v>63338</v>
      </c>
      <c r="AO169" s="104">
        <f>+AE169-AN169</f>
        <v>809310</v>
      </c>
      <c r="AP169" s="101">
        <v>29580</v>
      </c>
      <c r="AQ169" s="105">
        <v>1000</v>
      </c>
      <c r="AR169" s="101">
        <f>AP169-AQ169</f>
        <v>28580</v>
      </c>
      <c r="AS169" s="56">
        <v>0</v>
      </c>
      <c r="AT169" s="56">
        <v>0</v>
      </c>
      <c r="AU169" s="48">
        <f>+AN169+AQ169</f>
        <v>64338</v>
      </c>
      <c r="AV169" s="119">
        <f>AO169+AR169+AS169+AT169</f>
        <v>837890</v>
      </c>
      <c r="AW169" s="49">
        <f>O169-AX169</f>
        <v>16004</v>
      </c>
      <c r="AX169" s="68">
        <v>483996</v>
      </c>
      <c r="AY169" s="106" t="str">
        <f>Q169</f>
        <v>AU BANK</v>
      </c>
      <c r="AZ169" s="107">
        <f>D169</f>
        <v>45468</v>
      </c>
      <c r="BA169" s="33">
        <v>45471</v>
      </c>
      <c r="BB169" s="68">
        <v>0</v>
      </c>
      <c r="BC169" s="68">
        <f>10000+300000</f>
        <v>310000</v>
      </c>
      <c r="BD169" s="56">
        <v>0</v>
      </c>
      <c r="BE169" s="56">
        <v>0</v>
      </c>
      <c r="BF169" s="56">
        <v>0</v>
      </c>
      <c r="BG169" s="56">
        <v>0</v>
      </c>
      <c r="BH169" s="55">
        <f>+AV169-AX169-BB169-BC169-BF169+BG169</f>
        <v>43894</v>
      </c>
      <c r="BI169" s="56" t="s">
        <v>495</v>
      </c>
      <c r="BJ169" s="56"/>
      <c r="BK169" s="19"/>
    </row>
    <row r="170" spans="1:63" ht="17.25" customHeight="1" x14ac:dyDescent="0.3">
      <c r="A170" s="30">
        <v>45444</v>
      </c>
      <c r="B170" s="31">
        <v>169</v>
      </c>
      <c r="C170" s="31">
        <v>45</v>
      </c>
      <c r="D170" s="33">
        <v>45469</v>
      </c>
      <c r="E170" s="34" t="s">
        <v>747</v>
      </c>
      <c r="F170" s="99">
        <v>7697693769</v>
      </c>
      <c r="G170" s="100">
        <f>D170</f>
        <v>45469</v>
      </c>
      <c r="H170" s="99" t="s">
        <v>748</v>
      </c>
      <c r="I170" s="68" t="s">
        <v>162</v>
      </c>
      <c r="J170" s="99" t="s">
        <v>113</v>
      </c>
      <c r="K170" s="99" t="s">
        <v>66</v>
      </c>
      <c r="L170" s="99">
        <v>9511295</v>
      </c>
      <c r="M170" s="99">
        <v>380051</v>
      </c>
      <c r="N170" s="99" t="s">
        <v>105</v>
      </c>
      <c r="O170" s="101">
        <v>990000</v>
      </c>
      <c r="P170" s="67" t="s">
        <v>68</v>
      </c>
      <c r="Q170" s="67" t="s">
        <v>122</v>
      </c>
      <c r="R170" s="68" t="s">
        <v>749</v>
      </c>
      <c r="S170" s="68" t="s">
        <v>105</v>
      </c>
      <c r="T170" s="68" t="s">
        <v>107</v>
      </c>
      <c r="U170" s="67" t="s">
        <v>359</v>
      </c>
      <c r="V170" s="102">
        <v>1161000</v>
      </c>
      <c r="W170" s="99">
        <v>19730</v>
      </c>
      <c r="X170" s="56">
        <v>0</v>
      </c>
      <c r="Y170" s="68">
        <v>885</v>
      </c>
      <c r="Z170" s="56">
        <v>0</v>
      </c>
      <c r="AA170" s="101">
        <v>121600</v>
      </c>
      <c r="AB170" s="101">
        <v>0</v>
      </c>
      <c r="AC170" s="101">
        <v>11284</v>
      </c>
      <c r="AD170" s="101">
        <v>33100</v>
      </c>
      <c r="AE170" s="103">
        <f>SUM(V170:AD170)</f>
        <v>1347599</v>
      </c>
      <c r="AF170" s="99">
        <v>0</v>
      </c>
      <c r="AG170" s="99">
        <v>20000</v>
      </c>
      <c r="AH170" s="99">
        <v>0</v>
      </c>
      <c r="AI170" s="99">
        <v>1</v>
      </c>
      <c r="AJ170" s="99">
        <v>0</v>
      </c>
      <c r="AK170" s="99">
        <v>0</v>
      </c>
      <c r="AL170" s="99">
        <v>0</v>
      </c>
      <c r="AM170" s="99">
        <v>12598</v>
      </c>
      <c r="AN170" s="45">
        <f>SUM(AF170:AM170)</f>
        <v>32599</v>
      </c>
      <c r="AO170" s="104">
        <f>+AE170-AN170</f>
        <v>1315000</v>
      </c>
      <c r="AP170" s="101">
        <v>23140</v>
      </c>
      <c r="AQ170" s="105">
        <v>140</v>
      </c>
      <c r="AR170" s="101">
        <f>AP170-AQ170</f>
        <v>23000</v>
      </c>
      <c r="AS170" s="56">
        <v>0</v>
      </c>
      <c r="AT170" s="56">
        <v>0</v>
      </c>
      <c r="AU170" s="48">
        <f>+AN170+AQ170</f>
        <v>32739</v>
      </c>
      <c r="AV170" s="119">
        <f>AO170+AR170+AS170+AT170</f>
        <v>1338000</v>
      </c>
      <c r="AW170" s="49">
        <f>O170-AX170</f>
        <v>-306810</v>
      </c>
      <c r="AX170" s="68">
        <v>1296810</v>
      </c>
      <c r="AY170" s="106" t="str">
        <f>Q170</f>
        <v>BOI</v>
      </c>
      <c r="AZ170" s="107">
        <f>D170</f>
        <v>45469</v>
      </c>
      <c r="BA170" s="33"/>
      <c r="BB170" s="68">
        <v>0</v>
      </c>
      <c r="BC170" s="68">
        <v>16000</v>
      </c>
      <c r="BD170" s="56" t="s">
        <v>669</v>
      </c>
      <c r="BE170" s="56" t="s">
        <v>750</v>
      </c>
      <c r="BF170" s="56">
        <v>30000</v>
      </c>
      <c r="BG170" s="56">
        <v>0</v>
      </c>
      <c r="BH170" s="55">
        <f>+AV170-AX170-BB170-BC170-BF170+BG170</f>
        <v>-4810</v>
      </c>
      <c r="BI170" s="56" t="s">
        <v>109</v>
      </c>
      <c r="BJ170" s="56"/>
      <c r="BK170" s="19"/>
    </row>
    <row r="171" spans="1:63" ht="17.25" customHeight="1" x14ac:dyDescent="0.3">
      <c r="A171" s="30">
        <v>45444</v>
      </c>
      <c r="B171" s="31">
        <v>170</v>
      </c>
      <c r="C171" s="31">
        <v>46</v>
      </c>
      <c r="D171" s="33">
        <v>45469</v>
      </c>
      <c r="E171" s="34" t="s">
        <v>751</v>
      </c>
      <c r="F171" s="99">
        <v>9424802957</v>
      </c>
      <c r="G171" s="100">
        <v>45473</v>
      </c>
      <c r="H171" s="99" t="s">
        <v>752</v>
      </c>
      <c r="I171" s="68" t="s">
        <v>78</v>
      </c>
      <c r="J171" s="99" t="s">
        <v>89</v>
      </c>
      <c r="K171" s="99" t="s">
        <v>213</v>
      </c>
      <c r="L171" s="99">
        <v>7533136</v>
      </c>
      <c r="M171" s="99">
        <v>302847</v>
      </c>
      <c r="N171" s="99" t="s">
        <v>147</v>
      </c>
      <c r="O171" s="101">
        <v>750000</v>
      </c>
      <c r="P171" s="67" t="s">
        <v>68</v>
      </c>
      <c r="Q171" s="67" t="s">
        <v>293</v>
      </c>
      <c r="R171" s="68" t="s">
        <v>147</v>
      </c>
      <c r="S171" s="68" t="s">
        <v>147</v>
      </c>
      <c r="T171" s="68" t="s">
        <v>150</v>
      </c>
      <c r="U171" s="67" t="s">
        <v>332</v>
      </c>
      <c r="V171" s="102">
        <v>837242</v>
      </c>
      <c r="W171" s="99">
        <v>14231</v>
      </c>
      <c r="X171" s="56">
        <v>5416</v>
      </c>
      <c r="Y171" s="68">
        <v>885</v>
      </c>
      <c r="Z171" s="56">
        <v>500</v>
      </c>
      <c r="AA171" s="101">
        <v>17744</v>
      </c>
      <c r="AB171" s="101">
        <v>0</v>
      </c>
      <c r="AC171" s="101">
        <v>0</v>
      </c>
      <c r="AD171" s="101">
        <v>28936</v>
      </c>
      <c r="AE171" s="103">
        <f>SUM(V171:AD171)</f>
        <v>904954</v>
      </c>
      <c r="AF171" s="99">
        <v>0</v>
      </c>
      <c r="AG171" s="99">
        <v>20500</v>
      </c>
      <c r="AH171" s="99">
        <v>0</v>
      </c>
      <c r="AI171" s="99">
        <v>2000</v>
      </c>
      <c r="AJ171" s="99">
        <v>0</v>
      </c>
      <c r="AK171" s="99">
        <v>0</v>
      </c>
      <c r="AL171" s="99">
        <v>0</v>
      </c>
      <c r="AM171" s="99">
        <v>104</v>
      </c>
      <c r="AN171" s="45">
        <f>SUM(AF171:AM171)</f>
        <v>22604</v>
      </c>
      <c r="AO171" s="104">
        <f>+AE171-AN171</f>
        <v>882350</v>
      </c>
      <c r="AP171" s="101">
        <v>17650</v>
      </c>
      <c r="AQ171" s="105">
        <v>0</v>
      </c>
      <c r="AR171" s="101">
        <f>AP171-AQ171</f>
        <v>17650</v>
      </c>
      <c r="AS171" s="56">
        <v>0</v>
      </c>
      <c r="AT171" s="56">
        <v>0</v>
      </c>
      <c r="AU171" s="48">
        <f>+AN171+AQ171</f>
        <v>22604</v>
      </c>
      <c r="AV171" s="119">
        <f>AO171+AR171+AS171+AT171</f>
        <v>900000</v>
      </c>
      <c r="AW171" s="49">
        <f>O171-AX171</f>
        <v>0</v>
      </c>
      <c r="AX171" s="68">
        <v>750000</v>
      </c>
      <c r="AY171" s="106" t="str">
        <f>Q171</f>
        <v>CANARA BANK</v>
      </c>
      <c r="AZ171" s="107">
        <f>D171</f>
        <v>45469</v>
      </c>
      <c r="BA171" s="33"/>
      <c r="BB171" s="68">
        <v>0</v>
      </c>
      <c r="BC171" s="68">
        <f>11000</f>
        <v>11000</v>
      </c>
      <c r="BD171" s="56">
        <v>0</v>
      </c>
      <c r="BE171" s="56">
        <v>0</v>
      </c>
      <c r="BF171" s="56">
        <v>0</v>
      </c>
      <c r="BG171" s="56">
        <v>0</v>
      </c>
      <c r="BH171" s="55">
        <f>+AV171-AX171-BB171-BC171-BF171+BG171</f>
        <v>139000</v>
      </c>
      <c r="BI171" s="56" t="s">
        <v>753</v>
      </c>
      <c r="BJ171" s="56"/>
      <c r="BK171" s="19"/>
    </row>
    <row r="172" spans="1:63" ht="17.25" customHeight="1" x14ac:dyDescent="0.3">
      <c r="A172" s="30">
        <v>45444</v>
      </c>
      <c r="B172" s="31">
        <v>171</v>
      </c>
      <c r="C172" s="31">
        <v>47</v>
      </c>
      <c r="D172" s="33">
        <v>45470</v>
      </c>
      <c r="E172" s="34" t="s">
        <v>754</v>
      </c>
      <c r="F172" s="99">
        <v>7000105758</v>
      </c>
      <c r="G172" s="100">
        <f>D172</f>
        <v>45470</v>
      </c>
      <c r="H172" s="99" t="s">
        <v>755</v>
      </c>
      <c r="I172" s="68" t="s">
        <v>121</v>
      </c>
      <c r="J172" s="99" t="s">
        <v>65</v>
      </c>
      <c r="K172" s="99" t="s">
        <v>66</v>
      </c>
      <c r="L172" s="99">
        <v>7426732</v>
      </c>
      <c r="M172" s="99">
        <v>237659</v>
      </c>
      <c r="N172" s="99" t="s">
        <v>80</v>
      </c>
      <c r="O172" s="101">
        <v>1000000</v>
      </c>
      <c r="P172" s="67" t="s">
        <v>68</v>
      </c>
      <c r="Q172" s="67" t="s">
        <v>179</v>
      </c>
      <c r="R172" s="68" t="s">
        <v>147</v>
      </c>
      <c r="S172" s="68" t="s">
        <v>147</v>
      </c>
      <c r="T172" s="68" t="s">
        <v>84</v>
      </c>
      <c r="U172" s="67" t="s">
        <v>170</v>
      </c>
      <c r="V172" s="102">
        <v>1098601</v>
      </c>
      <c r="W172" s="99">
        <v>0</v>
      </c>
      <c r="X172" s="56">
        <v>0</v>
      </c>
      <c r="Y172" s="68" t="s">
        <v>180</v>
      </c>
      <c r="Z172" s="56">
        <v>0</v>
      </c>
      <c r="AA172" s="101">
        <v>115360</v>
      </c>
      <c r="AB172" s="101">
        <v>0</v>
      </c>
      <c r="AC172" s="101">
        <v>10328</v>
      </c>
      <c r="AD172" s="101">
        <v>31526</v>
      </c>
      <c r="AE172" s="103">
        <f>SUM(V172:AD172)</f>
        <v>1255815</v>
      </c>
      <c r="AF172" s="99">
        <v>0</v>
      </c>
      <c r="AG172" s="99">
        <v>30000</v>
      </c>
      <c r="AH172" s="99">
        <v>0</v>
      </c>
      <c r="AI172" s="99">
        <v>0</v>
      </c>
      <c r="AJ172" s="99">
        <v>3100</v>
      </c>
      <c r="AK172" s="99">
        <v>0</v>
      </c>
      <c r="AL172" s="99">
        <v>0</v>
      </c>
      <c r="AM172" s="99">
        <v>32715</v>
      </c>
      <c r="AN172" s="45">
        <f>SUM(AF172:AM172)</f>
        <v>65815</v>
      </c>
      <c r="AO172" s="104">
        <f>+AE172-AN172</f>
        <v>1190000</v>
      </c>
      <c r="AP172" s="101">
        <v>50000</v>
      </c>
      <c r="AQ172" s="105">
        <v>0</v>
      </c>
      <c r="AR172" s="101">
        <f>AP172-AQ172</f>
        <v>50000</v>
      </c>
      <c r="AS172" s="56">
        <v>0</v>
      </c>
      <c r="AT172" s="56">
        <v>0</v>
      </c>
      <c r="AU172" s="48">
        <f>+AN172+AQ172</f>
        <v>65815</v>
      </c>
      <c r="AV172" s="119">
        <f>AO172+AR172+AS172+AT172</f>
        <v>1240000</v>
      </c>
      <c r="AW172" s="49">
        <f>O172-AX172</f>
        <v>19196</v>
      </c>
      <c r="AX172" s="68">
        <v>980804</v>
      </c>
      <c r="AY172" s="106" t="str">
        <f>Q172</f>
        <v>MAHINDRA</v>
      </c>
      <c r="AZ172" s="107">
        <f>D172</f>
        <v>45470</v>
      </c>
      <c r="BA172" s="33">
        <v>45470</v>
      </c>
      <c r="BB172" s="68">
        <f>63658</f>
        <v>63658</v>
      </c>
      <c r="BC172" s="68">
        <f>20000</f>
        <v>20000</v>
      </c>
      <c r="BD172" s="56" t="s">
        <v>756</v>
      </c>
      <c r="BE172" s="56" t="s">
        <v>757</v>
      </c>
      <c r="BF172" s="56">
        <v>570000</v>
      </c>
      <c r="BG172" s="56">
        <f>318232+76230</f>
        <v>394462</v>
      </c>
      <c r="BH172" s="55">
        <f>+AV172-AX172-BB172-BC172-BF172+BG172</f>
        <v>0</v>
      </c>
      <c r="BI172" s="56" t="s">
        <v>109</v>
      </c>
      <c r="BJ172" s="56" t="s">
        <v>758</v>
      </c>
      <c r="BK172" s="19"/>
    </row>
    <row r="173" spans="1:63" ht="17.25" customHeight="1" x14ac:dyDescent="0.3">
      <c r="A173" s="30">
        <v>45444</v>
      </c>
      <c r="B173" s="31">
        <v>172</v>
      </c>
      <c r="C173" s="32">
        <v>48</v>
      </c>
      <c r="D173" s="33">
        <v>45470</v>
      </c>
      <c r="E173" s="34" t="s">
        <v>759</v>
      </c>
      <c r="F173" s="99">
        <v>9406822671</v>
      </c>
      <c r="G173" s="100">
        <f>D173</f>
        <v>45470</v>
      </c>
      <c r="H173" s="99" t="s">
        <v>760</v>
      </c>
      <c r="I173" s="68" t="s">
        <v>64</v>
      </c>
      <c r="J173" s="99" t="s">
        <v>761</v>
      </c>
      <c r="K173" s="99" t="s">
        <v>66</v>
      </c>
      <c r="L173" s="99">
        <v>4488423</v>
      </c>
      <c r="M173" s="99">
        <v>777399</v>
      </c>
      <c r="N173" s="99" t="s">
        <v>105</v>
      </c>
      <c r="O173" s="101">
        <v>0</v>
      </c>
      <c r="P173" s="67" t="s">
        <v>81</v>
      </c>
      <c r="Q173" s="67" t="s">
        <v>148</v>
      </c>
      <c r="R173" s="68" t="s">
        <v>149</v>
      </c>
      <c r="S173" s="68" t="s">
        <v>105</v>
      </c>
      <c r="T173" s="68" t="s">
        <v>107</v>
      </c>
      <c r="U173" s="67" t="s">
        <v>108</v>
      </c>
      <c r="V173" s="102">
        <v>887742</v>
      </c>
      <c r="W173" s="99">
        <v>0</v>
      </c>
      <c r="X173" s="56">
        <v>0</v>
      </c>
      <c r="Y173" s="68" t="s">
        <v>180</v>
      </c>
      <c r="Z173" s="56">
        <v>0</v>
      </c>
      <c r="AA173" s="101">
        <v>76519</v>
      </c>
      <c r="AB173" s="101">
        <v>0</v>
      </c>
      <c r="AC173" s="101">
        <v>0</v>
      </c>
      <c r="AD173" s="101">
        <v>29790</v>
      </c>
      <c r="AE173" s="103">
        <f>SUM(V173:AD173)</f>
        <v>994051</v>
      </c>
      <c r="AF173" s="99">
        <v>10000</v>
      </c>
      <c r="AG173" s="99">
        <v>30000</v>
      </c>
      <c r="AH173" s="99">
        <v>15000</v>
      </c>
      <c r="AI173" s="99">
        <v>1</v>
      </c>
      <c r="AJ173" s="99">
        <v>0</v>
      </c>
      <c r="AK173" s="99">
        <v>0</v>
      </c>
      <c r="AL173" s="99">
        <v>0</v>
      </c>
      <c r="AM173" s="99">
        <v>20250</v>
      </c>
      <c r="AN173" s="45">
        <f>SUM(AF173:AM173)</f>
        <v>75251</v>
      </c>
      <c r="AO173" s="104">
        <f>+AE173-AN173</f>
        <v>918800</v>
      </c>
      <c r="AP173" s="101">
        <v>1200</v>
      </c>
      <c r="AQ173" s="105">
        <v>0</v>
      </c>
      <c r="AR173" s="101">
        <f>AP173-AQ173</f>
        <v>1200</v>
      </c>
      <c r="AS173" s="56">
        <v>0</v>
      </c>
      <c r="AT173" s="56">
        <v>0</v>
      </c>
      <c r="AU173" s="48">
        <f>+AN173+AQ173</f>
        <v>75251</v>
      </c>
      <c r="AV173" s="119">
        <f>AO173+AR173+AS173+AT173</f>
        <v>920000</v>
      </c>
      <c r="AW173" s="49">
        <f>O173-AX173</f>
        <v>-451000</v>
      </c>
      <c r="AX173" s="68">
        <v>451000</v>
      </c>
      <c r="AY173" s="106" t="str">
        <f>Q173</f>
        <v>CHEQUE</v>
      </c>
      <c r="AZ173" s="107">
        <f>D173</f>
        <v>45470</v>
      </c>
      <c r="BA173" s="33"/>
      <c r="BB173" s="68">
        <v>0</v>
      </c>
      <c r="BC173" s="68">
        <v>0</v>
      </c>
      <c r="BD173" s="56" t="s">
        <v>762</v>
      </c>
      <c r="BE173" s="56" t="s">
        <v>763</v>
      </c>
      <c r="BF173" s="56">
        <v>470000</v>
      </c>
      <c r="BG173" s="56">
        <v>0</v>
      </c>
      <c r="BH173" s="55">
        <f>+AV173-AX173-BB173-BC173-BF173+BG173</f>
        <v>-1000</v>
      </c>
      <c r="BI173" s="56" t="s">
        <v>109</v>
      </c>
      <c r="BJ173" s="56"/>
      <c r="BK173" s="19"/>
    </row>
    <row r="174" spans="1:63" ht="17.25" customHeight="1" x14ac:dyDescent="0.3">
      <c r="A174" s="30">
        <v>45444</v>
      </c>
      <c r="B174" s="31">
        <v>173</v>
      </c>
      <c r="C174" s="31">
        <v>49</v>
      </c>
      <c r="D174" s="33">
        <v>45470</v>
      </c>
      <c r="E174" s="34" t="s">
        <v>764</v>
      </c>
      <c r="F174" s="99">
        <v>9669900649</v>
      </c>
      <c r="G174" s="100">
        <f>D174</f>
        <v>45470</v>
      </c>
      <c r="H174" s="99" t="s">
        <v>765</v>
      </c>
      <c r="I174" s="68" t="s">
        <v>64</v>
      </c>
      <c r="J174" s="99" t="s">
        <v>113</v>
      </c>
      <c r="K174" s="99" t="s">
        <v>66</v>
      </c>
      <c r="L174" s="99">
        <v>1605666</v>
      </c>
      <c r="M174" s="99">
        <v>691697</v>
      </c>
      <c r="N174" s="99" t="s">
        <v>67</v>
      </c>
      <c r="O174" s="101">
        <v>830000</v>
      </c>
      <c r="P174" s="67" t="s">
        <v>81</v>
      </c>
      <c r="Q174" s="67" t="s">
        <v>254</v>
      </c>
      <c r="R174" s="68" t="s">
        <v>67</v>
      </c>
      <c r="S174" s="68" t="s">
        <v>67</v>
      </c>
      <c r="T174" s="68" t="s">
        <v>70</v>
      </c>
      <c r="U174" s="67" t="s">
        <v>100</v>
      </c>
      <c r="V174" s="102">
        <v>842742</v>
      </c>
      <c r="W174" s="99">
        <v>14325</v>
      </c>
      <c r="X174" s="56">
        <v>0</v>
      </c>
      <c r="Y174" s="68">
        <v>885</v>
      </c>
      <c r="Z174" s="56">
        <v>500</v>
      </c>
      <c r="AA174" s="101">
        <v>72919</v>
      </c>
      <c r="AB174" s="101">
        <v>0</v>
      </c>
      <c r="AC174" s="101">
        <v>0</v>
      </c>
      <c r="AD174" s="101">
        <v>29028</v>
      </c>
      <c r="AE174" s="103">
        <f>SUM(V174:AD174)</f>
        <v>960399</v>
      </c>
      <c r="AF174" s="99">
        <v>10000</v>
      </c>
      <c r="AG174" s="99">
        <v>25000</v>
      </c>
      <c r="AH174" s="99">
        <v>0</v>
      </c>
      <c r="AI174" s="99">
        <v>1</v>
      </c>
      <c r="AJ174" s="99">
        <v>0</v>
      </c>
      <c r="AK174" s="99">
        <v>0</v>
      </c>
      <c r="AL174" s="99">
        <v>0</v>
      </c>
      <c r="AM174" s="99">
        <v>10398</v>
      </c>
      <c r="AN174" s="45">
        <f>SUM(AF174:AM174)</f>
        <v>45399</v>
      </c>
      <c r="AO174" s="104">
        <f>+AE174-AN174</f>
        <v>915000</v>
      </c>
      <c r="AP174" s="101">
        <v>21830</v>
      </c>
      <c r="AQ174" s="105">
        <v>0</v>
      </c>
      <c r="AR174" s="101">
        <f>AP174-AQ174</f>
        <v>21830</v>
      </c>
      <c r="AS174" s="56">
        <v>0</v>
      </c>
      <c r="AT174" s="56">
        <v>0</v>
      </c>
      <c r="AU174" s="48">
        <f>+AN174+AQ174</f>
        <v>45399</v>
      </c>
      <c r="AV174" s="119">
        <f>AO174+AR174+AS174+AT174</f>
        <v>936830</v>
      </c>
      <c r="AW174" s="49">
        <f>O174-AX174</f>
        <v>0</v>
      </c>
      <c r="AX174" s="68">
        <v>830000</v>
      </c>
      <c r="AY174" s="106" t="str">
        <f>Q174</f>
        <v>BANK OF BARODA</v>
      </c>
      <c r="AZ174" s="107">
        <f>D174</f>
        <v>45470</v>
      </c>
      <c r="BA174" s="33">
        <v>45470</v>
      </c>
      <c r="BB174" s="68">
        <f>10000+1000</f>
        <v>11000</v>
      </c>
      <c r="BC174" s="68">
        <f>60000+30000+0+5000+800</f>
        <v>95800</v>
      </c>
      <c r="BD174" s="56">
        <v>0</v>
      </c>
      <c r="BE174" s="56">
        <v>0</v>
      </c>
      <c r="BF174" s="56">
        <v>0</v>
      </c>
      <c r="BG174" s="56">
        <v>0</v>
      </c>
      <c r="BH174" s="55">
        <f>+AV174-AX174-BB174-BC174-BF174+BG174</f>
        <v>30</v>
      </c>
      <c r="BI174" s="56" t="s">
        <v>109</v>
      </c>
      <c r="BJ174" s="56"/>
      <c r="BK174" s="19"/>
    </row>
    <row r="175" spans="1:63" ht="17.25" customHeight="1" x14ac:dyDescent="0.3">
      <c r="A175" s="30">
        <v>45444</v>
      </c>
      <c r="B175" s="31">
        <v>174</v>
      </c>
      <c r="C175" s="31">
        <v>50</v>
      </c>
      <c r="D175" s="33">
        <v>45470</v>
      </c>
      <c r="E175" s="34" t="s">
        <v>766</v>
      </c>
      <c r="F175" s="99">
        <v>9752072143</v>
      </c>
      <c r="G175" s="100">
        <f>D175</f>
        <v>45470</v>
      </c>
      <c r="H175" s="99" t="s">
        <v>767</v>
      </c>
      <c r="I175" s="68" t="s">
        <v>64</v>
      </c>
      <c r="J175" s="99" t="s">
        <v>104</v>
      </c>
      <c r="K175" s="99" t="s">
        <v>199</v>
      </c>
      <c r="L175" s="99">
        <v>4486464</v>
      </c>
      <c r="M175" s="99">
        <v>774923</v>
      </c>
      <c r="N175" s="99" t="s">
        <v>106</v>
      </c>
      <c r="O175" s="101">
        <v>500000</v>
      </c>
      <c r="P175" s="67" t="s">
        <v>81</v>
      </c>
      <c r="Q175" s="67" t="s">
        <v>768</v>
      </c>
      <c r="R175" s="68" t="s">
        <v>106</v>
      </c>
      <c r="S175" s="68" t="s">
        <v>106</v>
      </c>
      <c r="T175" s="68" t="s">
        <v>124</v>
      </c>
      <c r="U175" s="67" t="s">
        <v>302</v>
      </c>
      <c r="V175" s="102">
        <v>839742</v>
      </c>
      <c r="W175" s="99">
        <v>14278</v>
      </c>
      <c r="X175" s="56">
        <v>0</v>
      </c>
      <c r="Y175" s="68" t="s">
        <v>180</v>
      </c>
      <c r="Z175" s="56">
        <v>0</v>
      </c>
      <c r="AA175" s="101">
        <v>72679</v>
      </c>
      <c r="AB175" s="101">
        <v>0</v>
      </c>
      <c r="AC175" s="101">
        <v>0</v>
      </c>
      <c r="AD175" s="101">
        <v>29977</v>
      </c>
      <c r="AE175" s="103">
        <f>SUM(V175:AD175)</f>
        <v>956676</v>
      </c>
      <c r="AF175" s="99">
        <v>0</v>
      </c>
      <c r="AG175" s="99">
        <v>25000</v>
      </c>
      <c r="AH175" s="99">
        <v>0</v>
      </c>
      <c r="AI175" s="99">
        <v>1</v>
      </c>
      <c r="AJ175" s="99">
        <v>0</v>
      </c>
      <c r="AK175" s="99">
        <v>0</v>
      </c>
      <c r="AL175" s="99">
        <v>0</v>
      </c>
      <c r="AM175" s="99">
        <v>6675</v>
      </c>
      <c r="AN175" s="45">
        <f>SUM(AF175:AM175)</f>
        <v>31676</v>
      </c>
      <c r="AO175" s="104">
        <f>+AE175-AN175</f>
        <v>925000</v>
      </c>
      <c r="AP175" s="101">
        <v>0</v>
      </c>
      <c r="AQ175" s="105">
        <v>0</v>
      </c>
      <c r="AR175" s="101">
        <f>AP175-AQ175</f>
        <v>0</v>
      </c>
      <c r="AS175" s="56">
        <v>0</v>
      </c>
      <c r="AT175" s="56">
        <v>0</v>
      </c>
      <c r="AU175" s="48">
        <f>+AN175+AQ175</f>
        <v>31676</v>
      </c>
      <c r="AV175" s="119">
        <f>AO175+AR175+AS175+AT175</f>
        <v>925000</v>
      </c>
      <c r="AW175" s="49">
        <f>O175-AX175</f>
        <v>8968</v>
      </c>
      <c r="AX175" s="68">
        <v>491032</v>
      </c>
      <c r="AY175" s="106" t="str">
        <f>Q175</f>
        <v>ICICI</v>
      </c>
      <c r="AZ175" s="107">
        <f>D175</f>
        <v>45470</v>
      </c>
      <c r="BA175" s="33">
        <v>45474</v>
      </c>
      <c r="BB175" s="68">
        <v>0</v>
      </c>
      <c r="BC175" s="68">
        <f>11000+11000</f>
        <v>22000</v>
      </c>
      <c r="BD175" s="56" t="s">
        <v>769</v>
      </c>
      <c r="BE175" s="56" t="s">
        <v>770</v>
      </c>
      <c r="BF175" s="56">
        <v>385000</v>
      </c>
      <c r="BG175" s="56">
        <v>0</v>
      </c>
      <c r="BH175" s="55">
        <f>+AV175-AX175-BB175-BC175-BF175+BG175</f>
        <v>26968</v>
      </c>
      <c r="BI175" s="56" t="s">
        <v>771</v>
      </c>
      <c r="BJ175" s="56"/>
      <c r="BK175" s="19"/>
    </row>
    <row r="176" spans="1:63" ht="17.25" customHeight="1" x14ac:dyDescent="0.3">
      <c r="A176" s="30">
        <v>45444</v>
      </c>
      <c r="B176" s="31">
        <v>175</v>
      </c>
      <c r="C176" s="31">
        <v>51</v>
      </c>
      <c r="D176" s="33">
        <v>45471</v>
      </c>
      <c r="E176" s="34" t="s">
        <v>772</v>
      </c>
      <c r="F176" s="99">
        <v>9926587201</v>
      </c>
      <c r="G176" s="100">
        <v>45481</v>
      </c>
      <c r="H176" s="99" t="s">
        <v>773</v>
      </c>
      <c r="I176" s="68" t="s">
        <v>64</v>
      </c>
      <c r="J176" s="99" t="s">
        <v>65</v>
      </c>
      <c r="K176" s="99" t="s">
        <v>97</v>
      </c>
      <c r="L176" s="99">
        <v>7424626</v>
      </c>
      <c r="M176" s="99">
        <v>653471</v>
      </c>
      <c r="N176" s="99" t="s">
        <v>80</v>
      </c>
      <c r="O176" s="101">
        <v>640000</v>
      </c>
      <c r="P176" s="67" t="s">
        <v>68</v>
      </c>
      <c r="Q176" s="67" t="s">
        <v>90</v>
      </c>
      <c r="R176" s="68" t="s">
        <v>80</v>
      </c>
      <c r="S176" s="68" t="s">
        <v>80</v>
      </c>
      <c r="T176" s="68" t="s">
        <v>84</v>
      </c>
      <c r="U176" s="67" t="s">
        <v>92</v>
      </c>
      <c r="V176" s="102">
        <v>665742</v>
      </c>
      <c r="W176" s="99">
        <v>11328</v>
      </c>
      <c r="X176" s="56">
        <v>0</v>
      </c>
      <c r="Y176" s="68">
        <v>885</v>
      </c>
      <c r="Z176" s="56">
        <v>0</v>
      </c>
      <c r="AA176" s="101">
        <v>58759</v>
      </c>
      <c r="AB176" s="101">
        <v>0</v>
      </c>
      <c r="AC176" s="101">
        <v>0</v>
      </c>
      <c r="AD176" s="101">
        <v>25801</v>
      </c>
      <c r="AE176" s="103">
        <f>SUM(V176:AD176)</f>
        <v>762515</v>
      </c>
      <c r="AF176" s="99">
        <v>10000</v>
      </c>
      <c r="AG176" s="99">
        <v>25000</v>
      </c>
      <c r="AH176" s="99">
        <v>0</v>
      </c>
      <c r="AI176" s="99">
        <v>0</v>
      </c>
      <c r="AJ176" s="99">
        <v>2100</v>
      </c>
      <c r="AK176" s="99">
        <v>0</v>
      </c>
      <c r="AL176" s="99">
        <v>0</v>
      </c>
      <c r="AM176" s="99">
        <v>35715</v>
      </c>
      <c r="AN176" s="45">
        <f>SUM(AF176:AM176)</f>
        <v>72815</v>
      </c>
      <c r="AO176" s="104">
        <f>+AE176-AN176</f>
        <v>689700</v>
      </c>
      <c r="AP176" s="101">
        <v>45500</v>
      </c>
      <c r="AQ176" s="105">
        <v>200</v>
      </c>
      <c r="AR176" s="101">
        <f>AP176-AQ176</f>
        <v>45300</v>
      </c>
      <c r="AS176" s="56">
        <v>0</v>
      </c>
      <c r="AT176" s="56">
        <v>0</v>
      </c>
      <c r="AU176" s="48">
        <f>+AN176+AQ176</f>
        <v>73015</v>
      </c>
      <c r="AV176" s="119">
        <f>AO176+AR176+AS176+AT176</f>
        <v>735000</v>
      </c>
      <c r="AW176" s="49">
        <f>O176-AX176</f>
        <v>0</v>
      </c>
      <c r="AX176" s="68">
        <v>640000</v>
      </c>
      <c r="AY176" s="106" t="str">
        <f>Q176</f>
        <v>MPGB</v>
      </c>
      <c r="AZ176" s="107">
        <f>D176</f>
        <v>45471</v>
      </c>
      <c r="BA176" s="33">
        <v>45471</v>
      </c>
      <c r="BB176" s="68">
        <v>0</v>
      </c>
      <c r="BC176" s="68">
        <v>0</v>
      </c>
      <c r="BD176" s="56">
        <v>0</v>
      </c>
      <c r="BE176" s="56">
        <v>0</v>
      </c>
      <c r="BF176" s="56">
        <v>0</v>
      </c>
      <c r="BG176" s="56">
        <v>0</v>
      </c>
      <c r="BH176" s="55">
        <f>+AV176-AX176-BB176-BC176-BF176+BG176</f>
        <v>95000</v>
      </c>
      <c r="BI176" s="56" t="s">
        <v>753</v>
      </c>
      <c r="BJ176" s="56" t="s">
        <v>774</v>
      </c>
      <c r="BK176" s="19"/>
    </row>
    <row r="177" spans="1:63" ht="17.25" customHeight="1" x14ac:dyDescent="0.3">
      <c r="A177" s="30">
        <v>45444</v>
      </c>
      <c r="B177" s="31">
        <v>176</v>
      </c>
      <c r="C177" s="32">
        <v>52</v>
      </c>
      <c r="D177" s="33">
        <v>45471</v>
      </c>
      <c r="E177" s="34" t="s">
        <v>775</v>
      </c>
      <c r="F177" s="99">
        <v>9753744573</v>
      </c>
      <c r="G177" s="100">
        <v>45480</v>
      </c>
      <c r="H177" s="99" t="s">
        <v>776</v>
      </c>
      <c r="I177" s="68" t="s">
        <v>121</v>
      </c>
      <c r="J177" s="99" t="s">
        <v>104</v>
      </c>
      <c r="K177" s="99" t="s">
        <v>97</v>
      </c>
      <c r="L177" s="99">
        <v>7428820</v>
      </c>
      <c r="M177" s="99">
        <v>121900</v>
      </c>
      <c r="N177" s="99" t="s">
        <v>80</v>
      </c>
      <c r="O177" s="101">
        <v>981000</v>
      </c>
      <c r="P177" s="67" t="s">
        <v>68</v>
      </c>
      <c r="Q177" s="67" t="s">
        <v>191</v>
      </c>
      <c r="R177" s="68" t="s">
        <v>650</v>
      </c>
      <c r="S177" s="68" t="s">
        <v>80</v>
      </c>
      <c r="T177" s="68" t="s">
        <v>84</v>
      </c>
      <c r="U177" s="67" t="s">
        <v>170</v>
      </c>
      <c r="V177" s="102">
        <v>1314601</v>
      </c>
      <c r="W177" s="99">
        <v>22349</v>
      </c>
      <c r="X177" s="56">
        <v>0</v>
      </c>
      <c r="Y177" s="68">
        <v>885</v>
      </c>
      <c r="Z177" s="56">
        <v>500</v>
      </c>
      <c r="AA177" s="101">
        <v>136960</v>
      </c>
      <c r="AB177" s="101">
        <v>0</v>
      </c>
      <c r="AC177" s="101">
        <v>12797</v>
      </c>
      <c r="AD177" s="101">
        <v>36482</v>
      </c>
      <c r="AE177" s="103">
        <f>SUM(V177:AD177)</f>
        <v>1524574</v>
      </c>
      <c r="AF177" s="99">
        <v>0</v>
      </c>
      <c r="AG177" s="99">
        <v>0</v>
      </c>
      <c r="AH177" s="99">
        <v>0</v>
      </c>
      <c r="AI177" s="99">
        <v>1</v>
      </c>
      <c r="AJ177" s="99">
        <v>0</v>
      </c>
      <c r="AK177" s="99">
        <v>0</v>
      </c>
      <c r="AL177" s="99">
        <v>0</v>
      </c>
      <c r="AM177" s="99">
        <v>34922</v>
      </c>
      <c r="AN177" s="45">
        <f>SUM(AF177:AM177)</f>
        <v>34923</v>
      </c>
      <c r="AO177" s="104">
        <f>+AE177-AN177</f>
        <v>1489651</v>
      </c>
      <c r="AP177" s="101">
        <v>91500</v>
      </c>
      <c r="AQ177" s="105">
        <v>1151</v>
      </c>
      <c r="AR177" s="101">
        <f>AP177-AQ177</f>
        <v>90349</v>
      </c>
      <c r="AS177" s="56">
        <v>0</v>
      </c>
      <c r="AT177" s="56">
        <v>0</v>
      </c>
      <c r="AU177" s="48">
        <f>+AN177+AQ177</f>
        <v>36074</v>
      </c>
      <c r="AV177" s="119">
        <f>AO177+AR177+AS177+AT177</f>
        <v>1580000</v>
      </c>
      <c r="AW177" s="49">
        <f>O177-AX177</f>
        <v>0</v>
      </c>
      <c r="AX177" s="68">
        <v>981000</v>
      </c>
      <c r="AY177" s="106" t="str">
        <f>Q177</f>
        <v>SBI</v>
      </c>
      <c r="AZ177" s="107">
        <f>D177</f>
        <v>45471</v>
      </c>
      <c r="BA177" s="33">
        <v>45472</v>
      </c>
      <c r="BB177" s="68">
        <f>51000</f>
        <v>51000</v>
      </c>
      <c r="BC177" s="68">
        <v>0</v>
      </c>
      <c r="BD177" s="56">
        <v>0</v>
      </c>
      <c r="BE177" s="56">
        <v>0</v>
      </c>
      <c r="BF177" s="56">
        <v>0</v>
      </c>
      <c r="BG177" s="56">
        <v>0</v>
      </c>
      <c r="BH177" s="55">
        <f>+AV177-AX177-BB177-BC177-BF177+BG177</f>
        <v>548000</v>
      </c>
      <c r="BI177" s="56" t="s">
        <v>753</v>
      </c>
      <c r="BJ177" s="56"/>
      <c r="BK177" s="19"/>
    </row>
    <row r="178" spans="1:63" ht="17.25" customHeight="1" x14ac:dyDescent="0.3">
      <c r="A178" s="30">
        <v>45444</v>
      </c>
      <c r="B178" s="31">
        <v>177</v>
      </c>
      <c r="C178" s="31">
        <v>53</v>
      </c>
      <c r="D178" s="33">
        <v>45471</v>
      </c>
      <c r="E178" s="34" t="s">
        <v>777</v>
      </c>
      <c r="F178" s="99">
        <v>9755385173</v>
      </c>
      <c r="G178" s="100">
        <f>D178</f>
        <v>45471</v>
      </c>
      <c r="H178" s="99" t="s">
        <v>778</v>
      </c>
      <c r="I178" s="68" t="s">
        <v>64</v>
      </c>
      <c r="J178" s="99" t="s">
        <v>89</v>
      </c>
      <c r="K178" s="99" t="s">
        <v>66</v>
      </c>
      <c r="L178" s="99">
        <v>4464938</v>
      </c>
      <c r="M178" s="99">
        <v>749904</v>
      </c>
      <c r="N178" s="99" t="s">
        <v>106</v>
      </c>
      <c r="O178" s="101">
        <v>749000</v>
      </c>
      <c r="P178" s="67" t="s">
        <v>68</v>
      </c>
      <c r="Q178" s="67" t="s">
        <v>191</v>
      </c>
      <c r="R178" s="68" t="s">
        <v>779</v>
      </c>
      <c r="S178" s="68" t="s">
        <v>106</v>
      </c>
      <c r="T178" s="68" t="s">
        <v>124</v>
      </c>
      <c r="U178" s="67" t="s">
        <v>302</v>
      </c>
      <c r="V178" s="102">
        <v>749742</v>
      </c>
      <c r="W178" s="99">
        <v>0</v>
      </c>
      <c r="X178" s="56">
        <v>0</v>
      </c>
      <c r="Y178" s="68">
        <v>885</v>
      </c>
      <c r="Z178" s="56">
        <v>0</v>
      </c>
      <c r="AA178" s="101">
        <v>65479</v>
      </c>
      <c r="AB178" s="101">
        <v>0</v>
      </c>
      <c r="AC178" s="101">
        <v>0</v>
      </c>
      <c r="AD178" s="101">
        <v>26688</v>
      </c>
      <c r="AE178" s="103">
        <f>SUM(V178:AD178)</f>
        <v>842794</v>
      </c>
      <c r="AF178" s="99">
        <v>10000</v>
      </c>
      <c r="AG178" s="99">
        <v>25000</v>
      </c>
      <c r="AH178" s="99">
        <v>0</v>
      </c>
      <c r="AI178" s="99">
        <v>1</v>
      </c>
      <c r="AJ178" s="99">
        <v>0</v>
      </c>
      <c r="AK178" s="99">
        <v>0</v>
      </c>
      <c r="AL178" s="99">
        <v>0</v>
      </c>
      <c r="AM178" s="99">
        <v>17105</v>
      </c>
      <c r="AN178" s="45">
        <f>SUM(AF178:AM178)</f>
        <v>52106</v>
      </c>
      <c r="AO178" s="104">
        <f>+AE178-AN178</f>
        <v>790688</v>
      </c>
      <c r="AP178" s="101">
        <v>19000</v>
      </c>
      <c r="AQ178" s="105">
        <v>500</v>
      </c>
      <c r="AR178" s="101">
        <f>AP178-AQ178</f>
        <v>18500</v>
      </c>
      <c r="AS178" s="56">
        <v>0</v>
      </c>
      <c r="AT178" s="56">
        <v>0</v>
      </c>
      <c r="AU178" s="48">
        <f>+AN178+AQ178</f>
        <v>52606</v>
      </c>
      <c r="AV178" s="119">
        <f>AO178+AR178+AS178+AT178</f>
        <v>809188</v>
      </c>
      <c r="AW178" s="49">
        <f>O178-AX178</f>
        <v>0</v>
      </c>
      <c r="AX178" s="68">
        <v>749000</v>
      </c>
      <c r="AY178" s="106" t="str">
        <f>Q178</f>
        <v>SBI</v>
      </c>
      <c r="AZ178" s="107">
        <f>D178</f>
        <v>45471</v>
      </c>
      <c r="BA178" s="33">
        <v>45472</v>
      </c>
      <c r="BB178" s="68">
        <f>50000</f>
        <v>50000</v>
      </c>
      <c r="BC178" s="68">
        <f>5000+4500</f>
        <v>9500</v>
      </c>
      <c r="BD178" s="56">
        <v>0</v>
      </c>
      <c r="BE178" s="56">
        <v>0</v>
      </c>
      <c r="BF178" s="56">
        <v>0</v>
      </c>
      <c r="BG178" s="56">
        <v>0</v>
      </c>
      <c r="BH178" s="55">
        <f>+AV178-AX178-BB178-BC178-BF178+BG178</f>
        <v>688</v>
      </c>
      <c r="BI178" s="56" t="s">
        <v>109</v>
      </c>
      <c r="BJ178" s="56" t="s">
        <v>780</v>
      </c>
      <c r="BK178" s="19"/>
    </row>
    <row r="179" spans="1:63" ht="17.25" customHeight="1" x14ac:dyDescent="0.3">
      <c r="A179" s="30">
        <v>45444</v>
      </c>
      <c r="B179" s="31">
        <v>178</v>
      </c>
      <c r="C179" s="31">
        <v>54</v>
      </c>
      <c r="D179" s="33">
        <v>45471</v>
      </c>
      <c r="E179" s="34" t="s">
        <v>781</v>
      </c>
      <c r="F179" s="99">
        <v>9424803008</v>
      </c>
      <c r="G179" s="100">
        <f>D179</f>
        <v>45471</v>
      </c>
      <c r="H179" s="99" t="s">
        <v>782</v>
      </c>
      <c r="I179" s="68" t="s">
        <v>121</v>
      </c>
      <c r="J179" s="99" t="s">
        <v>89</v>
      </c>
      <c r="K179" s="99" t="s">
        <v>66</v>
      </c>
      <c r="L179" s="99">
        <v>7350370</v>
      </c>
      <c r="M179" s="99">
        <v>216022</v>
      </c>
      <c r="N179" s="99" t="s">
        <v>147</v>
      </c>
      <c r="O179" s="101">
        <v>800000</v>
      </c>
      <c r="P179" s="67" t="s">
        <v>68</v>
      </c>
      <c r="Q179" s="67" t="s">
        <v>90</v>
      </c>
      <c r="R179" s="68" t="s">
        <v>203</v>
      </c>
      <c r="S179" s="68" t="s">
        <v>147</v>
      </c>
      <c r="T179" s="68" t="s">
        <v>150</v>
      </c>
      <c r="U179" s="67" t="s">
        <v>151</v>
      </c>
      <c r="V179" s="102">
        <v>1219601</v>
      </c>
      <c r="W179" s="99">
        <v>20733</v>
      </c>
      <c r="X179" s="56">
        <v>0</v>
      </c>
      <c r="Y179" s="68">
        <v>885</v>
      </c>
      <c r="Z179" s="56">
        <v>500</v>
      </c>
      <c r="AA179" s="101">
        <v>127460</v>
      </c>
      <c r="AB179" s="101">
        <v>0</v>
      </c>
      <c r="AC179" s="101">
        <v>11494</v>
      </c>
      <c r="AD179" s="101">
        <v>34486</v>
      </c>
      <c r="AE179" s="103">
        <f>SUM(V179:AD179)</f>
        <v>1415159</v>
      </c>
      <c r="AF179" s="99">
        <v>0</v>
      </c>
      <c r="AG179" s="99">
        <v>30000</v>
      </c>
      <c r="AH179" s="99">
        <v>30000</v>
      </c>
      <c r="AI179" s="99">
        <v>1</v>
      </c>
      <c r="AJ179" s="99">
        <v>0</v>
      </c>
      <c r="AK179" s="99">
        <v>0</v>
      </c>
      <c r="AL179" s="99">
        <v>0</v>
      </c>
      <c r="AM179" s="99">
        <v>10158</v>
      </c>
      <c r="AN179" s="45">
        <f>SUM(AF179:AM179)</f>
        <v>70159</v>
      </c>
      <c r="AO179" s="104">
        <f>+AE179-AN179</f>
        <v>1345000</v>
      </c>
      <c r="AP179" s="101">
        <v>0</v>
      </c>
      <c r="AQ179" s="105">
        <v>0</v>
      </c>
      <c r="AR179" s="101">
        <f>AP179-AQ179</f>
        <v>0</v>
      </c>
      <c r="AS179" s="56">
        <v>0</v>
      </c>
      <c r="AT179" s="56">
        <v>0</v>
      </c>
      <c r="AU179" s="48">
        <f>+AN179+AQ179</f>
        <v>70159</v>
      </c>
      <c r="AV179" s="119">
        <f>AO179+AR179+AS179+AT179</f>
        <v>1345000</v>
      </c>
      <c r="AW179" s="49">
        <f>O179-AX179</f>
        <v>-190000</v>
      </c>
      <c r="AX179" s="68">
        <v>990000</v>
      </c>
      <c r="AY179" s="106" t="str">
        <f>Q179</f>
        <v>MPGB</v>
      </c>
      <c r="AZ179" s="107">
        <f>D179</f>
        <v>45471</v>
      </c>
      <c r="BA179" s="33">
        <v>45471</v>
      </c>
      <c r="BB179" s="68">
        <v>0</v>
      </c>
      <c r="BC179" s="68">
        <f>5000</f>
        <v>5000</v>
      </c>
      <c r="BD179" s="56" t="s">
        <v>783</v>
      </c>
      <c r="BE179" s="56" t="s">
        <v>784</v>
      </c>
      <c r="BF179" s="56">
        <v>350000</v>
      </c>
      <c r="BG179" s="56">
        <v>0</v>
      </c>
      <c r="BH179" s="55">
        <f>+AV179-AX179-BB179-BC179-BF179+BG179</f>
        <v>0</v>
      </c>
      <c r="BI179" s="56" t="s">
        <v>109</v>
      </c>
      <c r="BJ179" s="56"/>
      <c r="BK179" s="19"/>
    </row>
    <row r="180" spans="1:63" ht="17.25" customHeight="1" x14ac:dyDescent="0.3">
      <c r="A180" s="30">
        <v>45444</v>
      </c>
      <c r="B180" s="31">
        <v>179</v>
      </c>
      <c r="C180" s="31">
        <v>55</v>
      </c>
      <c r="D180" s="33">
        <v>45472</v>
      </c>
      <c r="E180" s="34" t="s">
        <v>785</v>
      </c>
      <c r="F180" s="99">
        <v>9575112336</v>
      </c>
      <c r="G180" s="100">
        <f>D180</f>
        <v>45472</v>
      </c>
      <c r="H180" s="99" t="s">
        <v>786</v>
      </c>
      <c r="I180" s="68" t="s">
        <v>78</v>
      </c>
      <c r="J180" s="99" t="s">
        <v>65</v>
      </c>
      <c r="K180" s="99" t="s">
        <v>97</v>
      </c>
      <c r="L180" s="99">
        <v>7520078</v>
      </c>
      <c r="M180" s="99">
        <v>289140</v>
      </c>
      <c r="N180" s="99" t="s">
        <v>67</v>
      </c>
      <c r="O180" s="101">
        <v>765000</v>
      </c>
      <c r="P180" s="67" t="s">
        <v>81</v>
      </c>
      <c r="Q180" s="67" t="s">
        <v>254</v>
      </c>
      <c r="R180" s="68" t="s">
        <v>67</v>
      </c>
      <c r="S180" s="68" t="s">
        <v>67</v>
      </c>
      <c r="T180" s="68" t="s">
        <v>70</v>
      </c>
      <c r="U180" s="67" t="s">
        <v>234</v>
      </c>
      <c r="V180" s="102">
        <v>751242</v>
      </c>
      <c r="W180" s="99">
        <v>0</v>
      </c>
      <c r="X180" s="56">
        <v>0</v>
      </c>
      <c r="Y180" s="68">
        <v>885</v>
      </c>
      <c r="Z180" s="56">
        <v>500</v>
      </c>
      <c r="AA180" s="101">
        <v>65599</v>
      </c>
      <c r="AB180" s="101">
        <v>0</v>
      </c>
      <c r="AC180" s="101">
        <v>0</v>
      </c>
      <c r="AD180" s="101">
        <v>24923</v>
      </c>
      <c r="AE180" s="103">
        <f>SUM(V180:AD180)</f>
        <v>843149</v>
      </c>
      <c r="AF180" s="99">
        <v>0</v>
      </c>
      <c r="AG180" s="99">
        <v>22500</v>
      </c>
      <c r="AH180" s="99">
        <v>0</v>
      </c>
      <c r="AI180" s="99">
        <v>1</v>
      </c>
      <c r="AJ180" s="99">
        <v>0</v>
      </c>
      <c r="AK180" s="99">
        <v>0</v>
      </c>
      <c r="AL180" s="99">
        <v>0</v>
      </c>
      <c r="AM180" s="99">
        <v>30148</v>
      </c>
      <c r="AN180" s="45">
        <f>SUM(AF180:AM180)</f>
        <v>52649</v>
      </c>
      <c r="AO180" s="104">
        <f>+AE180-AN180</f>
        <v>790500</v>
      </c>
      <c r="AP180" s="101">
        <v>39220</v>
      </c>
      <c r="AQ180" s="105">
        <v>220</v>
      </c>
      <c r="AR180" s="101">
        <f>AP180-AQ180</f>
        <v>39000</v>
      </c>
      <c r="AS180" s="56">
        <v>0</v>
      </c>
      <c r="AT180" s="56">
        <v>0</v>
      </c>
      <c r="AU180" s="48">
        <f>+AN180+AQ180</f>
        <v>52869</v>
      </c>
      <c r="AV180" s="119">
        <f>AO180+AR180+AS180+AT180</f>
        <v>829500</v>
      </c>
      <c r="AW180" s="49">
        <f>O180-AX180</f>
        <v>0</v>
      </c>
      <c r="AX180" s="68">
        <v>765000</v>
      </c>
      <c r="AY180" s="106" t="str">
        <f>Q180</f>
        <v>BANK OF BARODA</v>
      </c>
      <c r="AZ180" s="107">
        <f>D180</f>
        <v>45472</v>
      </c>
      <c r="BA180" s="33">
        <v>45471</v>
      </c>
      <c r="BB180" s="68">
        <v>0</v>
      </c>
      <c r="BC180" s="68">
        <f>11000</f>
        <v>11000</v>
      </c>
      <c r="BD180" s="56">
        <v>0</v>
      </c>
      <c r="BE180" s="56">
        <v>0</v>
      </c>
      <c r="BF180" s="56">
        <v>0</v>
      </c>
      <c r="BG180" s="56">
        <v>0</v>
      </c>
      <c r="BH180" s="55">
        <f>+AV180-AX180-BB180-BC180-BF180+BG180</f>
        <v>53500</v>
      </c>
      <c r="BI180" s="56" t="s">
        <v>753</v>
      </c>
      <c r="BJ180" s="56"/>
      <c r="BK180" s="19"/>
    </row>
    <row r="181" spans="1:63" ht="17.25" customHeight="1" x14ac:dyDescent="0.3">
      <c r="A181" s="30">
        <v>45444</v>
      </c>
      <c r="B181" s="31">
        <v>180</v>
      </c>
      <c r="C181" s="32">
        <v>56</v>
      </c>
      <c r="D181" s="33">
        <v>45471</v>
      </c>
      <c r="E181" s="34" t="s">
        <v>787</v>
      </c>
      <c r="F181" s="99">
        <v>8349050086</v>
      </c>
      <c r="G181" s="100">
        <f>D181</f>
        <v>45471</v>
      </c>
      <c r="H181" s="99" t="s">
        <v>788</v>
      </c>
      <c r="I181" s="68" t="s">
        <v>121</v>
      </c>
      <c r="J181" s="99" t="s">
        <v>89</v>
      </c>
      <c r="K181" s="99" t="s">
        <v>66</v>
      </c>
      <c r="L181" s="99">
        <v>7398161</v>
      </c>
      <c r="M181" s="99">
        <v>230473</v>
      </c>
      <c r="N181" s="99" t="s">
        <v>105</v>
      </c>
      <c r="O181" s="101">
        <v>1195000</v>
      </c>
      <c r="P181" s="67" t="s">
        <v>68</v>
      </c>
      <c r="Q181" s="67" t="s">
        <v>122</v>
      </c>
      <c r="R181" s="68" t="s">
        <v>749</v>
      </c>
      <c r="S181" s="68" t="s">
        <v>105</v>
      </c>
      <c r="T181" s="68" t="s">
        <v>107</v>
      </c>
      <c r="U181" s="67" t="s">
        <v>359</v>
      </c>
      <c r="V181" s="102">
        <v>1219601</v>
      </c>
      <c r="W181" s="99">
        <v>20733</v>
      </c>
      <c r="X181" s="56">
        <v>7882</v>
      </c>
      <c r="Y181" s="68">
        <v>885</v>
      </c>
      <c r="Z181" s="56">
        <v>500</v>
      </c>
      <c r="AA181" s="101">
        <v>127460</v>
      </c>
      <c r="AB181" s="101">
        <v>0</v>
      </c>
      <c r="AC181" s="101">
        <v>11508</v>
      </c>
      <c r="AD181" s="101">
        <v>34762</v>
      </c>
      <c r="AE181" s="103">
        <f>SUM(V181:AD181)</f>
        <v>1423331</v>
      </c>
      <c r="AF181" s="99">
        <v>0</v>
      </c>
      <c r="AG181" s="99">
        <v>30000</v>
      </c>
      <c r="AH181" s="99">
        <v>30000</v>
      </c>
      <c r="AI181" s="99">
        <v>4000</v>
      </c>
      <c r="AJ181" s="99">
        <v>0</v>
      </c>
      <c r="AK181" s="99">
        <v>0</v>
      </c>
      <c r="AL181" s="99">
        <v>0</v>
      </c>
      <c r="AM181" s="99">
        <v>4821</v>
      </c>
      <c r="AN181" s="45">
        <f>SUM(AF181:AM181)</f>
        <v>68821</v>
      </c>
      <c r="AO181" s="104">
        <f>+AE181-AN181</f>
        <v>1354510</v>
      </c>
      <c r="AP181" s="101">
        <v>20300</v>
      </c>
      <c r="AQ181" s="105">
        <v>810</v>
      </c>
      <c r="AR181" s="101">
        <f>AP181-AQ181</f>
        <v>19490</v>
      </c>
      <c r="AS181" s="56">
        <v>0</v>
      </c>
      <c r="AT181" s="56">
        <v>0</v>
      </c>
      <c r="AU181" s="48">
        <f>+AN181+AQ181</f>
        <v>69631</v>
      </c>
      <c r="AV181" s="119">
        <f>AO181+AR181+AS181+AT181</f>
        <v>1374000</v>
      </c>
      <c r="AW181" s="49">
        <f>O181-AX181</f>
        <v>-83055</v>
      </c>
      <c r="AX181" s="68">
        <v>1278055</v>
      </c>
      <c r="AY181" s="106" t="str">
        <f>Q181</f>
        <v>BOI</v>
      </c>
      <c r="AZ181" s="107">
        <f>D181</f>
        <v>45471</v>
      </c>
      <c r="BA181" s="33">
        <v>45472</v>
      </c>
      <c r="BB181" s="68">
        <v>0</v>
      </c>
      <c r="BC181" s="68">
        <f>10000</f>
        <v>10000</v>
      </c>
      <c r="BD181" s="56" t="s">
        <v>669</v>
      </c>
      <c r="BE181" s="56" t="s">
        <v>789</v>
      </c>
      <c r="BF181" s="56">
        <v>75000</v>
      </c>
      <c r="BG181" s="56">
        <v>0</v>
      </c>
      <c r="BH181" s="55">
        <f>+AV181-AX181-BB181-BC181-BF181+BG181</f>
        <v>10945</v>
      </c>
      <c r="BI181" s="56" t="s">
        <v>753</v>
      </c>
      <c r="BJ181" s="56"/>
      <c r="BK181" s="19"/>
    </row>
    <row r="182" spans="1:63" ht="17.25" customHeight="1" x14ac:dyDescent="0.3">
      <c r="A182" s="30">
        <v>45444</v>
      </c>
      <c r="B182" s="31">
        <v>181</v>
      </c>
      <c r="C182" s="31">
        <v>57</v>
      </c>
      <c r="D182" s="33">
        <v>45472</v>
      </c>
      <c r="E182" s="34" t="s">
        <v>790</v>
      </c>
      <c r="F182" s="99">
        <v>9826038406</v>
      </c>
      <c r="G182" s="100">
        <v>45480</v>
      </c>
      <c r="H182" s="99" t="s">
        <v>791</v>
      </c>
      <c r="I182" s="68" t="s">
        <v>78</v>
      </c>
      <c r="J182" s="99" t="s">
        <v>792</v>
      </c>
      <c r="K182" s="99" t="s">
        <v>66</v>
      </c>
      <c r="L182" s="99">
        <v>7014599</v>
      </c>
      <c r="M182" s="99">
        <v>288486</v>
      </c>
      <c r="N182" s="99" t="s">
        <v>147</v>
      </c>
      <c r="O182" s="101">
        <v>800000</v>
      </c>
      <c r="P182" s="67" t="s">
        <v>68</v>
      </c>
      <c r="Q182" s="67" t="s">
        <v>122</v>
      </c>
      <c r="R182" s="68" t="s">
        <v>147</v>
      </c>
      <c r="S182" s="68" t="s">
        <v>147</v>
      </c>
      <c r="T182" s="68" t="s">
        <v>150</v>
      </c>
      <c r="U182" s="67" t="s">
        <v>332</v>
      </c>
      <c r="V182" s="102">
        <v>972242</v>
      </c>
      <c r="W182" s="99">
        <v>16532</v>
      </c>
      <c r="X182" s="56">
        <v>0</v>
      </c>
      <c r="Y182" s="68">
        <v>885</v>
      </c>
      <c r="Z182" s="56">
        <v>500</v>
      </c>
      <c r="AA182" s="101">
        <v>83279</v>
      </c>
      <c r="AB182" s="101">
        <v>0</v>
      </c>
      <c r="AC182" s="101">
        <v>0</v>
      </c>
      <c r="AD182" s="101">
        <v>25261</v>
      </c>
      <c r="AE182" s="103">
        <f>SUM(V182:AD182)</f>
        <v>1098699</v>
      </c>
      <c r="AF182" s="99">
        <v>0</v>
      </c>
      <c r="AG182" s="99">
        <f>35000+30000</f>
        <v>65000</v>
      </c>
      <c r="AH182" s="99">
        <v>0</v>
      </c>
      <c r="AI182" s="99">
        <v>2000</v>
      </c>
      <c r="AJ182" s="99">
        <v>0</v>
      </c>
      <c r="AK182" s="99">
        <v>0</v>
      </c>
      <c r="AL182" s="99">
        <v>0</v>
      </c>
      <c r="AM182" s="99">
        <v>26499</v>
      </c>
      <c r="AN182" s="45">
        <f>SUM(AF182:AM182)</f>
        <v>93499</v>
      </c>
      <c r="AO182" s="104">
        <f>+AE182-AN182</f>
        <v>1005200</v>
      </c>
      <c r="AP182" s="101">
        <v>30000</v>
      </c>
      <c r="AQ182" s="105">
        <v>200</v>
      </c>
      <c r="AR182" s="101">
        <f>AP182-AQ182</f>
        <v>29800</v>
      </c>
      <c r="AS182" s="56">
        <v>0</v>
      </c>
      <c r="AT182" s="56">
        <v>0</v>
      </c>
      <c r="AU182" s="48">
        <f>+AN182+AQ182</f>
        <v>93699</v>
      </c>
      <c r="AV182" s="119">
        <f>AO182+AR182+AS182+AT182</f>
        <v>1035000</v>
      </c>
      <c r="AW182" s="49">
        <f>O182-AX182</f>
        <v>0</v>
      </c>
      <c r="AX182" s="68">
        <v>800000</v>
      </c>
      <c r="AY182" s="106" t="str">
        <f>Q182</f>
        <v>BOI</v>
      </c>
      <c r="AZ182" s="107">
        <f>D182</f>
        <v>45472</v>
      </c>
      <c r="BA182" s="33"/>
      <c r="BB182" s="68">
        <v>0</v>
      </c>
      <c r="BC182" s="68">
        <f>11000</f>
        <v>11000</v>
      </c>
      <c r="BD182" s="56">
        <v>0</v>
      </c>
      <c r="BE182" s="56">
        <v>0</v>
      </c>
      <c r="BF182" s="56">
        <v>0</v>
      </c>
      <c r="BG182" s="56">
        <v>0</v>
      </c>
      <c r="BH182" s="55">
        <f>+AV182-AX182-BB182-BC182-BF182+BG182</f>
        <v>224000</v>
      </c>
      <c r="BI182" s="56"/>
      <c r="BJ182" s="56"/>
      <c r="BK182" s="19"/>
    </row>
    <row r="183" spans="1:63" ht="17.25" customHeight="1" x14ac:dyDescent="0.3">
      <c r="A183" s="30">
        <v>45444</v>
      </c>
      <c r="B183" s="31">
        <v>182</v>
      </c>
      <c r="C183" s="31">
        <v>58</v>
      </c>
      <c r="D183" s="33">
        <v>45472</v>
      </c>
      <c r="E183" s="34" t="s">
        <v>793</v>
      </c>
      <c r="F183" s="99">
        <v>9893237567</v>
      </c>
      <c r="G183" s="100">
        <f>D183</f>
        <v>45472</v>
      </c>
      <c r="H183" s="99" t="s">
        <v>794</v>
      </c>
      <c r="I183" s="68" t="s">
        <v>162</v>
      </c>
      <c r="J183" s="99" t="s">
        <v>135</v>
      </c>
      <c r="K183" s="99" t="s">
        <v>66</v>
      </c>
      <c r="L183" s="99">
        <v>9511794</v>
      </c>
      <c r="M183" s="99">
        <v>379705</v>
      </c>
      <c r="N183" s="99" t="s">
        <v>147</v>
      </c>
      <c r="O183" s="101">
        <v>1400000</v>
      </c>
      <c r="P183" s="67" t="s">
        <v>68</v>
      </c>
      <c r="Q183" s="67" t="s">
        <v>90</v>
      </c>
      <c r="R183" s="68" t="s">
        <v>795</v>
      </c>
      <c r="S183" s="68" t="s">
        <v>147</v>
      </c>
      <c r="T183" s="68" t="s">
        <v>150</v>
      </c>
      <c r="U183" s="67" t="s">
        <v>151</v>
      </c>
      <c r="V183" s="102">
        <v>1256000</v>
      </c>
      <c r="W183" s="99">
        <v>0</v>
      </c>
      <c r="X183" s="56">
        <v>0</v>
      </c>
      <c r="Y183" s="68">
        <v>885</v>
      </c>
      <c r="Z183" s="56">
        <v>500</v>
      </c>
      <c r="AA183" s="101">
        <v>131100</v>
      </c>
      <c r="AB183" s="101">
        <v>0</v>
      </c>
      <c r="AC183" s="101">
        <v>12179</v>
      </c>
      <c r="AD183" s="101">
        <v>35949</v>
      </c>
      <c r="AE183" s="103">
        <f>SUM(V183:AD183)</f>
        <v>1436613</v>
      </c>
      <c r="AF183" s="99">
        <v>0</v>
      </c>
      <c r="AG183" s="99">
        <v>15000</v>
      </c>
      <c r="AH183" s="99">
        <v>10000</v>
      </c>
      <c r="AI183" s="99">
        <v>1</v>
      </c>
      <c r="AJ183" s="99">
        <v>0</v>
      </c>
      <c r="AK183" s="99">
        <v>0</v>
      </c>
      <c r="AL183" s="99">
        <v>0</v>
      </c>
      <c r="AM183" s="99">
        <v>13093</v>
      </c>
      <c r="AN183" s="45">
        <f>SUM(AF183:AM183)</f>
        <v>38094</v>
      </c>
      <c r="AO183" s="104">
        <f>+AE183-AN183</f>
        <v>1398519</v>
      </c>
      <c r="AP183" s="101">
        <v>40100</v>
      </c>
      <c r="AQ183" s="105">
        <v>119</v>
      </c>
      <c r="AR183" s="101">
        <f>AP183-AQ183</f>
        <v>39981</v>
      </c>
      <c r="AS183" s="56">
        <v>0</v>
      </c>
      <c r="AT183" s="56">
        <v>0</v>
      </c>
      <c r="AU183" s="48">
        <f>+AN183+AQ183</f>
        <v>38213</v>
      </c>
      <c r="AV183" s="119">
        <f>AO183+AR183+AS183+AT183</f>
        <v>1438500</v>
      </c>
      <c r="AW183" s="49">
        <f>O183-AX183</f>
        <v>0</v>
      </c>
      <c r="AX183" s="68">
        <v>1400000</v>
      </c>
      <c r="AY183" s="106" t="str">
        <f>Q183</f>
        <v>MPGB</v>
      </c>
      <c r="AZ183" s="107">
        <f>D183</f>
        <v>45472</v>
      </c>
      <c r="BA183" s="33">
        <v>45472</v>
      </c>
      <c r="BB183" s="68">
        <f>6000+32500</f>
        <v>38500</v>
      </c>
      <c r="BC183" s="68">
        <v>0</v>
      </c>
      <c r="BD183" s="56" t="s">
        <v>354</v>
      </c>
      <c r="BE183" s="56" t="s">
        <v>796</v>
      </c>
      <c r="BF183" s="56">
        <v>0</v>
      </c>
      <c r="BG183" s="56">
        <v>0</v>
      </c>
      <c r="BH183" s="55">
        <f>+AV183-AX183-BB183-BC183-BF183+BG183</f>
        <v>0</v>
      </c>
      <c r="BI183" s="56" t="s">
        <v>797</v>
      </c>
      <c r="BJ183" s="56"/>
      <c r="BK183" s="19"/>
    </row>
    <row r="184" spans="1:63" ht="17.25" customHeight="1" x14ac:dyDescent="0.3">
      <c r="A184" s="30">
        <v>45444</v>
      </c>
      <c r="B184" s="31">
        <v>183</v>
      </c>
      <c r="C184" s="31">
        <v>59</v>
      </c>
      <c r="D184" s="33">
        <v>45472</v>
      </c>
      <c r="E184" s="34" t="s">
        <v>798</v>
      </c>
      <c r="F184" s="99">
        <v>9039919398</v>
      </c>
      <c r="G184" s="100">
        <v>45475</v>
      </c>
      <c r="H184" s="99" t="s">
        <v>799</v>
      </c>
      <c r="I184" s="68" t="s">
        <v>121</v>
      </c>
      <c r="J184" s="99" t="s">
        <v>113</v>
      </c>
      <c r="K184" s="99" t="s">
        <v>97</v>
      </c>
      <c r="L184" s="99">
        <v>7395411</v>
      </c>
      <c r="M184" s="99">
        <v>228911</v>
      </c>
      <c r="N184" s="99" t="s">
        <v>67</v>
      </c>
      <c r="O184" s="101">
        <v>800000</v>
      </c>
      <c r="P184" s="110" t="s">
        <v>81</v>
      </c>
      <c r="Q184" s="110" t="s">
        <v>122</v>
      </c>
      <c r="R184" s="111" t="s">
        <v>800</v>
      </c>
      <c r="S184" s="68" t="s">
        <v>67</v>
      </c>
      <c r="T184" s="68" t="s">
        <v>115</v>
      </c>
      <c r="U184" s="67" t="s">
        <v>116</v>
      </c>
      <c r="V184" s="102">
        <v>1400601</v>
      </c>
      <c r="W184" s="99">
        <v>0</v>
      </c>
      <c r="X184" s="56">
        <v>0</v>
      </c>
      <c r="Y184" s="68">
        <v>885</v>
      </c>
      <c r="Z184" s="56">
        <v>0</v>
      </c>
      <c r="AA184" s="101">
        <v>145560</v>
      </c>
      <c r="AB184" s="101">
        <v>0</v>
      </c>
      <c r="AC184" s="101">
        <v>12944</v>
      </c>
      <c r="AD184" s="101">
        <v>36178</v>
      </c>
      <c r="AE184" s="103">
        <f>SUM(V184:AD184)</f>
        <v>1596168</v>
      </c>
      <c r="AF184" s="99">
        <v>0</v>
      </c>
      <c r="AG184" s="99">
        <v>30000</v>
      </c>
      <c r="AH184" s="99">
        <v>30000</v>
      </c>
      <c r="AI184" s="99">
        <v>1</v>
      </c>
      <c r="AJ184" s="99">
        <v>0</v>
      </c>
      <c r="AK184" s="99">
        <v>0</v>
      </c>
      <c r="AL184" s="99">
        <v>0</v>
      </c>
      <c r="AM184" s="99">
        <v>46167</v>
      </c>
      <c r="AN184" s="45">
        <f>SUM(AF184:AM184)</f>
        <v>106168</v>
      </c>
      <c r="AO184" s="104">
        <f>+AE184-AN184</f>
        <v>1490000</v>
      </c>
      <c r="AP184" s="101">
        <v>0</v>
      </c>
      <c r="AQ184" s="105">
        <v>0</v>
      </c>
      <c r="AR184" s="101">
        <f>AP184-AQ184</f>
        <v>0</v>
      </c>
      <c r="AS184" s="56">
        <v>0</v>
      </c>
      <c r="AT184" s="56">
        <v>0</v>
      </c>
      <c r="AU184" s="48">
        <f>+AN184+AQ184</f>
        <v>106168</v>
      </c>
      <c r="AV184" s="119">
        <f>AO184+AR184+AS184+AT184</f>
        <v>1490000</v>
      </c>
      <c r="AW184" s="49">
        <f>O184-AX184</f>
        <v>0</v>
      </c>
      <c r="AX184" s="68">
        <v>800000</v>
      </c>
      <c r="AY184" s="106" t="str">
        <f>Q184</f>
        <v>BOI</v>
      </c>
      <c r="AZ184" s="107">
        <f>D184</f>
        <v>45472</v>
      </c>
      <c r="BA184" s="33"/>
      <c r="BB184" s="68">
        <v>0</v>
      </c>
      <c r="BC184" s="68">
        <f>625000+5100</f>
        <v>630100</v>
      </c>
      <c r="BD184" s="56" t="s">
        <v>801</v>
      </c>
      <c r="BE184" s="56" t="s">
        <v>802</v>
      </c>
      <c r="BF184" s="56">
        <v>60000</v>
      </c>
      <c r="BG184" s="56">
        <v>0</v>
      </c>
      <c r="BH184" s="55">
        <f>+AV184-AX184-BB184-BC184-BF184+BG184</f>
        <v>-100</v>
      </c>
      <c r="BI184" s="56"/>
      <c r="BJ184" s="56"/>
      <c r="BK184" s="19"/>
    </row>
    <row r="185" spans="1:63" ht="17.25" x14ac:dyDescent="0.3">
      <c r="A185" s="30">
        <v>45444</v>
      </c>
      <c r="B185" s="31">
        <v>185</v>
      </c>
      <c r="C185" s="31">
        <v>60</v>
      </c>
      <c r="D185" s="33">
        <v>45473</v>
      </c>
      <c r="E185" s="34" t="s">
        <v>803</v>
      </c>
      <c r="F185" s="99">
        <v>9425326831</v>
      </c>
      <c r="G185" s="100">
        <v>45480</v>
      </c>
      <c r="H185" s="99" t="s">
        <v>804</v>
      </c>
      <c r="I185" s="68" t="s">
        <v>78</v>
      </c>
      <c r="J185" s="99" t="s">
        <v>324</v>
      </c>
      <c r="K185" s="99" t="s">
        <v>66</v>
      </c>
      <c r="L185" s="99">
        <v>7467324</v>
      </c>
      <c r="M185" s="99">
        <v>240583</v>
      </c>
      <c r="N185" s="99" t="s">
        <v>67</v>
      </c>
      <c r="O185" s="101">
        <v>700000</v>
      </c>
      <c r="P185" s="67" t="s">
        <v>68</v>
      </c>
      <c r="Q185" s="67" t="s">
        <v>122</v>
      </c>
      <c r="R185" s="68" t="s">
        <v>233</v>
      </c>
      <c r="S185" s="68" t="s">
        <v>67</v>
      </c>
      <c r="T185" s="68" t="s">
        <v>115</v>
      </c>
      <c r="U185" s="67" t="s">
        <v>116</v>
      </c>
      <c r="V185" s="102">
        <v>877242</v>
      </c>
      <c r="W185" s="99">
        <v>14915</v>
      </c>
      <c r="X185" s="56">
        <v>0</v>
      </c>
      <c r="Y185" s="68">
        <v>885</v>
      </c>
      <c r="Z185" s="56">
        <v>500</v>
      </c>
      <c r="AA185" s="101">
        <v>75679</v>
      </c>
      <c r="AB185" s="101">
        <v>0</v>
      </c>
      <c r="AC185" s="101">
        <v>0</v>
      </c>
      <c r="AD185" s="101">
        <v>28670</v>
      </c>
      <c r="AE185" s="103">
        <f>SUM(V185:AD185)</f>
        <v>997891</v>
      </c>
      <c r="AF185" s="99">
        <v>0</v>
      </c>
      <c r="AG185" s="99">
        <v>20500</v>
      </c>
      <c r="AH185" s="99">
        <v>0</v>
      </c>
      <c r="AI185" s="99">
        <v>1</v>
      </c>
      <c r="AJ185" s="99">
        <v>0</v>
      </c>
      <c r="AK185" s="99">
        <v>0</v>
      </c>
      <c r="AL185" s="99">
        <v>0</v>
      </c>
      <c r="AM185" s="99">
        <v>42390</v>
      </c>
      <c r="AN185" s="45">
        <f>SUM(AF185:AM185)</f>
        <v>62891</v>
      </c>
      <c r="AO185" s="104">
        <f>+AE185-AN185</f>
        <v>935000</v>
      </c>
      <c r="AP185" s="101">
        <v>32000</v>
      </c>
      <c r="AQ185" s="105">
        <v>2000</v>
      </c>
      <c r="AR185" s="101">
        <f>AP185-AQ185</f>
        <v>30000</v>
      </c>
      <c r="AS185" s="56">
        <v>0</v>
      </c>
      <c r="AT185" s="56">
        <v>0</v>
      </c>
      <c r="AU185" s="48">
        <f>+AN185+AQ185</f>
        <v>64891</v>
      </c>
      <c r="AV185" s="119">
        <f>AO185+AR185+AS185+AT185</f>
        <v>965000</v>
      </c>
      <c r="AW185" s="49">
        <f>O185-AX185</f>
        <v>700000</v>
      </c>
      <c r="AX185" s="68">
        <v>0</v>
      </c>
      <c r="AY185" s="106" t="str">
        <f>Q185</f>
        <v>BOI</v>
      </c>
      <c r="AZ185" s="107">
        <f>D185</f>
        <v>45473</v>
      </c>
      <c r="BA185" s="33"/>
      <c r="BB185" s="68">
        <f>11100</f>
        <v>11100</v>
      </c>
      <c r="BC185" s="68">
        <f>50000</f>
        <v>50000</v>
      </c>
      <c r="BD185" s="56">
        <v>0</v>
      </c>
      <c r="BE185" s="56">
        <v>0</v>
      </c>
      <c r="BF185" s="56">
        <v>0</v>
      </c>
      <c r="BG185" s="56">
        <v>0</v>
      </c>
      <c r="BH185" s="55">
        <f>+AV185-AX185-BB185-BC185-BF185+BG185</f>
        <v>903900</v>
      </c>
      <c r="BI185" s="56"/>
      <c r="BJ185" s="56"/>
      <c r="BK185" s="19"/>
    </row>
    <row r="186" spans="1:63" ht="17.25" customHeight="1" x14ac:dyDescent="0.3">
      <c r="A186" s="30">
        <v>45444</v>
      </c>
      <c r="B186" s="31">
        <v>186</v>
      </c>
      <c r="C186" s="31">
        <v>61</v>
      </c>
      <c r="D186" s="33">
        <v>45473</v>
      </c>
      <c r="E186" s="34" t="s">
        <v>805</v>
      </c>
      <c r="F186" s="99">
        <v>9981112747</v>
      </c>
      <c r="G186" s="100">
        <v>45475</v>
      </c>
      <c r="H186" s="99" t="s">
        <v>806</v>
      </c>
      <c r="I186" s="68" t="s">
        <v>78</v>
      </c>
      <c r="J186" s="99" t="s">
        <v>324</v>
      </c>
      <c r="K186" s="99" t="s">
        <v>66</v>
      </c>
      <c r="L186" s="99">
        <v>7455738</v>
      </c>
      <c r="M186" s="99">
        <v>231357</v>
      </c>
      <c r="N186" s="99" t="s">
        <v>80</v>
      </c>
      <c r="O186" s="101">
        <v>840000</v>
      </c>
      <c r="P186" s="67" t="s">
        <v>68</v>
      </c>
      <c r="Q186" s="67" t="s">
        <v>136</v>
      </c>
      <c r="R186" s="68" t="s">
        <v>80</v>
      </c>
      <c r="S186" s="68" t="s">
        <v>80</v>
      </c>
      <c r="T186" s="68" t="s">
        <v>84</v>
      </c>
      <c r="U186" s="67" t="s">
        <v>92</v>
      </c>
      <c r="V186" s="102">
        <v>877242</v>
      </c>
      <c r="W186" s="99">
        <v>0</v>
      </c>
      <c r="X186" s="56">
        <v>0</v>
      </c>
      <c r="Y186" s="68">
        <v>885</v>
      </c>
      <c r="Z186" s="56">
        <v>0</v>
      </c>
      <c r="AA186" s="101">
        <v>75679</v>
      </c>
      <c r="AB186" s="101">
        <v>0</v>
      </c>
      <c r="AC186" s="101">
        <v>0</v>
      </c>
      <c r="AD186" s="101">
        <v>28965</v>
      </c>
      <c r="AE186" s="103">
        <f>SUM(V186:AD186)</f>
        <v>982771</v>
      </c>
      <c r="AF186" s="99">
        <v>0</v>
      </c>
      <c r="AG186" s="99">
        <v>20500</v>
      </c>
      <c r="AH186" s="99">
        <v>10000</v>
      </c>
      <c r="AI186" s="99">
        <v>1</v>
      </c>
      <c r="AJ186" s="99">
        <v>0</v>
      </c>
      <c r="AK186" s="99">
        <v>0</v>
      </c>
      <c r="AL186" s="99">
        <v>0</v>
      </c>
      <c r="AM186" s="99">
        <v>26870</v>
      </c>
      <c r="AN186" s="45">
        <f>SUM(AF186:AM186)</f>
        <v>57371</v>
      </c>
      <c r="AO186" s="104">
        <f>+AE186-AN186</f>
        <v>925400</v>
      </c>
      <c r="AP186" s="101">
        <v>25000</v>
      </c>
      <c r="AQ186" s="105">
        <v>400</v>
      </c>
      <c r="AR186" s="101">
        <f>AP186-AQ186</f>
        <v>24600</v>
      </c>
      <c r="AS186" s="56">
        <v>0</v>
      </c>
      <c r="AT186" s="56">
        <v>0</v>
      </c>
      <c r="AU186" s="48">
        <f>+AN186+AQ186</f>
        <v>57771</v>
      </c>
      <c r="AV186" s="119">
        <f>AO186+AR186+AS186+AT186</f>
        <v>950000</v>
      </c>
      <c r="AW186" s="49">
        <f>O186-AX186</f>
        <v>840000</v>
      </c>
      <c r="AX186" s="68">
        <v>0</v>
      </c>
      <c r="AY186" s="106" t="str">
        <f>Q186</f>
        <v>CHOLA</v>
      </c>
      <c r="AZ186" s="107">
        <f>D186</f>
        <v>45473</v>
      </c>
      <c r="BA186" s="33"/>
      <c r="BB186" s="68">
        <v>0</v>
      </c>
      <c r="BC186" s="68">
        <v>0</v>
      </c>
      <c r="BD186" s="56" t="s">
        <v>807</v>
      </c>
      <c r="BE186" s="56" t="s">
        <v>808</v>
      </c>
      <c r="BF186" s="56">
        <v>360000</v>
      </c>
      <c r="BG186" s="56">
        <v>270000</v>
      </c>
      <c r="BH186" s="55">
        <f>+AV186-AX186-BB186-BC186-BF186+BG186</f>
        <v>860000</v>
      </c>
      <c r="BI186" s="56"/>
      <c r="BJ186" s="56"/>
      <c r="BK186" s="19"/>
    </row>
    <row r="187" spans="1:63" ht="17.25" customHeight="1" x14ac:dyDescent="0.3">
      <c r="A187" s="30">
        <v>45444</v>
      </c>
      <c r="B187" s="31">
        <v>187</v>
      </c>
      <c r="C187" s="31">
        <v>62</v>
      </c>
      <c r="D187" s="33">
        <v>45473</v>
      </c>
      <c r="E187" s="34" t="s">
        <v>809</v>
      </c>
      <c r="F187" s="99">
        <v>9399936468</v>
      </c>
      <c r="G187" s="100">
        <f>D187</f>
        <v>45473</v>
      </c>
      <c r="H187" s="99" t="s">
        <v>810</v>
      </c>
      <c r="I187" s="68" t="s">
        <v>64</v>
      </c>
      <c r="J187" s="99" t="s">
        <v>65</v>
      </c>
      <c r="K187" s="99" t="s">
        <v>199</v>
      </c>
      <c r="L187" s="99">
        <v>4475761</v>
      </c>
      <c r="M187" s="99">
        <v>762038</v>
      </c>
      <c r="N187" s="99" t="s">
        <v>105</v>
      </c>
      <c r="O187" s="101">
        <v>600000</v>
      </c>
      <c r="P187" s="67" t="s">
        <v>68</v>
      </c>
      <c r="Q187" s="67" t="s">
        <v>136</v>
      </c>
      <c r="R187" s="68" t="s">
        <v>105</v>
      </c>
      <c r="S187" s="68" t="s">
        <v>105</v>
      </c>
      <c r="T187" s="68" t="s">
        <v>107</v>
      </c>
      <c r="U187" s="67" t="s">
        <v>359</v>
      </c>
      <c r="V187" s="102">
        <v>665742</v>
      </c>
      <c r="W187" s="99">
        <v>0</v>
      </c>
      <c r="X187" s="56">
        <v>0</v>
      </c>
      <c r="Y187" s="68">
        <v>885</v>
      </c>
      <c r="Z187" s="56">
        <v>0</v>
      </c>
      <c r="AA187" s="101">
        <v>58759</v>
      </c>
      <c r="AB187" s="101">
        <v>0</v>
      </c>
      <c r="AC187" s="101">
        <v>0</v>
      </c>
      <c r="AD187" s="101">
        <v>26843</v>
      </c>
      <c r="AE187" s="103">
        <f>SUM(V187:AD187)</f>
        <v>752229</v>
      </c>
      <c r="AF187" s="99">
        <v>10000</v>
      </c>
      <c r="AG187" s="99">
        <v>25000</v>
      </c>
      <c r="AH187" s="99">
        <v>0</v>
      </c>
      <c r="AI187" s="99">
        <v>1</v>
      </c>
      <c r="AJ187" s="99">
        <v>0</v>
      </c>
      <c r="AK187" s="99">
        <v>0</v>
      </c>
      <c r="AL187" s="99">
        <v>0</v>
      </c>
      <c r="AM187" s="99">
        <v>19333</v>
      </c>
      <c r="AN187" s="45">
        <f>SUM(AF187:AM187)</f>
        <v>54334</v>
      </c>
      <c r="AO187" s="104">
        <f>+AE187-AN187</f>
        <v>697895</v>
      </c>
      <c r="AP187" s="101">
        <v>33000</v>
      </c>
      <c r="AQ187" s="105">
        <v>895</v>
      </c>
      <c r="AR187" s="101">
        <f>AP187-AQ187</f>
        <v>32105</v>
      </c>
      <c r="AS187" s="56">
        <v>0</v>
      </c>
      <c r="AT187" s="56">
        <v>0</v>
      </c>
      <c r="AU187" s="48">
        <f>+AN187+AQ187</f>
        <v>55229</v>
      </c>
      <c r="AV187" s="119">
        <f>AO187+AR187+AS187+AT187</f>
        <v>730000</v>
      </c>
      <c r="AW187" s="49">
        <f>O187-AX187</f>
        <v>0</v>
      </c>
      <c r="AX187" s="68">
        <v>600000</v>
      </c>
      <c r="AY187" s="106" t="str">
        <f>Q187</f>
        <v>CHOLA</v>
      </c>
      <c r="AZ187" s="107">
        <f>D187</f>
        <v>45473</v>
      </c>
      <c r="BA187" s="33">
        <v>45477</v>
      </c>
      <c r="BB187" s="68">
        <f>30000+40000</f>
        <v>70000</v>
      </c>
      <c r="BC187" s="68">
        <f>10000+40000+10000</f>
        <v>60000</v>
      </c>
      <c r="BD187" s="56">
        <v>0</v>
      </c>
      <c r="BE187" s="56">
        <v>0</v>
      </c>
      <c r="BF187" s="56">
        <v>0</v>
      </c>
      <c r="BG187" s="56">
        <v>0</v>
      </c>
      <c r="BH187" s="55">
        <f>+AV187-AX187-BB187-BC187-BF187+BG187</f>
        <v>0</v>
      </c>
      <c r="BI187" s="56" t="s">
        <v>811</v>
      </c>
      <c r="BJ187" s="56"/>
      <c r="BK187" s="19"/>
    </row>
    <row r="188" spans="1:63" ht="17.25" customHeight="1" x14ac:dyDescent="0.3">
      <c r="A188" s="30">
        <v>45444</v>
      </c>
      <c r="B188" s="31">
        <v>190</v>
      </c>
      <c r="C188" s="31">
        <v>63</v>
      </c>
      <c r="D188" s="33">
        <v>45473</v>
      </c>
      <c r="E188" s="34" t="s">
        <v>812</v>
      </c>
      <c r="F188" s="99">
        <v>7000786441</v>
      </c>
      <c r="G188" s="100">
        <v>45480</v>
      </c>
      <c r="H188" s="99" t="s">
        <v>813</v>
      </c>
      <c r="I188" s="68" t="s">
        <v>814</v>
      </c>
      <c r="J188" s="99" t="s">
        <v>89</v>
      </c>
      <c r="K188" s="99" t="s">
        <v>199</v>
      </c>
      <c r="L188" s="99">
        <v>1404237</v>
      </c>
      <c r="M188" s="99">
        <v>489822</v>
      </c>
      <c r="N188" s="99" t="s">
        <v>67</v>
      </c>
      <c r="O188" s="101">
        <v>800000</v>
      </c>
      <c r="P188" s="67" t="s">
        <v>81</v>
      </c>
      <c r="Q188" s="67" t="s">
        <v>185</v>
      </c>
      <c r="R188" s="68" t="s">
        <v>80</v>
      </c>
      <c r="S188" s="68" t="s">
        <v>80</v>
      </c>
      <c r="T188" s="68" t="s">
        <v>84</v>
      </c>
      <c r="U188" s="67" t="s">
        <v>92</v>
      </c>
      <c r="V188" s="102">
        <v>990000</v>
      </c>
      <c r="W188" s="99">
        <v>0</v>
      </c>
      <c r="X188" s="56">
        <v>0</v>
      </c>
      <c r="Y188" s="68">
        <v>885</v>
      </c>
      <c r="Z188" s="56">
        <v>0</v>
      </c>
      <c r="AA188" s="101">
        <v>105500</v>
      </c>
      <c r="AB188" s="101">
        <v>0</v>
      </c>
      <c r="AC188" s="101">
        <v>0</v>
      </c>
      <c r="AD188" s="101">
        <v>30547</v>
      </c>
      <c r="AE188" s="103">
        <f>SUM(V188:AD188)</f>
        <v>1126932</v>
      </c>
      <c r="AF188" s="99">
        <v>0</v>
      </c>
      <c r="AG188" s="99">
        <v>20000</v>
      </c>
      <c r="AH188" s="99">
        <v>0</v>
      </c>
      <c r="AI188" s="99">
        <v>1</v>
      </c>
      <c r="AJ188" s="99">
        <v>0</v>
      </c>
      <c r="AK188" s="99">
        <v>0</v>
      </c>
      <c r="AL188" s="99">
        <v>0</v>
      </c>
      <c r="AM188" s="99">
        <v>103732</v>
      </c>
      <c r="AN188" s="45">
        <f>SUM(AF188:AM188)</f>
        <v>123733</v>
      </c>
      <c r="AO188" s="104">
        <f>+AE188-AN188</f>
        <v>1003199</v>
      </c>
      <c r="AP188" s="101">
        <v>7000</v>
      </c>
      <c r="AQ188" s="105">
        <v>200</v>
      </c>
      <c r="AR188" s="101">
        <f>AP188-AQ188</f>
        <v>6800</v>
      </c>
      <c r="AS188" s="56">
        <v>0</v>
      </c>
      <c r="AT188" s="56">
        <v>0</v>
      </c>
      <c r="AU188" s="48">
        <f>+AN188+AQ188</f>
        <v>123933</v>
      </c>
      <c r="AV188" s="119">
        <f>AO188+AR188+AS188+AT188</f>
        <v>1009999</v>
      </c>
      <c r="AW188" s="49">
        <f>O188-AX188</f>
        <v>-63</v>
      </c>
      <c r="AX188" s="68">
        <v>800063</v>
      </c>
      <c r="AY188" s="106" t="str">
        <f>Q188</f>
        <v>HDFC</v>
      </c>
      <c r="AZ188" s="107">
        <v>45386</v>
      </c>
      <c r="BA188" s="33"/>
      <c r="BB188" s="68">
        <v>0</v>
      </c>
      <c r="BC188" s="68">
        <f>5100</f>
        <v>5100</v>
      </c>
      <c r="BD188" s="56">
        <v>0</v>
      </c>
      <c r="BE188" s="56">
        <v>0</v>
      </c>
      <c r="BF188" s="56">
        <v>0</v>
      </c>
      <c r="BG188" s="56">
        <v>0</v>
      </c>
      <c r="BH188" s="55">
        <f>+AV188-AX188-BB188-BC188-BF188+BG188</f>
        <v>204836</v>
      </c>
      <c r="BI188" s="56" t="s">
        <v>815</v>
      </c>
      <c r="BJ188" s="56"/>
      <c r="BK188" s="19"/>
    </row>
    <row r="189" spans="1:63" ht="17.25" customHeight="1" x14ac:dyDescent="0.3">
      <c r="A189" s="30">
        <v>45444</v>
      </c>
      <c r="B189" s="31">
        <v>191</v>
      </c>
      <c r="C189" s="31">
        <v>64</v>
      </c>
      <c r="D189" s="33">
        <v>45473</v>
      </c>
      <c r="E189" s="34" t="s">
        <v>816</v>
      </c>
      <c r="F189" s="99">
        <v>9284151517</v>
      </c>
      <c r="G189" s="100">
        <v>45476</v>
      </c>
      <c r="H189" s="99" t="s">
        <v>817</v>
      </c>
      <c r="I189" s="68" t="s">
        <v>121</v>
      </c>
      <c r="J189" s="99" t="s">
        <v>65</v>
      </c>
      <c r="K189" s="99" t="s">
        <v>97</v>
      </c>
      <c r="L189" s="99">
        <v>7422659</v>
      </c>
      <c r="M189" s="99">
        <v>236930</v>
      </c>
      <c r="N189" s="99" t="s">
        <v>105</v>
      </c>
      <c r="O189" s="101">
        <v>1000000</v>
      </c>
      <c r="P189" s="114" t="s">
        <v>81</v>
      </c>
      <c r="Q189" s="114" t="s">
        <v>818</v>
      </c>
      <c r="R189" s="115" t="s">
        <v>408</v>
      </c>
      <c r="S189" s="115" t="s">
        <v>105</v>
      </c>
      <c r="T189" s="115" t="s">
        <v>464</v>
      </c>
      <c r="U189" s="114" t="s">
        <v>260</v>
      </c>
      <c r="V189" s="102">
        <v>1098601</v>
      </c>
      <c r="W189" s="99">
        <v>18681</v>
      </c>
      <c r="X189" s="56">
        <v>0</v>
      </c>
      <c r="Y189" s="68">
        <v>885</v>
      </c>
      <c r="Z189" s="56">
        <v>0</v>
      </c>
      <c r="AA189" s="101">
        <v>143000</v>
      </c>
      <c r="AB189" s="101">
        <v>4500</v>
      </c>
      <c r="AC189" s="101">
        <v>10453</v>
      </c>
      <c r="AD189" s="101">
        <v>33034</v>
      </c>
      <c r="AE189" s="103">
        <f>SUM(V189:AD189)</f>
        <v>1309154</v>
      </c>
      <c r="AF189" s="99">
        <v>0</v>
      </c>
      <c r="AG189" s="99">
        <v>30000</v>
      </c>
      <c r="AH189" s="99">
        <v>0</v>
      </c>
      <c r="AI189" s="99">
        <v>0</v>
      </c>
      <c r="AJ189" s="99">
        <v>3100</v>
      </c>
      <c r="AK189" s="99">
        <v>0</v>
      </c>
      <c r="AL189" s="99">
        <v>0</v>
      </c>
      <c r="AM189" s="99">
        <v>20159</v>
      </c>
      <c r="AN189" s="45">
        <f>SUM(AF189:AM189)</f>
        <v>53259</v>
      </c>
      <c r="AO189" s="104">
        <f>+AE189-AN189</f>
        <v>1255895</v>
      </c>
      <c r="AP189" s="101">
        <v>15000</v>
      </c>
      <c r="AQ189" s="105">
        <v>895</v>
      </c>
      <c r="AR189" s="101">
        <f>AP189-AQ189</f>
        <v>14105</v>
      </c>
      <c r="AS189" s="56">
        <v>0</v>
      </c>
      <c r="AT189" s="56">
        <v>0</v>
      </c>
      <c r="AU189" s="48">
        <f>+AN189+AQ189</f>
        <v>54154</v>
      </c>
      <c r="AV189" s="119">
        <f>AO189+AR189+AS189+AT189</f>
        <v>1270000</v>
      </c>
      <c r="AW189" s="49">
        <f>O189-AX189</f>
        <v>0</v>
      </c>
      <c r="AX189" s="68">
        <v>1000000</v>
      </c>
      <c r="AY189" s="106" t="str">
        <f>Q189</f>
        <v>IDBI</v>
      </c>
      <c r="AZ189" s="107">
        <f>D189</f>
        <v>45473</v>
      </c>
      <c r="BA189" s="33"/>
      <c r="BB189" s="68">
        <f>11000</f>
        <v>11000</v>
      </c>
      <c r="BC189" s="68">
        <v>0</v>
      </c>
      <c r="BD189" s="56">
        <v>0</v>
      </c>
      <c r="BE189" s="56">
        <v>0</v>
      </c>
      <c r="BF189" s="56">
        <v>0</v>
      </c>
      <c r="BG189" s="56">
        <v>0</v>
      </c>
      <c r="BH189" s="55">
        <f>+AV189-AX189-BB189-BC189-BF189+BG189</f>
        <v>259000</v>
      </c>
      <c r="BI189" s="56" t="s">
        <v>819</v>
      </c>
      <c r="BJ189" s="56"/>
      <c r="BK189" s="19"/>
    </row>
    <row r="190" spans="1:63" ht="17.25" customHeight="1" x14ac:dyDescent="0.3">
      <c r="A190" s="30">
        <v>45444</v>
      </c>
      <c r="B190" s="31">
        <v>195</v>
      </c>
      <c r="C190" s="31">
        <v>65</v>
      </c>
      <c r="D190" s="33">
        <v>45473</v>
      </c>
      <c r="E190" s="34" t="s">
        <v>820</v>
      </c>
      <c r="F190" s="99">
        <v>9926856411</v>
      </c>
      <c r="G190" s="100">
        <v>45477</v>
      </c>
      <c r="H190" s="99" t="s">
        <v>821</v>
      </c>
      <c r="I190" s="68" t="s">
        <v>121</v>
      </c>
      <c r="J190" s="99" t="s">
        <v>313</v>
      </c>
      <c r="K190" s="99" t="s">
        <v>66</v>
      </c>
      <c r="L190" s="99">
        <v>7191549</v>
      </c>
      <c r="M190" s="99">
        <v>165246</v>
      </c>
      <c r="N190" s="99" t="s">
        <v>67</v>
      </c>
      <c r="O190" s="101">
        <v>1000000</v>
      </c>
      <c r="P190" s="67" t="s">
        <v>68</v>
      </c>
      <c r="Q190" s="67" t="s">
        <v>90</v>
      </c>
      <c r="R190" s="68" t="s">
        <v>129</v>
      </c>
      <c r="S190" s="68" t="s">
        <v>67</v>
      </c>
      <c r="T190" s="68" t="s">
        <v>115</v>
      </c>
      <c r="U190" s="67" t="s">
        <v>675</v>
      </c>
      <c r="V190" s="102">
        <v>1550601</v>
      </c>
      <c r="W190" s="99">
        <v>0</v>
      </c>
      <c r="X190" s="56">
        <v>0</v>
      </c>
      <c r="Y190" s="68">
        <v>885</v>
      </c>
      <c r="Z190" s="56">
        <v>500</v>
      </c>
      <c r="AA190" s="101">
        <v>160560</v>
      </c>
      <c r="AB190" s="101">
        <v>0</v>
      </c>
      <c r="AC190" s="101">
        <v>14031</v>
      </c>
      <c r="AD190" s="101">
        <v>40101</v>
      </c>
      <c r="AE190" s="103">
        <f>SUM(V190:AD190)</f>
        <v>1766678</v>
      </c>
      <c r="AF190" s="99">
        <v>0</v>
      </c>
      <c r="AG190" s="99">
        <v>30000</v>
      </c>
      <c r="AH190" s="99">
        <v>30000</v>
      </c>
      <c r="AI190" s="99">
        <v>0</v>
      </c>
      <c r="AJ190" s="99">
        <v>3100</v>
      </c>
      <c r="AK190" s="99">
        <v>0</v>
      </c>
      <c r="AL190" s="99">
        <v>0</v>
      </c>
      <c r="AM190" s="99">
        <v>84367</v>
      </c>
      <c r="AN190" s="45">
        <f>SUM(AF190:AM190)</f>
        <v>147467</v>
      </c>
      <c r="AO190" s="104">
        <f>+AE190-AN190</f>
        <v>1619211</v>
      </c>
      <c r="AP190" s="101">
        <v>1790</v>
      </c>
      <c r="AQ190" s="105">
        <v>1</v>
      </c>
      <c r="AR190" s="101">
        <f>AP190-AQ190</f>
        <v>1789</v>
      </c>
      <c r="AS190" s="56">
        <v>0</v>
      </c>
      <c r="AT190" s="56">
        <v>0</v>
      </c>
      <c r="AU190" s="48">
        <f>+AN190+AQ190</f>
        <v>147468</v>
      </c>
      <c r="AV190" s="119">
        <f>AO190+AR190+AS190+AT190</f>
        <v>1621000</v>
      </c>
      <c r="AW190" s="49">
        <f>O190-AX190</f>
        <v>1000000</v>
      </c>
      <c r="AX190" s="68">
        <v>0</v>
      </c>
      <c r="AY190" s="106" t="str">
        <f>Q190</f>
        <v>MPGB</v>
      </c>
      <c r="AZ190" s="107">
        <v>45471</v>
      </c>
      <c r="BA190" s="33"/>
      <c r="BB190" s="68">
        <v>0</v>
      </c>
      <c r="BC190" s="68">
        <v>0</v>
      </c>
      <c r="BD190" s="56" t="s">
        <v>822</v>
      </c>
      <c r="BE190" s="56" t="s">
        <v>823</v>
      </c>
      <c r="BF190" s="56">
        <v>310000</v>
      </c>
      <c r="BG190" s="56">
        <v>0</v>
      </c>
      <c r="BH190" s="55">
        <f>+AV190-AX190-BB190-BC190-BF190+BG190</f>
        <v>1311000</v>
      </c>
      <c r="BI190" s="56"/>
      <c r="BJ190" s="56"/>
      <c r="BK190" s="19"/>
    </row>
    <row r="191" spans="1:63" ht="17.25" customHeight="1" x14ac:dyDescent="0.3">
      <c r="A191" s="30">
        <v>45444</v>
      </c>
      <c r="B191" s="31">
        <v>196</v>
      </c>
      <c r="C191" s="31">
        <v>66</v>
      </c>
      <c r="D191" s="33">
        <v>45473</v>
      </c>
      <c r="E191" s="34" t="s">
        <v>824</v>
      </c>
      <c r="F191" s="99">
        <v>7024661728</v>
      </c>
      <c r="G191" s="100">
        <f>D191</f>
        <v>45473</v>
      </c>
      <c r="H191" s="99" t="s">
        <v>825</v>
      </c>
      <c r="I191" s="68" t="s">
        <v>78</v>
      </c>
      <c r="J191" s="99" t="s">
        <v>324</v>
      </c>
      <c r="K191" s="99" t="s">
        <v>199</v>
      </c>
      <c r="L191" s="99">
        <v>7518318</v>
      </c>
      <c r="M191" s="99">
        <v>287162</v>
      </c>
      <c r="N191" s="99" t="s">
        <v>106</v>
      </c>
      <c r="O191" s="101">
        <v>750000</v>
      </c>
      <c r="P191" s="67" t="s">
        <v>68</v>
      </c>
      <c r="Q191" s="67" t="s">
        <v>69</v>
      </c>
      <c r="R191" s="68" t="s">
        <v>106</v>
      </c>
      <c r="S191" s="68" t="s">
        <v>106</v>
      </c>
      <c r="T191" s="68" t="s">
        <v>124</v>
      </c>
      <c r="U191" s="67" t="s">
        <v>826</v>
      </c>
      <c r="V191" s="102">
        <v>877242</v>
      </c>
      <c r="W191" s="99">
        <v>0</v>
      </c>
      <c r="X191" s="56">
        <v>0</v>
      </c>
      <c r="Y191" s="68">
        <v>885</v>
      </c>
      <c r="Z191" s="56">
        <v>0</v>
      </c>
      <c r="AA191" s="101">
        <v>75679</v>
      </c>
      <c r="AB191" s="101">
        <v>0</v>
      </c>
      <c r="AC191" s="101">
        <v>0</v>
      </c>
      <c r="AD191" s="101">
        <v>27460</v>
      </c>
      <c r="AE191" s="103">
        <f>SUM(V191:AD191)</f>
        <v>981266</v>
      </c>
      <c r="AF191" s="99">
        <v>0</v>
      </c>
      <c r="AG191" s="99">
        <v>20500</v>
      </c>
      <c r="AH191" s="99">
        <v>0</v>
      </c>
      <c r="AI191" s="99">
        <v>1</v>
      </c>
      <c r="AJ191" s="99">
        <v>0</v>
      </c>
      <c r="AK191" s="99">
        <v>0</v>
      </c>
      <c r="AL191" s="99">
        <v>0</v>
      </c>
      <c r="AM191" s="99">
        <v>15765</v>
      </c>
      <c r="AN191" s="45">
        <f>SUM(AF191:AM191)</f>
        <v>36266</v>
      </c>
      <c r="AO191" s="104">
        <f>+AE191-AN191</f>
        <v>945000</v>
      </c>
      <c r="AP191" s="101">
        <v>0</v>
      </c>
      <c r="AQ191" s="105">
        <v>0</v>
      </c>
      <c r="AR191" s="101">
        <f>AP191-AQ191</f>
        <v>0</v>
      </c>
      <c r="AS191" s="56">
        <v>0</v>
      </c>
      <c r="AT191" s="56">
        <v>0</v>
      </c>
      <c r="AU191" s="48">
        <f>+AN191+AQ191</f>
        <v>36266</v>
      </c>
      <c r="AV191" s="119">
        <f>AO191+AR191+AS191+AT191</f>
        <v>945000</v>
      </c>
      <c r="AW191" s="49">
        <f>O191-AX191</f>
        <v>-27460</v>
      </c>
      <c r="AX191" s="68">
        <f>750000+27460</f>
        <v>777460</v>
      </c>
      <c r="AY191" s="106" t="str">
        <f>Q191</f>
        <v>SUNDARAM</v>
      </c>
      <c r="AZ191" s="107">
        <f>D191</f>
        <v>45473</v>
      </c>
      <c r="BA191" s="33"/>
      <c r="BB191" s="68">
        <v>0</v>
      </c>
      <c r="BC191" s="68">
        <f>5000</f>
        <v>5000</v>
      </c>
      <c r="BD191" s="56">
        <v>0</v>
      </c>
      <c r="BE191" s="56">
        <v>0</v>
      </c>
      <c r="BF191" s="56">
        <v>0</v>
      </c>
      <c r="BG191" s="56">
        <v>0</v>
      </c>
      <c r="BH191" s="55">
        <f>+AV191-AX191-BB191-BC191-BF191+BG191</f>
        <v>162540</v>
      </c>
      <c r="BI191" s="56"/>
      <c r="BJ191" s="56"/>
      <c r="BK191" s="19"/>
    </row>
    <row r="192" spans="1:63" ht="17.25" customHeight="1" x14ac:dyDescent="0.3">
      <c r="A192" s="70">
        <v>45474</v>
      </c>
      <c r="B192" s="31">
        <v>184</v>
      </c>
      <c r="C192" s="31">
        <v>1</v>
      </c>
      <c r="D192" s="33">
        <v>45473</v>
      </c>
      <c r="E192" s="71" t="s">
        <v>827</v>
      </c>
      <c r="F192" s="35">
        <v>9039508283</v>
      </c>
      <c r="G192" s="66">
        <v>45475</v>
      </c>
      <c r="H192" s="35" t="s">
        <v>828</v>
      </c>
      <c r="I192" s="36" t="s">
        <v>78</v>
      </c>
      <c r="J192" s="35" t="s">
        <v>428</v>
      </c>
      <c r="K192" s="35" t="s">
        <v>66</v>
      </c>
      <c r="L192" s="35">
        <v>7519941</v>
      </c>
      <c r="M192" s="35">
        <v>288999</v>
      </c>
      <c r="N192" s="35" t="s">
        <v>147</v>
      </c>
      <c r="O192" s="38">
        <v>700000</v>
      </c>
      <c r="P192" s="39" t="s">
        <v>68</v>
      </c>
      <c r="Q192" s="120" t="s">
        <v>293</v>
      </c>
      <c r="R192" s="36" t="s">
        <v>147</v>
      </c>
      <c r="S192" s="36" t="s">
        <v>147</v>
      </c>
      <c r="T192" s="36" t="s">
        <v>150</v>
      </c>
      <c r="U192" s="39" t="s">
        <v>829</v>
      </c>
      <c r="V192" s="40">
        <v>751242</v>
      </c>
      <c r="W192" s="35">
        <v>0</v>
      </c>
      <c r="X192" s="41">
        <v>0</v>
      </c>
      <c r="Y192" s="36">
        <v>885</v>
      </c>
      <c r="Z192" s="41">
        <v>500</v>
      </c>
      <c r="AA192" s="42">
        <v>65599</v>
      </c>
      <c r="AB192" s="37">
        <v>0</v>
      </c>
      <c r="AC192" s="37">
        <v>0</v>
      </c>
      <c r="AD192" s="37">
        <v>25744</v>
      </c>
      <c r="AE192" s="43">
        <f>SUM(V192:AD192)</f>
        <v>843970</v>
      </c>
      <c r="AF192" s="35">
        <v>0</v>
      </c>
      <c r="AG192" s="35">
        <v>23560</v>
      </c>
      <c r="AH192" s="35">
        <v>0</v>
      </c>
      <c r="AI192" s="35">
        <v>1</v>
      </c>
      <c r="AJ192" s="35">
        <v>0</v>
      </c>
      <c r="AK192" s="35">
        <v>0</v>
      </c>
      <c r="AL192" s="35">
        <v>0</v>
      </c>
      <c r="AM192" s="44">
        <v>41509</v>
      </c>
      <c r="AN192" s="45">
        <f>SUM(AF192:AM192)</f>
        <v>65070</v>
      </c>
      <c r="AO192" s="46">
        <f>+AE192-AN192</f>
        <v>778900</v>
      </c>
      <c r="AP192" s="37">
        <v>24160</v>
      </c>
      <c r="AQ192" s="47">
        <v>70</v>
      </c>
      <c r="AR192" s="37">
        <f>AP192-AQ192</f>
        <v>24090</v>
      </c>
      <c r="AS192" s="59">
        <v>0</v>
      </c>
      <c r="AT192" s="41">
        <v>0</v>
      </c>
      <c r="AU192" s="48">
        <f>+AN192+AQ192</f>
        <v>65140</v>
      </c>
      <c r="AV192" s="119">
        <f>AO192+AR192+AS192+AT192</f>
        <v>802990</v>
      </c>
      <c r="AW192" s="49">
        <f>O192-AX192</f>
        <v>0</v>
      </c>
      <c r="AX192" s="58">
        <v>700000</v>
      </c>
      <c r="AY192" s="65" t="str">
        <f>Q192</f>
        <v>CANARA BANK</v>
      </c>
      <c r="AZ192" s="69">
        <v>45475</v>
      </c>
      <c r="BA192" s="53"/>
      <c r="BB192" s="54">
        <v>0</v>
      </c>
      <c r="BC192" s="54">
        <v>0</v>
      </c>
      <c r="BD192" s="41">
        <v>0</v>
      </c>
      <c r="BE192" s="41">
        <v>0</v>
      </c>
      <c r="BF192" s="41">
        <v>0</v>
      </c>
      <c r="BG192" s="41">
        <v>0</v>
      </c>
      <c r="BH192" s="55">
        <f>+AV192-AX192-BB192-BC192-BF192+BG192</f>
        <v>102990</v>
      </c>
      <c r="BI192" s="41"/>
      <c r="BJ192" s="41"/>
      <c r="BK192" s="19"/>
    </row>
    <row r="193" spans="1:63" ht="17.25" customHeight="1" x14ac:dyDescent="0.3">
      <c r="A193" s="70">
        <v>45474</v>
      </c>
      <c r="B193" s="31">
        <v>188</v>
      </c>
      <c r="C193" s="32">
        <v>2</v>
      </c>
      <c r="D193" s="33">
        <v>45473</v>
      </c>
      <c r="E193" s="71" t="s">
        <v>830</v>
      </c>
      <c r="F193" s="35">
        <v>7354364957</v>
      </c>
      <c r="G193" s="66">
        <v>45475</v>
      </c>
      <c r="H193" s="35" t="s">
        <v>831</v>
      </c>
      <c r="I193" s="36" t="s">
        <v>64</v>
      </c>
      <c r="J193" s="35" t="s">
        <v>832</v>
      </c>
      <c r="K193" s="35" t="s">
        <v>66</v>
      </c>
      <c r="L193" s="35">
        <v>4491776</v>
      </c>
      <c r="M193" s="35">
        <v>780926</v>
      </c>
      <c r="N193" s="35" t="s">
        <v>155</v>
      </c>
      <c r="O193" s="38">
        <v>810000</v>
      </c>
      <c r="P193" s="39" t="s">
        <v>68</v>
      </c>
      <c r="Q193" s="120" t="s">
        <v>136</v>
      </c>
      <c r="R193" s="36" t="s">
        <v>123</v>
      </c>
      <c r="S193" s="36" t="s">
        <v>106</v>
      </c>
      <c r="T193" s="36" t="s">
        <v>157</v>
      </c>
      <c r="U193" s="39" t="s">
        <v>215</v>
      </c>
      <c r="V193" s="40">
        <v>937742</v>
      </c>
      <c r="W193" s="35">
        <v>0</v>
      </c>
      <c r="X193" s="41">
        <v>0</v>
      </c>
      <c r="Y193" s="36" t="s">
        <v>180</v>
      </c>
      <c r="Z193" s="41">
        <v>0</v>
      </c>
      <c r="AA193" s="42">
        <v>80519</v>
      </c>
      <c r="AB193" s="37">
        <v>0</v>
      </c>
      <c r="AC193" s="37">
        <v>0</v>
      </c>
      <c r="AD193" s="37">
        <v>29711</v>
      </c>
      <c r="AE193" s="43">
        <f>SUM(V193:AD193)</f>
        <v>1047972</v>
      </c>
      <c r="AF193" s="35">
        <v>10000</v>
      </c>
      <c r="AG193" s="35">
        <v>25000</v>
      </c>
      <c r="AH193" s="35">
        <v>15000</v>
      </c>
      <c r="AI193" s="35">
        <v>2000</v>
      </c>
      <c r="AJ193" s="35">
        <v>0</v>
      </c>
      <c r="AK193" s="35">
        <v>0</v>
      </c>
      <c r="AL193" s="35">
        <v>0</v>
      </c>
      <c r="AM193" s="44">
        <v>52922</v>
      </c>
      <c r="AN193" s="45">
        <f>SUM(AF193:AM193)</f>
        <v>104922</v>
      </c>
      <c r="AO193" s="46">
        <f>+AE193-AN193</f>
        <v>943050</v>
      </c>
      <c r="AP193" s="37">
        <v>12000</v>
      </c>
      <c r="AQ193" s="47">
        <v>50</v>
      </c>
      <c r="AR193" s="37">
        <f>AP193-AQ193</f>
        <v>11950</v>
      </c>
      <c r="AS193" s="41">
        <v>0</v>
      </c>
      <c r="AT193" s="41">
        <v>0</v>
      </c>
      <c r="AU193" s="48">
        <f>+AN193+AQ193</f>
        <v>104972</v>
      </c>
      <c r="AV193" s="119">
        <f>AO193+AR193+AS193+AT193</f>
        <v>955000</v>
      </c>
      <c r="AW193" s="49">
        <f>O193-AX193</f>
        <v>0</v>
      </c>
      <c r="AX193" s="58">
        <v>810000</v>
      </c>
      <c r="AY193" s="65" t="str">
        <f>Q193</f>
        <v>CHOLA</v>
      </c>
      <c r="AZ193" s="69">
        <v>45475</v>
      </c>
      <c r="BA193" s="53">
        <v>45477</v>
      </c>
      <c r="BB193" s="54">
        <v>10375</v>
      </c>
      <c r="BC193" s="54">
        <v>0</v>
      </c>
      <c r="BD193" s="57" t="s">
        <v>833</v>
      </c>
      <c r="BE193" s="57" t="s">
        <v>834</v>
      </c>
      <c r="BF193" s="57">
        <v>425000</v>
      </c>
      <c r="BG193" s="57">
        <v>290400</v>
      </c>
      <c r="BH193" s="55">
        <f>+AV193-AX193-BB193-BC193-BF193+BG193</f>
        <v>25</v>
      </c>
      <c r="BI193" s="41" t="s">
        <v>835</v>
      </c>
      <c r="BJ193" s="41"/>
      <c r="BK193" s="19"/>
    </row>
    <row r="194" spans="1:63" ht="17.25" customHeight="1" x14ac:dyDescent="0.3">
      <c r="A194" s="70">
        <v>45474</v>
      </c>
      <c r="B194" s="31">
        <v>189</v>
      </c>
      <c r="C194" s="31">
        <v>3</v>
      </c>
      <c r="D194" s="33">
        <v>45473</v>
      </c>
      <c r="E194" s="71" t="s">
        <v>836</v>
      </c>
      <c r="F194" s="35" t="s">
        <v>837</v>
      </c>
      <c r="G194" s="66">
        <v>45476</v>
      </c>
      <c r="H194" s="35" t="s">
        <v>838</v>
      </c>
      <c r="I194" s="36" t="s">
        <v>78</v>
      </c>
      <c r="J194" s="35" t="s">
        <v>104</v>
      </c>
      <c r="K194" s="35" t="s">
        <v>66</v>
      </c>
      <c r="L194" s="35">
        <v>7520038</v>
      </c>
      <c r="M194" s="35">
        <v>289103</v>
      </c>
      <c r="N194" s="35" t="s">
        <v>67</v>
      </c>
      <c r="O194" s="38">
        <v>775000</v>
      </c>
      <c r="P194" s="39" t="s">
        <v>81</v>
      </c>
      <c r="Q194" s="120" t="s">
        <v>122</v>
      </c>
      <c r="R194" s="36" t="s">
        <v>800</v>
      </c>
      <c r="S194" s="36" t="s">
        <v>67</v>
      </c>
      <c r="T194" s="36" t="s">
        <v>70</v>
      </c>
      <c r="U194" s="39" t="s">
        <v>839</v>
      </c>
      <c r="V194" s="40">
        <v>932242</v>
      </c>
      <c r="W194" s="35">
        <v>0</v>
      </c>
      <c r="X194" s="41">
        <v>0</v>
      </c>
      <c r="Y194" s="36">
        <v>885</v>
      </c>
      <c r="Z194" s="41">
        <v>500</v>
      </c>
      <c r="AA194" s="42">
        <v>80079</v>
      </c>
      <c r="AB194" s="37">
        <v>0</v>
      </c>
      <c r="AC194" s="37">
        <v>0</v>
      </c>
      <c r="AD194" s="37">
        <v>28995</v>
      </c>
      <c r="AE194" s="43">
        <f>SUM(V194:AD194)</f>
        <v>1042701</v>
      </c>
      <c r="AF194" s="35">
        <v>0</v>
      </c>
      <c r="AG194" s="35">
        <v>0</v>
      </c>
      <c r="AH194" s="35">
        <v>0</v>
      </c>
      <c r="AI194" s="35">
        <v>1</v>
      </c>
      <c r="AJ194" s="35">
        <v>0</v>
      </c>
      <c r="AK194" s="35">
        <v>0</v>
      </c>
      <c r="AL194" s="35">
        <v>0</v>
      </c>
      <c r="AM194" s="44">
        <v>20701</v>
      </c>
      <c r="AN194" s="45">
        <f>SUM(AF194:AM194)</f>
        <v>20702</v>
      </c>
      <c r="AO194" s="46">
        <f>+AE194-AN194</f>
        <v>1021999</v>
      </c>
      <c r="AP194" s="37">
        <v>63000</v>
      </c>
      <c r="AQ194" s="47">
        <v>2500</v>
      </c>
      <c r="AR194" s="37">
        <f>AP194-AQ194</f>
        <v>60500</v>
      </c>
      <c r="AS194" s="41">
        <v>0</v>
      </c>
      <c r="AT194" s="41">
        <v>0</v>
      </c>
      <c r="AU194" s="48">
        <f>+AN194+AQ194</f>
        <v>23202</v>
      </c>
      <c r="AV194" s="119">
        <f>AO194+AR194+AS194+AT194</f>
        <v>1082499</v>
      </c>
      <c r="AW194" s="49">
        <f>O194-AX194</f>
        <v>0</v>
      </c>
      <c r="AX194" s="50">
        <v>775000</v>
      </c>
      <c r="AY194" s="51" t="str">
        <f>Q194</f>
        <v>BOI</v>
      </c>
      <c r="AZ194" s="69">
        <v>45477</v>
      </c>
      <c r="BA194" s="53">
        <v>45476</v>
      </c>
      <c r="BB194" s="54">
        <f>50000+149000</f>
        <v>199000</v>
      </c>
      <c r="BC194" s="54">
        <f>108500</f>
        <v>108500</v>
      </c>
      <c r="BD194" s="41">
        <v>0</v>
      </c>
      <c r="BE194" s="41">
        <v>0</v>
      </c>
      <c r="BF194" s="41">
        <v>0</v>
      </c>
      <c r="BG194" s="41">
        <v>0</v>
      </c>
      <c r="BH194" s="55">
        <f>+AV194-AX194-BB194-BC194-BF194+BG194</f>
        <v>-1</v>
      </c>
      <c r="BI194" s="41" t="s">
        <v>109</v>
      </c>
      <c r="BJ194" s="41" t="s">
        <v>840</v>
      </c>
      <c r="BK194" s="19"/>
    </row>
    <row r="195" spans="1:63" ht="17.25" customHeight="1" x14ac:dyDescent="0.3">
      <c r="A195" s="70">
        <v>45474</v>
      </c>
      <c r="B195" s="31">
        <v>192</v>
      </c>
      <c r="C195" s="32">
        <v>4</v>
      </c>
      <c r="D195" s="33">
        <v>45473</v>
      </c>
      <c r="E195" s="71" t="s">
        <v>841</v>
      </c>
      <c r="F195" s="35">
        <v>8463097256</v>
      </c>
      <c r="G195" s="66">
        <v>45477</v>
      </c>
      <c r="H195" s="35" t="s">
        <v>842</v>
      </c>
      <c r="I195" s="36" t="s">
        <v>64</v>
      </c>
      <c r="J195" s="35" t="s">
        <v>113</v>
      </c>
      <c r="K195" s="35" t="s">
        <v>66</v>
      </c>
      <c r="L195" s="35">
        <v>1618109</v>
      </c>
      <c r="M195" s="35">
        <v>707634</v>
      </c>
      <c r="N195" s="35" t="s">
        <v>106</v>
      </c>
      <c r="O195" s="38">
        <v>700000</v>
      </c>
      <c r="P195" s="39" t="s">
        <v>98</v>
      </c>
      <c r="Q195" s="120" t="s">
        <v>90</v>
      </c>
      <c r="R195" s="36" t="s">
        <v>498</v>
      </c>
      <c r="S195" s="36" t="s">
        <v>105</v>
      </c>
      <c r="T195" s="36" t="s">
        <v>124</v>
      </c>
      <c r="U195" s="39" t="s">
        <v>125</v>
      </c>
      <c r="V195" s="40">
        <v>842742</v>
      </c>
      <c r="W195" s="35">
        <v>0</v>
      </c>
      <c r="X195" s="41">
        <v>0</v>
      </c>
      <c r="Y195" s="36">
        <v>885</v>
      </c>
      <c r="Z195" s="41">
        <v>0</v>
      </c>
      <c r="AA195" s="42">
        <v>72919</v>
      </c>
      <c r="AB195" s="37">
        <v>0</v>
      </c>
      <c r="AC195" s="37">
        <v>0</v>
      </c>
      <c r="AD195" s="37">
        <v>27827</v>
      </c>
      <c r="AE195" s="43">
        <f>SUM(V195:AD195)</f>
        <v>944373</v>
      </c>
      <c r="AF195" s="35">
        <v>10000</v>
      </c>
      <c r="AG195" s="35">
        <v>25000</v>
      </c>
      <c r="AH195" s="35">
        <v>0</v>
      </c>
      <c r="AI195" s="35">
        <v>1</v>
      </c>
      <c r="AJ195" s="35">
        <v>0</v>
      </c>
      <c r="AK195" s="35">
        <v>0</v>
      </c>
      <c r="AL195" s="35">
        <v>0</v>
      </c>
      <c r="AM195" s="44">
        <v>39372</v>
      </c>
      <c r="AN195" s="45">
        <f>SUM(AF195:AM195)</f>
        <v>74373</v>
      </c>
      <c r="AO195" s="46">
        <f>+AE195-AN195</f>
        <v>870000</v>
      </c>
      <c r="AP195" s="37">
        <v>0</v>
      </c>
      <c r="AQ195" s="47">
        <v>0</v>
      </c>
      <c r="AR195" s="37">
        <f>AP195-AQ195</f>
        <v>0</v>
      </c>
      <c r="AS195" s="41">
        <v>0</v>
      </c>
      <c r="AT195" s="41">
        <v>0</v>
      </c>
      <c r="AU195" s="48">
        <f>+AN195+AQ195</f>
        <v>74373</v>
      </c>
      <c r="AV195" s="119">
        <f>AO195+AR195+AS195+AT195</f>
        <v>870000</v>
      </c>
      <c r="AW195" s="49">
        <f>O195-AX195</f>
        <v>0</v>
      </c>
      <c r="AX195" s="58">
        <v>700000</v>
      </c>
      <c r="AY195" s="65" t="str">
        <f>Q195</f>
        <v>MPGB</v>
      </c>
      <c r="AZ195" s="69">
        <v>45476</v>
      </c>
      <c r="BA195" s="53">
        <v>45476</v>
      </c>
      <c r="BB195" s="54">
        <f>50000</f>
        <v>50000</v>
      </c>
      <c r="BC195" s="54">
        <f>10000</f>
        <v>10000</v>
      </c>
      <c r="BD195" s="41">
        <v>0</v>
      </c>
      <c r="BE195" s="41">
        <v>0</v>
      </c>
      <c r="BF195" s="41">
        <v>0</v>
      </c>
      <c r="BG195" s="41">
        <v>0</v>
      </c>
      <c r="BH195" s="55">
        <f>+AV195-AX195-BB195-BC195-BF195+BG195</f>
        <v>110000</v>
      </c>
      <c r="BI195" s="41"/>
      <c r="BJ195" s="41"/>
      <c r="BK195" s="19"/>
    </row>
    <row r="196" spans="1:63" ht="17.25" customHeight="1" x14ac:dyDescent="0.3">
      <c r="A196" s="70">
        <v>45474</v>
      </c>
      <c r="B196" s="31">
        <v>193</v>
      </c>
      <c r="C196" s="31">
        <v>5</v>
      </c>
      <c r="D196" s="33">
        <v>45473</v>
      </c>
      <c r="E196" s="71" t="s">
        <v>843</v>
      </c>
      <c r="F196" s="35">
        <v>9516531111</v>
      </c>
      <c r="G196" s="66">
        <v>45494</v>
      </c>
      <c r="H196" s="35" t="s">
        <v>844</v>
      </c>
      <c r="I196" s="36" t="s">
        <v>78</v>
      </c>
      <c r="J196" s="35" t="s">
        <v>104</v>
      </c>
      <c r="K196" s="35" t="s">
        <v>66</v>
      </c>
      <c r="L196" s="35">
        <v>7517981</v>
      </c>
      <c r="M196" s="35">
        <v>286783</v>
      </c>
      <c r="N196" s="35" t="s">
        <v>105</v>
      </c>
      <c r="O196" s="38">
        <v>550000</v>
      </c>
      <c r="P196" s="39" t="s">
        <v>98</v>
      </c>
      <c r="Q196" s="120" t="s">
        <v>122</v>
      </c>
      <c r="R196" s="36" t="s">
        <v>296</v>
      </c>
      <c r="S196" s="36" t="s">
        <v>105</v>
      </c>
      <c r="T196" s="36" t="s">
        <v>107</v>
      </c>
      <c r="U196" s="39" t="s">
        <v>260</v>
      </c>
      <c r="V196" s="40">
        <v>932242</v>
      </c>
      <c r="W196" s="35">
        <v>0</v>
      </c>
      <c r="X196" s="41">
        <v>0</v>
      </c>
      <c r="Y196" s="36">
        <v>885</v>
      </c>
      <c r="Z196" s="41">
        <v>0</v>
      </c>
      <c r="AA196" s="42">
        <v>80079</v>
      </c>
      <c r="AB196" s="37">
        <v>0</v>
      </c>
      <c r="AC196" s="37">
        <v>0</v>
      </c>
      <c r="AD196" s="37">
        <v>31809</v>
      </c>
      <c r="AE196" s="43">
        <f>SUM(V196:AD196)</f>
        <v>1045015</v>
      </c>
      <c r="AF196" s="35">
        <v>0</v>
      </c>
      <c r="AG196" s="35">
        <v>0</v>
      </c>
      <c r="AH196" s="35">
        <v>0</v>
      </c>
      <c r="AI196" s="35">
        <v>1</v>
      </c>
      <c r="AJ196" s="35">
        <v>0</v>
      </c>
      <c r="AK196" s="35">
        <v>0</v>
      </c>
      <c r="AL196" s="35">
        <v>0</v>
      </c>
      <c r="AM196" s="44">
        <v>16905</v>
      </c>
      <c r="AN196" s="45">
        <f>SUM(AF196:AM196)</f>
        <v>16906</v>
      </c>
      <c r="AO196" s="46">
        <f>+AE196-AN196</f>
        <v>1028109</v>
      </c>
      <c r="AP196" s="37">
        <v>10000</v>
      </c>
      <c r="AQ196" s="47">
        <v>109</v>
      </c>
      <c r="AR196" s="37">
        <f>AP196-AQ196</f>
        <v>9891</v>
      </c>
      <c r="AS196" s="41">
        <v>0</v>
      </c>
      <c r="AT196" s="41">
        <v>0</v>
      </c>
      <c r="AU196" s="48">
        <f>+AN196+AQ196</f>
        <v>17015</v>
      </c>
      <c r="AV196" s="119">
        <f>AO196+AR196+AS196+AT196</f>
        <v>1038000</v>
      </c>
      <c r="AW196" s="49">
        <f>O196-AX196</f>
        <v>550000</v>
      </c>
      <c r="AX196" s="58">
        <v>0</v>
      </c>
      <c r="AY196" s="65" t="str">
        <f>Q196</f>
        <v>BOI</v>
      </c>
      <c r="AZ196" s="69">
        <v>45477</v>
      </c>
      <c r="BA196" s="53">
        <v>45477</v>
      </c>
      <c r="BB196" s="54">
        <v>0</v>
      </c>
      <c r="BC196" s="54">
        <v>0</v>
      </c>
      <c r="BD196" s="41">
        <v>0</v>
      </c>
      <c r="BE196" s="41">
        <v>0</v>
      </c>
      <c r="BF196" s="41">
        <v>0</v>
      </c>
      <c r="BG196" s="41">
        <v>0</v>
      </c>
      <c r="BH196" s="55">
        <f>+AV196-AX196-BB196-BC196-BF196+BG196</f>
        <v>1038000</v>
      </c>
      <c r="BI196" s="41"/>
      <c r="BJ196" s="41"/>
      <c r="BK196" s="19"/>
    </row>
    <row r="197" spans="1:63" ht="17.25" customHeight="1" x14ac:dyDescent="0.3">
      <c r="A197" s="70">
        <v>45474</v>
      </c>
      <c r="B197" s="31">
        <v>194</v>
      </c>
      <c r="C197" s="31">
        <v>6</v>
      </c>
      <c r="D197" s="53">
        <v>45473</v>
      </c>
      <c r="E197" s="71" t="s">
        <v>845</v>
      </c>
      <c r="F197" s="35">
        <v>7748854747</v>
      </c>
      <c r="G197" s="66">
        <v>45477</v>
      </c>
      <c r="H197" s="35" t="s">
        <v>846</v>
      </c>
      <c r="I197" s="36" t="s">
        <v>78</v>
      </c>
      <c r="J197" s="35" t="s">
        <v>847</v>
      </c>
      <c r="K197" s="35" t="s">
        <v>97</v>
      </c>
      <c r="L197" s="35">
        <v>7519008</v>
      </c>
      <c r="M197" s="35">
        <v>288069</v>
      </c>
      <c r="N197" s="35" t="s">
        <v>147</v>
      </c>
      <c r="O197" s="38">
        <v>500000</v>
      </c>
      <c r="P197" s="39" t="s">
        <v>68</v>
      </c>
      <c r="Q197" s="120" t="s">
        <v>293</v>
      </c>
      <c r="R197" s="36" t="s">
        <v>147</v>
      </c>
      <c r="S197" s="36" t="s">
        <v>147</v>
      </c>
      <c r="T197" s="36" t="s">
        <v>150</v>
      </c>
      <c r="U197" s="39" t="s">
        <v>469</v>
      </c>
      <c r="V197" s="40">
        <v>877242</v>
      </c>
      <c r="W197" s="35">
        <v>14915</v>
      </c>
      <c r="X197" s="41">
        <v>5664</v>
      </c>
      <c r="Y197" s="36">
        <v>885</v>
      </c>
      <c r="Z197" s="41">
        <v>500</v>
      </c>
      <c r="AA197" s="42">
        <v>75679</v>
      </c>
      <c r="AB197" s="37">
        <v>0</v>
      </c>
      <c r="AC197" s="37">
        <v>0</v>
      </c>
      <c r="AD197" s="37">
        <v>29408</v>
      </c>
      <c r="AE197" s="43">
        <f>SUM(V197:AD197)</f>
        <v>1004293</v>
      </c>
      <c r="AF197" s="35">
        <v>0</v>
      </c>
      <c r="AG197" s="35">
        <v>20500</v>
      </c>
      <c r="AH197" s="35">
        <v>10000</v>
      </c>
      <c r="AI197" s="35">
        <v>1</v>
      </c>
      <c r="AJ197" s="35">
        <v>0</v>
      </c>
      <c r="AK197" s="35">
        <v>0</v>
      </c>
      <c r="AL197" s="35">
        <v>0</v>
      </c>
      <c r="AM197" s="44">
        <v>0</v>
      </c>
      <c r="AN197" s="45">
        <f>SUM(AF197:AM197)</f>
        <v>30501</v>
      </c>
      <c r="AO197" s="46">
        <f>+AE197-AN197</f>
        <v>973792</v>
      </c>
      <c r="AP197" s="37">
        <v>93</v>
      </c>
      <c r="AQ197" s="47">
        <v>0</v>
      </c>
      <c r="AR197" s="37">
        <f>AP197-AQ197</f>
        <v>93</v>
      </c>
      <c r="AS197" s="41">
        <v>0</v>
      </c>
      <c r="AT197" s="41">
        <v>0</v>
      </c>
      <c r="AU197" s="48">
        <f>+AN197+AQ197</f>
        <v>30501</v>
      </c>
      <c r="AV197" s="119">
        <f>AO197+AR197+AS197+AT197</f>
        <v>973885</v>
      </c>
      <c r="AW197" s="49">
        <f>O197-AX197</f>
        <v>0</v>
      </c>
      <c r="AX197" s="50">
        <v>500000</v>
      </c>
      <c r="AY197" s="51" t="str">
        <f>Q197</f>
        <v>CANARA BANK</v>
      </c>
      <c r="AZ197" s="69">
        <v>45477</v>
      </c>
      <c r="BA197" s="52">
        <v>45476</v>
      </c>
      <c r="BB197" s="54">
        <v>162885</v>
      </c>
      <c r="BC197" s="54">
        <f>11000</f>
        <v>11000</v>
      </c>
      <c r="BD197" s="57" t="s">
        <v>848</v>
      </c>
      <c r="BE197" s="57" t="s">
        <v>849</v>
      </c>
      <c r="BF197" s="57">
        <v>300000</v>
      </c>
      <c r="BG197" s="57">
        <v>0</v>
      </c>
      <c r="BH197" s="55">
        <f>+AV197-AX197-BB197-BC197-BF197+BG197</f>
        <v>0</v>
      </c>
      <c r="BI197" s="41" t="s">
        <v>109</v>
      </c>
      <c r="BJ197" s="41"/>
      <c r="BK197" s="19"/>
    </row>
  </sheetData>
  <sheetProtection insertColumns="0" insertRows="0" sort="0" autoFilter="0"/>
  <autoFilter ref="A1:BK1"/>
  <conditionalFormatting sqref="G1:J1">
    <cfRule type="duplicateValues" dxfId="0" priority="1"/>
  </conditionalFormatting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DC - 2025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NEXA9</dc:creator>
  <cp:lastModifiedBy>NEXA9</cp:lastModifiedBy>
  <dcterms:created xsi:type="dcterms:W3CDTF">2024-07-06T08:39:12Z</dcterms:created>
  <dcterms:modified xsi:type="dcterms:W3CDTF">2024-07-06T08:53:23Z</dcterms:modified>
</cp:coreProperties>
</file>