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5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6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25" windowWidth="15480" windowHeight="6195" activeTab="5"/>
  </bookViews>
  <sheets>
    <sheet name="ADC_Vac_Vbus_Ii" sheetId="19" r:id="rId1"/>
    <sheet name="SDFM_Vac_Vbus_Iout_Icf" sheetId="21" r:id="rId2"/>
    <sheet name="UPS Li &amp; Cf Sel" sheetId="22" r:id="rId3"/>
    <sheet name="Grid Conn. Li, Cf, Lg Sel" sheetId="23" r:id="rId4"/>
    <sheet name="Li Design" sheetId="24" r:id="rId5"/>
    <sheet name="SPLL Calculations" sheetId="25" r:id="rId6"/>
  </sheets>
  <calcPr calcId="145621"/>
</workbook>
</file>

<file path=xl/calcChain.xml><?xml version="1.0" encoding="utf-8"?>
<calcChain xmlns="http://schemas.openxmlformats.org/spreadsheetml/2006/main">
  <c r="C34" i="25" l="1"/>
  <c r="C20" i="25"/>
  <c r="C21" i="25" s="1"/>
  <c r="C22" i="25" s="1"/>
  <c r="C23" i="25" s="1"/>
  <c r="C25" i="25" l="1"/>
  <c r="C26" i="25" s="1"/>
  <c r="B33" i="23"/>
  <c r="B32" i="23"/>
  <c r="C27" i="25" l="1"/>
  <c r="C36" i="25" s="1"/>
  <c r="B25" i="23"/>
  <c r="B26" i="23" s="1"/>
  <c r="C35" i="25" l="1"/>
  <c r="B27" i="23"/>
  <c r="B28" i="23"/>
  <c r="B12" i="24"/>
  <c r="B24" i="24"/>
  <c r="B27" i="24" s="1"/>
  <c r="B5" i="24"/>
  <c r="B7" i="24" s="1"/>
  <c r="B20" i="23"/>
  <c r="B17" i="23"/>
  <c r="B15" i="23"/>
  <c r="B30" i="23" s="1"/>
  <c r="B31" i="23" s="1"/>
  <c r="B4" i="23"/>
  <c r="D4" i="23" s="1"/>
  <c r="B3" i="23"/>
  <c r="D3" i="23" s="1"/>
  <c r="B35" i="23" l="1"/>
  <c r="B34" i="23"/>
  <c r="B28" i="24"/>
  <c r="B29" i="24"/>
  <c r="B25" i="24"/>
  <c r="B23" i="24"/>
  <c r="F4" i="23"/>
  <c r="B12" i="23"/>
  <c r="B10" i="23"/>
  <c r="F3" i="23"/>
  <c r="B14" i="22"/>
  <c r="B4" i="22"/>
  <c r="D4" i="22" s="1"/>
  <c r="F4" i="22" s="1"/>
  <c r="B3" i="22"/>
  <c r="D3" i="22" s="1"/>
  <c r="B9" i="22" s="1"/>
  <c r="B18" i="23" l="1"/>
  <c r="B22" i="23"/>
  <c r="F3" i="22"/>
  <c r="B11" i="22"/>
  <c r="B16" i="21"/>
  <c r="B8" i="21"/>
  <c r="B9" i="21" s="1"/>
  <c r="B12" i="19" l="1"/>
  <c r="B10" i="21" l="1"/>
  <c r="B15" i="21"/>
  <c r="B19" i="19"/>
  <c r="B22" i="19" s="1"/>
  <c r="B13" i="19"/>
  <c r="B14" i="19" s="1"/>
  <c r="B6" i="19"/>
  <c r="B8" i="19" s="1"/>
  <c r="B11" i="21" l="1"/>
</calcChain>
</file>

<file path=xl/sharedStrings.xml><?xml version="1.0" encoding="utf-8"?>
<sst xmlns="http://schemas.openxmlformats.org/spreadsheetml/2006/main" count="241" uniqueCount="164">
  <si>
    <t>Amps</t>
  </si>
  <si>
    <t>R16</t>
  </si>
  <si>
    <t>Ohms</t>
  </si>
  <si>
    <t>R8+R11+R15</t>
  </si>
  <si>
    <t>Reffective</t>
  </si>
  <si>
    <t>V</t>
  </si>
  <si>
    <t>Offset</t>
  </si>
  <si>
    <t>R67</t>
  </si>
  <si>
    <t>R68</t>
  </si>
  <si>
    <t>Voltage is sensed using a resistor divider and Op-amp circuitry</t>
  </si>
  <si>
    <t>Vadc</t>
  </si>
  <si>
    <t>R2+R5+R3+R60</t>
  </si>
  <si>
    <t>Current is sensed using a hall effect sensor LTSR-6-NP</t>
  </si>
  <si>
    <t>Volts</t>
  </si>
  <si>
    <t>Irms</t>
  </si>
  <si>
    <t>Imax</t>
  </si>
  <si>
    <t>Current is sensed using a shunt resistor</t>
  </si>
  <si>
    <t>Iout, If</t>
  </si>
  <si>
    <t>Vbus/ Vac</t>
  </si>
  <si>
    <t>R52</t>
  </si>
  <si>
    <t>AMC1304 SDFM Sensor Max Range</t>
  </si>
  <si>
    <t>Ra</t>
  </si>
  <si>
    <t>Rb</t>
  </si>
  <si>
    <t>ADC Ref. Voltage</t>
  </si>
  <si>
    <t>R61, R55</t>
  </si>
  <si>
    <t>Rc</t>
  </si>
  <si>
    <t>Rd</t>
  </si>
  <si>
    <t>Re</t>
  </si>
  <si>
    <t>Rf</t>
  </si>
  <si>
    <t>Resitor Divider Gain</t>
  </si>
  <si>
    <t>Opamp Gain</t>
  </si>
  <si>
    <t>Nominal Range of Sensor in Volts</t>
  </si>
  <si>
    <t xml:space="preserve">Nominal Range RMS Current </t>
  </si>
  <si>
    <t>Nominal Range Max Current</t>
  </si>
  <si>
    <r>
      <t>V</t>
    </r>
    <r>
      <rPr>
        <b/>
        <vertAlign val="subscript"/>
        <sz val="16"/>
        <color theme="0"/>
        <rFont val="Arial"/>
        <family val="2"/>
      </rPr>
      <t>bus</t>
    </r>
  </si>
  <si>
    <r>
      <t>V</t>
    </r>
    <r>
      <rPr>
        <b/>
        <vertAlign val="subscript"/>
        <sz val="16"/>
        <color theme="0"/>
        <rFont val="Arial"/>
        <family val="2"/>
      </rPr>
      <t>ac</t>
    </r>
  </si>
  <si>
    <r>
      <t>I</t>
    </r>
    <r>
      <rPr>
        <b/>
        <vertAlign val="subscript"/>
        <sz val="16"/>
        <color theme="0"/>
        <rFont val="Arial"/>
        <family val="2"/>
      </rPr>
      <t>inv</t>
    </r>
  </si>
  <si>
    <r>
      <t>V</t>
    </r>
    <r>
      <rPr>
        <vertAlign val="subscript"/>
        <sz val="14"/>
        <rFont val="Arial"/>
        <family val="2"/>
      </rPr>
      <t>nominal</t>
    </r>
  </si>
  <si>
    <r>
      <t>I</t>
    </r>
    <r>
      <rPr>
        <vertAlign val="subscript"/>
        <sz val="14"/>
        <rFont val="Arial"/>
        <family val="2"/>
      </rPr>
      <t>nominal_rms</t>
    </r>
  </si>
  <si>
    <r>
      <t>I</t>
    </r>
    <r>
      <rPr>
        <vertAlign val="subscript"/>
        <sz val="14"/>
        <rFont val="Arial"/>
        <family val="2"/>
      </rPr>
      <t>nominal_max</t>
    </r>
  </si>
  <si>
    <r>
      <t>I</t>
    </r>
    <r>
      <rPr>
        <b/>
        <vertAlign val="subscript"/>
        <sz val="14"/>
        <rFont val="Arial"/>
        <family val="2"/>
      </rPr>
      <t>max_sense</t>
    </r>
  </si>
  <si>
    <r>
      <t>V</t>
    </r>
    <r>
      <rPr>
        <vertAlign val="subscript"/>
        <sz val="14"/>
        <rFont val="Arial"/>
        <family val="2"/>
      </rPr>
      <t>ac_max_sense</t>
    </r>
  </si>
  <si>
    <r>
      <t>V</t>
    </r>
    <r>
      <rPr>
        <vertAlign val="subscript"/>
        <sz val="14"/>
        <rFont val="Arial"/>
        <family val="2"/>
      </rPr>
      <t>bus_max_sense</t>
    </r>
  </si>
  <si>
    <t>AMC1304 has fully differential Opamp, with 50Kohm feedback resistor and 12.5Kohm input resistorof R3 and 12.5Kohm</t>
  </si>
  <si>
    <r>
      <t>R</t>
    </r>
    <r>
      <rPr>
        <vertAlign val="subscript"/>
        <sz val="16"/>
        <rFont val="Arial"/>
        <family val="2"/>
      </rPr>
      <t>diff</t>
    </r>
  </si>
  <si>
    <r>
      <t>V</t>
    </r>
    <r>
      <rPr>
        <vertAlign val="subscript"/>
        <sz val="16"/>
        <rFont val="Arial"/>
        <family val="2"/>
      </rPr>
      <t>sense_max</t>
    </r>
  </si>
  <si>
    <t>Rg</t>
  </si>
  <si>
    <t>R32+R37</t>
  </si>
  <si>
    <t>Rh</t>
  </si>
  <si>
    <t xml:space="preserve">Second end of the modultaor is grounded the effective resistance is a parallel combination </t>
  </si>
  <si>
    <t>Effective Reistor Divider Gain</t>
  </si>
  <si>
    <r>
      <t>V</t>
    </r>
    <r>
      <rPr>
        <vertAlign val="subscript"/>
        <sz val="16"/>
        <rFont val="Arial"/>
        <family val="2"/>
      </rPr>
      <t>max_sensed</t>
    </r>
  </si>
  <si>
    <r>
      <t>V</t>
    </r>
    <r>
      <rPr>
        <vertAlign val="subscript"/>
        <sz val="16"/>
        <rFont val="Arial"/>
        <family val="2"/>
      </rPr>
      <t>linear_range</t>
    </r>
  </si>
  <si>
    <t>Rsh</t>
  </si>
  <si>
    <r>
      <t>I</t>
    </r>
    <r>
      <rPr>
        <vertAlign val="subscript"/>
        <sz val="16"/>
        <rFont val="Arial"/>
        <family val="2"/>
      </rPr>
      <t>max_sensed</t>
    </r>
  </si>
  <si>
    <r>
      <t>I</t>
    </r>
    <r>
      <rPr>
        <vertAlign val="subscript"/>
        <sz val="16"/>
        <rFont val="Arial"/>
        <family val="2"/>
      </rPr>
      <t>linear_sensed</t>
    </r>
  </si>
  <si>
    <r>
      <t>V</t>
    </r>
    <r>
      <rPr>
        <vertAlign val="subscript"/>
        <sz val="16"/>
        <rFont val="Arial"/>
        <family val="2"/>
      </rPr>
      <t>linear_sensed</t>
    </r>
  </si>
  <si>
    <t>Voltage is sensed using a resistor divider circuitry</t>
  </si>
  <si>
    <t>Power Rating</t>
  </si>
  <si>
    <t>VA</t>
  </si>
  <si>
    <t>Switching Frequency</t>
  </si>
  <si>
    <t>Hz</t>
  </si>
  <si>
    <t>Current at 110Vrms</t>
  </si>
  <si>
    <t>Current at 220Vrms</t>
  </si>
  <si>
    <t>Ipeak</t>
  </si>
  <si>
    <t>percent</t>
  </si>
  <si>
    <t>Li (min)</t>
  </si>
  <si>
    <t>DC Bus</t>
  </si>
  <si>
    <t>Inductance Li Calculation</t>
  </si>
  <si>
    <t>H</t>
  </si>
  <si>
    <t>Ripple Toerable at 110</t>
  </si>
  <si>
    <t>Ripple Tolerable at 220</t>
  </si>
  <si>
    <t>delta I</t>
  </si>
  <si>
    <t>Capacitance Li Calculation</t>
  </si>
  <si>
    <t>Cf</t>
  </si>
  <si>
    <t>uF</t>
  </si>
  <si>
    <t>LC Filter Cuttoff</t>
  </si>
  <si>
    <t>Inductance Lg Calculation</t>
  </si>
  <si>
    <t>f at 110</t>
  </si>
  <si>
    <t>f at 220</t>
  </si>
  <si>
    <t>Cf at 110Vrms for rated VAR exchange in CAP</t>
  </si>
  <si>
    <t>Li (min) at</t>
  </si>
  <si>
    <t>VAR at 110</t>
  </si>
  <si>
    <t>VAR at 220</t>
  </si>
  <si>
    <t>Lg</t>
  </si>
  <si>
    <t>Fsw/6</t>
  </si>
  <si>
    <t>LCL Filter Resonance</t>
  </si>
  <si>
    <t>mH</t>
  </si>
  <si>
    <t>Faraday's Law</t>
  </si>
  <si>
    <t>Ripple</t>
  </si>
  <si>
    <t>%</t>
  </si>
  <si>
    <t>Delta I</t>
  </si>
  <si>
    <t>Vdc_Bus</t>
  </si>
  <si>
    <t>Ampere's Law</t>
  </si>
  <si>
    <t>Max energy stored in the inductor</t>
  </si>
  <si>
    <t>W</t>
  </si>
  <si>
    <t>Core</t>
  </si>
  <si>
    <t>C055439A2</t>
  </si>
  <si>
    <t>nH/N^2</t>
  </si>
  <si>
    <t>mm^2</t>
  </si>
  <si>
    <t>Winding Factor</t>
  </si>
  <si>
    <t>mm</t>
  </si>
  <si>
    <t>Resistance (DCR)</t>
  </si>
  <si>
    <t>Current Density (J)</t>
  </si>
  <si>
    <t>A/mm^2</t>
  </si>
  <si>
    <t>Ohm/Km</t>
  </si>
  <si>
    <t>Desired Inductance Value</t>
  </si>
  <si>
    <t>DC Current</t>
  </si>
  <si>
    <t>Inductance Specification</t>
  </si>
  <si>
    <t>Core Specification</t>
  </si>
  <si>
    <t>http://www.mag-inc.com/</t>
  </si>
  <si>
    <t>Permeance of the core</t>
  </si>
  <si>
    <t>Window Area of the core selected</t>
  </si>
  <si>
    <t>Length of wire needed for N Turns</t>
  </si>
  <si>
    <t xml:space="preserve">Wire Selection </t>
  </si>
  <si>
    <t>Wire Gauge</t>
  </si>
  <si>
    <t>AWG</t>
  </si>
  <si>
    <t xml:space="preserve">Diameter Complete of the </t>
  </si>
  <si>
    <t>Cross Section Area</t>
  </si>
  <si>
    <t>Conductor resistance</t>
  </si>
  <si>
    <t>Max. No of Turns Possible</t>
  </si>
  <si>
    <t>N: Turns Required for the desired inductance , must be less than the Max. No of Turns allowed with the core selection</t>
  </si>
  <si>
    <t>Inductor Design Check &amp; Specification</t>
  </si>
  <si>
    <t>Winding Length for Winding Factor percentage for the core selected</t>
  </si>
  <si>
    <t>Minimum Bus Voltage (V)</t>
  </si>
  <si>
    <t>DC Bus Calculation</t>
  </si>
  <si>
    <t>% DC Bus Ripple Tolerable</t>
  </si>
  <si>
    <t>DC Bus Ripple</t>
  </si>
  <si>
    <t>Cbus at 220 Vrms</t>
  </si>
  <si>
    <t>Cbus at 110 Vrms</t>
  </si>
  <si>
    <t>RAFsw</t>
  </si>
  <si>
    <t>RAFsw in dB</t>
  </si>
  <si>
    <t>Switching Ripple Attenuation</t>
  </si>
  <si>
    <t>Inverter current sw attenuation (factor of the ripple tolerated in the inductor) at 110Vrms</t>
  </si>
  <si>
    <t>Inverter current sw attenuation (factor of the ripple tolerated in the inductor) at 220Vrms</t>
  </si>
  <si>
    <t>Total Switching Ripple at 110Vrms</t>
  </si>
  <si>
    <t>Total Switching Ripple at 220Vrms</t>
  </si>
  <si>
    <t>Capacitance Cf Calculation</t>
  </si>
  <si>
    <t xml:space="preserve">First get the values for natural frequency from an assumption of setlling time </t>
  </si>
  <si>
    <t>Setlling Time</t>
  </si>
  <si>
    <t>ts</t>
  </si>
  <si>
    <t>ms</t>
  </si>
  <si>
    <t>Damping Ratio</t>
  </si>
  <si>
    <t>Error Band</t>
  </si>
  <si>
    <t>c=wn/wd</t>
  </si>
  <si>
    <t>ln(c/delta)</t>
  </si>
  <si>
    <t>wn</t>
  </si>
  <si>
    <t>Compare this with generic second order equation</t>
  </si>
  <si>
    <t>Where</t>
  </si>
  <si>
    <t>Substituting we get Kp and Ki</t>
  </si>
  <si>
    <t>Assuming vgrid=1</t>
  </si>
  <si>
    <t>Ti</t>
  </si>
  <si>
    <t>Kp</t>
  </si>
  <si>
    <t>Ki</t>
  </si>
  <si>
    <t>Comparing this with digital implementation of PI controller</t>
  </si>
  <si>
    <t>Fs</t>
  </si>
  <si>
    <t>Ts</t>
  </si>
  <si>
    <t>B0</t>
  </si>
  <si>
    <t>B1</t>
  </si>
  <si>
    <t>SPLL Specification</t>
  </si>
  <si>
    <t xml:space="preserve">For tuning of the SPLL, the PLL is assumed to be a second order system and the settling time and damping ratio equation of a second order system are used to tune the loop </t>
  </si>
  <si>
    <t>Simplified  PLL TF is given as</t>
  </si>
  <si>
    <t>Analog Coefficients</t>
  </si>
  <si>
    <t>Digital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</si>
</sst>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vertAlign val="subscript"/>
      <sz val="16"/>
      <color theme="0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9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10" xfId="0" applyBorder="1"/>
    <xf numFmtId="11" fontId="4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3" fillId="0" borderId="10" xfId="0" applyFont="1" applyBorder="1"/>
    <xf numFmtId="0" fontId="3" fillId="3" borderId="0" xfId="0" applyFont="1" applyFill="1" applyBorder="1"/>
    <xf numFmtId="0" fontId="3" fillId="0" borderId="5" xfId="0" applyFont="1" applyBorder="1"/>
    <xf numFmtId="0" fontId="3" fillId="0" borderId="8" xfId="0" applyFont="1" applyBorder="1"/>
    <xf numFmtId="0" fontId="6" fillId="0" borderId="4" xfId="0" applyFont="1" applyBorder="1"/>
    <xf numFmtId="0" fontId="8" fillId="0" borderId="4" xfId="0" applyFont="1" applyBorder="1"/>
    <xf numFmtId="0" fontId="10" fillId="0" borderId="5" xfId="0" applyFont="1" applyBorder="1"/>
    <xf numFmtId="0" fontId="10" fillId="0" borderId="0" xfId="0" applyFont="1" applyBorder="1"/>
    <xf numFmtId="0" fontId="10" fillId="3" borderId="10" xfId="0" applyFont="1" applyFill="1" applyBorder="1"/>
    <xf numFmtId="0" fontId="6" fillId="0" borderId="7" xfId="0" applyFont="1" applyBorder="1"/>
    <xf numFmtId="0" fontId="11" fillId="3" borderId="9" xfId="0" applyFont="1" applyFill="1" applyBorder="1" applyAlignment="1">
      <alignment horizontal="left"/>
    </xf>
    <xf numFmtId="0" fontId="10" fillId="0" borderId="4" xfId="0" applyFont="1" applyBorder="1"/>
    <xf numFmtId="0" fontId="10" fillId="0" borderId="6" xfId="0" applyFont="1" applyBorder="1" applyAlignment="1">
      <alignment horizontal="left" wrapText="1"/>
    </xf>
    <xf numFmtId="0" fontId="10" fillId="0" borderId="7" xfId="0" applyFont="1" applyBorder="1"/>
    <xf numFmtId="0" fontId="10" fillId="0" borderId="8" xfId="0" applyFont="1" applyBorder="1" applyAlignment="1">
      <alignment horizontal="left" wrapText="1"/>
    </xf>
    <xf numFmtId="0" fontId="10" fillId="0" borderId="7" xfId="0" applyFont="1" applyFill="1" applyBorder="1" applyAlignment="1">
      <alignment horizontal="left"/>
    </xf>
    <xf numFmtId="0" fontId="10" fillId="0" borderId="8" xfId="0" applyFont="1" applyBorder="1"/>
    <xf numFmtId="0" fontId="10" fillId="0" borderId="11" xfId="0" applyFont="1" applyBorder="1"/>
    <xf numFmtId="0" fontId="10" fillId="0" borderId="7" xfId="0" applyFont="1" applyFill="1" applyBorder="1"/>
    <xf numFmtId="0" fontId="10" fillId="0" borderId="7" xfId="0" applyFont="1" applyBorder="1" applyAlignment="1">
      <alignment wrapText="1"/>
    </xf>
    <xf numFmtId="0" fontId="6" fillId="3" borderId="9" xfId="0" applyFont="1" applyFill="1" applyBorder="1"/>
    <xf numFmtId="0" fontId="3" fillId="0" borderId="8" xfId="0" applyFont="1" applyBorder="1" applyAlignment="1">
      <alignment horizontal="center" wrapText="1"/>
    </xf>
    <xf numFmtId="0" fontId="8" fillId="3" borderId="7" xfId="0" applyFont="1" applyFill="1" applyBorder="1"/>
    <xf numFmtId="0" fontId="10" fillId="3" borderId="0" xfId="0" applyFont="1" applyFill="1" applyBorder="1"/>
    <xf numFmtId="0" fontId="10" fillId="0" borderId="10" xfId="0" applyFont="1" applyBorder="1"/>
    <xf numFmtId="0" fontId="8" fillId="0" borderId="7" xfId="0" applyFont="1" applyBorder="1"/>
    <xf numFmtId="0" fontId="3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9" xfId="0" applyFont="1" applyBorder="1"/>
    <xf numFmtId="0" fontId="3" fillId="0" borderId="8" xfId="0" applyFont="1" applyBorder="1" applyAlignment="1">
      <alignment wrapText="1"/>
    </xf>
    <xf numFmtId="0" fontId="8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3" fillId="0" borderId="0" xfId="0" applyFont="1" applyFill="1" applyBorder="1"/>
    <xf numFmtId="0" fontId="10" fillId="0" borderId="9" xfId="0" applyFont="1" applyBorder="1" applyAlignment="1">
      <alignment wrapText="1"/>
    </xf>
    <xf numFmtId="0" fontId="10" fillId="0" borderId="4" xfId="0" applyFont="1" applyFill="1" applyBorder="1"/>
    <xf numFmtId="0" fontId="0" fillId="0" borderId="5" xfId="0" applyBorder="1"/>
    <xf numFmtId="0" fontId="10" fillId="0" borderId="9" xfId="0" applyFont="1" applyFill="1" applyBorder="1"/>
    <xf numFmtId="0" fontId="10" fillId="0" borderId="0" xfId="0" applyFont="1" applyFill="1" applyBorder="1"/>
    <xf numFmtId="0" fontId="10" fillId="0" borderId="7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3" fillId="0" borderId="0" xfId="0" applyFont="1"/>
    <xf numFmtId="0" fontId="0" fillId="0" borderId="7" xfId="0" applyBorder="1"/>
    <xf numFmtId="0" fontId="0" fillId="0" borderId="9" xfId="0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0" fillId="0" borderId="8" xfId="0" applyFont="1" applyFill="1" applyBorder="1"/>
    <xf numFmtId="0" fontId="3" fillId="0" borderId="9" xfId="0" applyFont="1" applyFill="1" applyBorder="1"/>
    <xf numFmtId="0" fontId="0" fillId="0" borderId="11" xfId="0" applyFont="1" applyFill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3" fillId="0" borderId="9" xfId="0" applyFont="1" applyBorder="1"/>
    <xf numFmtId="0" fontId="3" fillId="0" borderId="7" xfId="0" applyFont="1" applyBorder="1" applyAlignment="1">
      <alignment wrapText="1"/>
    </xf>
    <xf numFmtId="0" fontId="3" fillId="0" borderId="8" xfId="1" applyBorder="1"/>
    <xf numFmtId="0" fontId="10" fillId="0" borderId="4" xfId="1" applyFont="1" applyBorder="1"/>
    <xf numFmtId="0" fontId="10" fillId="0" borderId="7" xfId="1" applyFont="1" applyBorder="1"/>
    <xf numFmtId="0" fontId="10" fillId="0" borderId="9" xfId="0" applyFont="1" applyBorder="1"/>
    <xf numFmtId="0" fontId="10" fillId="0" borderId="0" xfId="0" applyFont="1"/>
    <xf numFmtId="0" fontId="10" fillId="0" borderId="10" xfId="0" applyFont="1" applyFill="1" applyBorder="1"/>
    <xf numFmtId="0" fontId="10" fillId="0" borderId="5" xfId="0" applyFont="1" applyFill="1" applyBorder="1"/>
    <xf numFmtId="0" fontId="10" fillId="0" borderId="5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3" borderId="7" xfId="0" applyFont="1" applyFill="1" applyBorder="1"/>
    <xf numFmtId="0" fontId="10" fillId="3" borderId="4" xfId="0" applyFont="1" applyFill="1" applyBorder="1"/>
    <xf numFmtId="0" fontId="10" fillId="3" borderId="5" xfId="0" applyFont="1" applyFill="1" applyBorder="1"/>
    <xf numFmtId="0" fontId="3" fillId="0" borderId="5" xfId="1" applyBorder="1"/>
    <xf numFmtId="0" fontId="3" fillId="0" borderId="0" xfId="1" applyBorder="1"/>
    <xf numFmtId="0" fontId="10" fillId="0" borderId="7" xfId="1" applyFont="1" applyBorder="1" applyAlignment="1">
      <alignment wrapText="1"/>
    </xf>
    <xf numFmtId="0" fontId="10" fillId="0" borderId="9" xfId="1" applyFont="1" applyFill="1" applyBorder="1" applyAlignment="1">
      <alignment wrapText="1"/>
    </xf>
    <xf numFmtId="0" fontId="0" fillId="0" borderId="0" xfId="0" applyBorder="1" applyAlignment="1">
      <alignment horizontal="center"/>
    </xf>
    <xf numFmtId="17" fontId="0" fillId="0" borderId="0" xfId="0" applyNumberFormat="1"/>
    <xf numFmtId="0" fontId="0" fillId="4" borderId="0" xfId="0" applyFill="1"/>
    <xf numFmtId="0" fontId="13" fillId="4" borderId="0" xfId="0" applyFont="1" applyFill="1" applyAlignment="1"/>
    <xf numFmtId="0" fontId="0" fillId="0" borderId="15" xfId="0" applyBorder="1"/>
    <xf numFmtId="0" fontId="0" fillId="4" borderId="15" xfId="0" applyFill="1" applyBorder="1" applyAlignment="1"/>
    <xf numFmtId="0" fontId="0" fillId="4" borderId="15" xfId="0" applyFill="1" applyBorder="1"/>
    <xf numFmtId="0" fontId="13" fillId="0" borderId="16" xfId="0" applyFont="1" applyFill="1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19" xfId="0" applyFill="1" applyBorder="1" applyAlignment="1"/>
    <xf numFmtId="0" fontId="13" fillId="4" borderId="20" xfId="0" applyFont="1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  <xf numFmtId="0" fontId="3" fillId="0" borderId="10" xfId="1" applyBorder="1" applyAlignment="1">
      <alignment horizontal="center"/>
    </xf>
    <xf numFmtId="0" fontId="3" fillId="0" borderId="11" xfId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wmf"/><Relationship Id="rId4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9.wmf"/><Relationship Id="rId3" Type="http://schemas.openxmlformats.org/officeDocument/2006/relationships/image" Target="../media/image24.emf"/><Relationship Id="rId7" Type="http://schemas.openxmlformats.org/officeDocument/2006/relationships/image" Target="../media/image28.wmf"/><Relationship Id="rId2" Type="http://schemas.openxmlformats.org/officeDocument/2006/relationships/image" Target="../media/image23.emf"/><Relationship Id="rId1" Type="http://schemas.openxmlformats.org/officeDocument/2006/relationships/image" Target="../media/image22.wmf"/><Relationship Id="rId6" Type="http://schemas.openxmlformats.org/officeDocument/2006/relationships/image" Target="../media/image27.w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2</xdr:row>
      <xdr:rowOff>209550</xdr:rowOff>
    </xdr:from>
    <xdr:to>
      <xdr:col>4</xdr:col>
      <xdr:colOff>2552701</xdr:colOff>
      <xdr:row>7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6" y="647700"/>
          <a:ext cx="2514600" cy="11811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8</xdr:row>
      <xdr:rowOff>133351</xdr:rowOff>
    </xdr:from>
    <xdr:to>
      <xdr:col>4</xdr:col>
      <xdr:colOff>2476500</xdr:colOff>
      <xdr:row>13</xdr:row>
      <xdr:rowOff>211403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105026"/>
          <a:ext cx="2381250" cy="133535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16</xdr:row>
      <xdr:rowOff>314325</xdr:rowOff>
    </xdr:from>
    <xdr:to>
      <xdr:col>4</xdr:col>
      <xdr:colOff>2552700</xdr:colOff>
      <xdr:row>19</xdr:row>
      <xdr:rowOff>152402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4362450"/>
          <a:ext cx="2514600" cy="1143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5</xdr:row>
      <xdr:rowOff>152400</xdr:rowOff>
    </xdr:from>
    <xdr:to>
      <xdr:col>4</xdr:col>
      <xdr:colOff>2752725</xdr:colOff>
      <xdr:row>9</xdr:row>
      <xdr:rowOff>211839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2066925"/>
          <a:ext cx="2647950" cy="131673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152401</xdr:colOff>
      <xdr:row>12</xdr:row>
      <xdr:rowOff>104775</xdr:rowOff>
    </xdr:from>
    <xdr:to>
      <xdr:col>4</xdr:col>
      <xdr:colOff>2686051</xdr:colOff>
      <xdr:row>15</xdr:row>
      <xdr:rowOff>181739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6" y="4114800"/>
          <a:ext cx="2533650" cy="8961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7</xdr:row>
          <xdr:rowOff>161925</xdr:rowOff>
        </xdr:from>
        <xdr:to>
          <xdr:col>6</xdr:col>
          <xdr:colOff>342900</xdr:colOff>
          <xdr:row>10</xdr:row>
          <xdr:rowOff>47625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8</xdr:row>
          <xdr:rowOff>66675</xdr:rowOff>
        </xdr:from>
        <xdr:to>
          <xdr:col>6</xdr:col>
          <xdr:colOff>542925</xdr:colOff>
          <xdr:row>11</xdr:row>
          <xdr:rowOff>104775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14</xdr:row>
          <xdr:rowOff>104775</xdr:rowOff>
        </xdr:from>
        <xdr:to>
          <xdr:col>6</xdr:col>
          <xdr:colOff>561975</xdr:colOff>
          <xdr:row>16</xdr:row>
          <xdr:rowOff>247650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19</xdr:row>
          <xdr:rowOff>76200</xdr:rowOff>
        </xdr:from>
        <xdr:to>
          <xdr:col>7</xdr:col>
          <xdr:colOff>19050</xdr:colOff>
          <xdr:row>21</xdr:row>
          <xdr:rowOff>133350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142875</xdr:colOff>
          <xdr:row>24</xdr:row>
          <xdr:rowOff>0</xdr:rowOff>
        </xdr:from>
        <xdr:to>
          <xdr:col>6</xdr:col>
          <xdr:colOff>400050</xdr:colOff>
          <xdr:row>26</xdr:row>
          <xdr:rowOff>76200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31</xdr:row>
          <xdr:rowOff>542925</xdr:rowOff>
        </xdr:from>
        <xdr:to>
          <xdr:col>6</xdr:col>
          <xdr:colOff>552450</xdr:colOff>
          <xdr:row>32</xdr:row>
          <xdr:rowOff>409575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104775</xdr:rowOff>
        </xdr:from>
        <xdr:to>
          <xdr:col>8</xdr:col>
          <xdr:colOff>352425</xdr:colOff>
          <xdr:row>3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142875</xdr:rowOff>
        </xdr:from>
        <xdr:to>
          <xdr:col>8</xdr:col>
          <xdr:colOff>238125</xdr:colOff>
          <xdr:row>6</xdr:row>
          <xdr:rowOff>57150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</xdr:row>
          <xdr:rowOff>66675</xdr:rowOff>
        </xdr:from>
        <xdr:to>
          <xdr:col>8</xdr:col>
          <xdr:colOff>314325</xdr:colOff>
          <xdr:row>9</xdr:row>
          <xdr:rowOff>28575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10</xdr:row>
          <xdr:rowOff>9525</xdr:rowOff>
        </xdr:from>
        <xdr:to>
          <xdr:col>8</xdr:col>
          <xdr:colOff>180975</xdr:colOff>
          <xdr:row>13</xdr:row>
          <xdr:rowOff>19050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20</xdr:row>
          <xdr:rowOff>123825</xdr:rowOff>
        </xdr:from>
        <xdr:to>
          <xdr:col>8</xdr:col>
          <xdr:colOff>161925</xdr:colOff>
          <xdr:row>23</xdr:row>
          <xdr:rowOff>95250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17</xdr:row>
          <xdr:rowOff>114300</xdr:rowOff>
        </xdr:from>
        <xdr:to>
          <xdr:col>10</xdr:col>
          <xdr:colOff>95250</xdr:colOff>
          <xdr:row>19</xdr:row>
          <xdr:rowOff>161925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25</xdr:row>
          <xdr:rowOff>361950</xdr:rowOff>
        </xdr:from>
        <xdr:to>
          <xdr:col>8</xdr:col>
          <xdr:colOff>38100</xdr:colOff>
          <xdr:row>28</xdr:row>
          <xdr:rowOff>47625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28</xdr:row>
          <xdr:rowOff>161925</xdr:rowOff>
        </xdr:from>
        <xdr:to>
          <xdr:col>9</xdr:col>
          <xdr:colOff>333375</xdr:colOff>
          <xdr:row>33</xdr:row>
          <xdr:rowOff>133350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23</xdr:row>
          <xdr:rowOff>219075</xdr:rowOff>
        </xdr:from>
        <xdr:to>
          <xdr:col>11</xdr:col>
          <xdr:colOff>485775</xdr:colOff>
          <xdr:row>25</xdr:row>
          <xdr:rowOff>266700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13</xdr:row>
          <xdr:rowOff>114300</xdr:rowOff>
        </xdr:from>
        <xdr:to>
          <xdr:col>12</xdr:col>
          <xdr:colOff>0</xdr:colOff>
          <xdr:row>16</xdr:row>
          <xdr:rowOff>142875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11</xdr:row>
          <xdr:rowOff>19050</xdr:rowOff>
        </xdr:from>
        <xdr:to>
          <xdr:col>4</xdr:col>
          <xdr:colOff>47625</xdr:colOff>
          <xdr:row>13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476250</xdr:colOff>
          <xdr:row>11</xdr:row>
          <xdr:rowOff>38100</xdr:rowOff>
        </xdr:from>
        <xdr:to>
          <xdr:col>6</xdr:col>
          <xdr:colOff>514350</xdr:colOff>
          <xdr:row>13</xdr:row>
          <xdr:rowOff>152400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38100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18</xdr:row>
          <xdr:rowOff>0</xdr:rowOff>
        </xdr:from>
        <xdr:to>
          <xdr:col>1</xdr:col>
          <xdr:colOff>323850</xdr:colOff>
          <xdr:row>19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21</xdr:row>
          <xdr:rowOff>19050</xdr:rowOff>
        </xdr:from>
        <xdr:to>
          <xdr:col>1</xdr:col>
          <xdr:colOff>381000</xdr:colOff>
          <xdr:row>22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2</xdr:row>
          <xdr:rowOff>38100</xdr:rowOff>
        </xdr:from>
        <xdr:to>
          <xdr:col>7</xdr:col>
          <xdr:colOff>409575</xdr:colOff>
          <xdr:row>6</xdr:row>
          <xdr:rowOff>161925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7</xdr:row>
          <xdr:rowOff>133350</xdr:rowOff>
        </xdr:from>
        <xdr:to>
          <xdr:col>5</xdr:col>
          <xdr:colOff>600075</xdr:colOff>
          <xdr:row>10</xdr:row>
          <xdr:rowOff>28575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28</xdr:row>
          <xdr:rowOff>47625</xdr:rowOff>
        </xdr:from>
        <xdr:to>
          <xdr:col>3</xdr:col>
          <xdr:colOff>533400</xdr:colOff>
          <xdr:row>31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11.w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oleObject" Target="../embeddings/oleObject12.bin"/><Relationship Id="rId18" Type="http://schemas.openxmlformats.org/officeDocument/2006/relationships/image" Target="../media/image19.emf"/><Relationship Id="rId3" Type="http://schemas.openxmlformats.org/officeDocument/2006/relationships/oleObject" Target="../embeddings/oleObject7.bin"/><Relationship Id="rId21" Type="http://schemas.openxmlformats.org/officeDocument/2006/relationships/oleObject" Target="../embeddings/oleObject16.bin"/><Relationship Id="rId7" Type="http://schemas.openxmlformats.org/officeDocument/2006/relationships/oleObject" Target="../embeddings/oleObject9.bin"/><Relationship Id="rId12" Type="http://schemas.openxmlformats.org/officeDocument/2006/relationships/image" Target="../media/image16.emf"/><Relationship Id="rId17" Type="http://schemas.openxmlformats.org/officeDocument/2006/relationships/oleObject" Target="../embeddings/oleObject14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8.emf"/><Relationship Id="rId20" Type="http://schemas.openxmlformats.org/officeDocument/2006/relationships/image" Target="../media/image20.emf"/><Relationship Id="rId1" Type="http://schemas.openxmlformats.org/officeDocument/2006/relationships/drawing" Target="../drawings/drawing5.xml"/><Relationship Id="rId6" Type="http://schemas.openxmlformats.org/officeDocument/2006/relationships/image" Target="../media/image13.emf"/><Relationship Id="rId11" Type="http://schemas.openxmlformats.org/officeDocument/2006/relationships/oleObject" Target="../embeddings/oleObject11.bin"/><Relationship Id="rId5" Type="http://schemas.openxmlformats.org/officeDocument/2006/relationships/oleObject" Target="../embeddings/oleObject8.bin"/><Relationship Id="rId15" Type="http://schemas.openxmlformats.org/officeDocument/2006/relationships/oleObject" Target="../embeddings/oleObject13.bin"/><Relationship Id="rId10" Type="http://schemas.openxmlformats.org/officeDocument/2006/relationships/image" Target="../media/image15.emf"/><Relationship Id="rId19" Type="http://schemas.openxmlformats.org/officeDocument/2006/relationships/oleObject" Target="../embeddings/oleObject15.bin"/><Relationship Id="rId4" Type="http://schemas.openxmlformats.org/officeDocument/2006/relationships/image" Target="../media/image12.emf"/><Relationship Id="rId9" Type="http://schemas.openxmlformats.org/officeDocument/2006/relationships/oleObject" Target="../embeddings/oleObject10.bin"/><Relationship Id="rId14" Type="http://schemas.openxmlformats.org/officeDocument/2006/relationships/image" Target="../media/image17.emf"/><Relationship Id="rId22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image" Target="../media/image26.emf"/><Relationship Id="rId18" Type="http://schemas.openxmlformats.org/officeDocument/2006/relationships/oleObject" Target="../embeddings/oleObject2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23.emf"/><Relationship Id="rId12" Type="http://schemas.openxmlformats.org/officeDocument/2006/relationships/oleObject" Target="../embeddings/oleObject21.bin"/><Relationship Id="rId17" Type="http://schemas.openxmlformats.org/officeDocument/2006/relationships/image" Target="../media/image28.w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23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25.emf"/><Relationship Id="rId5" Type="http://schemas.openxmlformats.org/officeDocument/2006/relationships/image" Target="../media/image22.wmf"/><Relationship Id="rId15" Type="http://schemas.openxmlformats.org/officeDocument/2006/relationships/image" Target="../media/image27.wmf"/><Relationship Id="rId10" Type="http://schemas.openxmlformats.org/officeDocument/2006/relationships/oleObject" Target="../embeddings/oleObject20.bin"/><Relationship Id="rId19" Type="http://schemas.openxmlformats.org/officeDocument/2006/relationships/image" Target="../media/image29.wmf"/><Relationship Id="rId4" Type="http://schemas.openxmlformats.org/officeDocument/2006/relationships/oleObject" Target="../embeddings/oleObject17.bin"/><Relationship Id="rId9" Type="http://schemas.openxmlformats.org/officeDocument/2006/relationships/image" Target="../media/image24.emf"/><Relationship Id="rId14" Type="http://schemas.openxmlformats.org/officeDocument/2006/relationships/oleObject" Target="../embeddings/oleObject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1"/>
  <sheetViews>
    <sheetView zoomScaleNormal="100" workbookViewId="0">
      <selection activeCell="J13" sqref="J13"/>
    </sheetView>
  </sheetViews>
  <sheetFormatPr defaultRowHeight="12.75" x14ac:dyDescent="0.2"/>
  <cols>
    <col min="1" max="1" width="17.7109375" customWidth="1"/>
    <col min="2" max="2" width="10.28515625" bestFit="1" customWidth="1"/>
    <col min="3" max="3" width="6.42578125" customWidth="1"/>
    <col min="4" max="4" width="18.5703125" customWidth="1"/>
    <col min="5" max="5" width="39" customWidth="1"/>
  </cols>
  <sheetData>
    <row r="1" spans="1:5" ht="15.75" thickBot="1" x14ac:dyDescent="0.25">
      <c r="A1" s="19" t="s">
        <v>10</v>
      </c>
      <c r="B1" s="14">
        <v>3.3</v>
      </c>
      <c r="C1" s="10" t="s">
        <v>5</v>
      </c>
      <c r="D1" s="7" t="s">
        <v>23</v>
      </c>
    </row>
    <row r="2" spans="1:5" ht="18.75" thickBot="1" x14ac:dyDescent="0.3">
      <c r="A2" s="100" t="s">
        <v>9</v>
      </c>
      <c r="B2" s="101"/>
      <c r="C2" s="101"/>
      <c r="D2" s="101"/>
      <c r="E2" s="102"/>
    </row>
    <row r="3" spans="1:5" ht="24" thickBot="1" x14ac:dyDescent="0.45">
      <c r="A3" s="103" t="s">
        <v>34</v>
      </c>
      <c r="B3" s="104"/>
      <c r="C3" s="104"/>
      <c r="D3" s="105"/>
      <c r="E3" s="97"/>
    </row>
    <row r="4" spans="1:5" ht="15" x14ac:dyDescent="0.2">
      <c r="A4" s="21" t="s">
        <v>21</v>
      </c>
      <c r="B4" s="15">
        <v>3000000</v>
      </c>
      <c r="C4" s="15" t="s">
        <v>2</v>
      </c>
      <c r="D4" s="15" t="s">
        <v>3</v>
      </c>
      <c r="E4" s="98"/>
    </row>
    <row r="5" spans="1:5" ht="15" x14ac:dyDescent="0.2">
      <c r="A5" s="21" t="s">
        <v>22</v>
      </c>
      <c r="B5" s="15">
        <v>11000</v>
      </c>
      <c r="C5" s="15" t="s">
        <v>2</v>
      </c>
      <c r="D5" s="24" t="s">
        <v>1</v>
      </c>
      <c r="E5" s="98"/>
    </row>
    <row r="6" spans="1:5" ht="30" x14ac:dyDescent="0.2">
      <c r="A6" s="27" t="s">
        <v>29</v>
      </c>
      <c r="B6" s="15">
        <f>B5/(B4+B5)</f>
        <v>3.6532713384257723E-3</v>
      </c>
      <c r="C6" s="15"/>
      <c r="D6" s="24"/>
      <c r="E6" s="98"/>
    </row>
    <row r="7" spans="1:5" ht="15" x14ac:dyDescent="0.2">
      <c r="A7" s="21" t="s">
        <v>30</v>
      </c>
      <c r="B7" s="15">
        <v>2</v>
      </c>
      <c r="C7" s="15"/>
      <c r="D7" s="24"/>
      <c r="E7" s="98"/>
    </row>
    <row r="8" spans="1:5" ht="21.75" customHeight="1" thickBot="1" x14ac:dyDescent="0.4">
      <c r="A8" s="28" t="s">
        <v>42</v>
      </c>
      <c r="B8" s="16">
        <f>B1/(B6*B7)</f>
        <v>451.65</v>
      </c>
      <c r="C8" s="16" t="s">
        <v>13</v>
      </c>
      <c r="D8" s="25"/>
      <c r="E8" s="99"/>
    </row>
    <row r="9" spans="1:5" ht="24" thickBot="1" x14ac:dyDescent="0.45">
      <c r="A9" s="103" t="s">
        <v>35</v>
      </c>
      <c r="B9" s="104"/>
      <c r="C9" s="104"/>
      <c r="D9" s="105"/>
      <c r="E9" s="97"/>
    </row>
    <row r="10" spans="1:5" ht="15" x14ac:dyDescent="0.2">
      <c r="A10" s="26" t="s">
        <v>25</v>
      </c>
      <c r="B10" s="15">
        <v>3001000</v>
      </c>
      <c r="C10" s="15" t="s">
        <v>2</v>
      </c>
      <c r="D10" s="24" t="s">
        <v>11</v>
      </c>
      <c r="E10" s="98"/>
    </row>
    <row r="11" spans="1:5" ht="15" x14ac:dyDescent="0.2">
      <c r="A11" s="26" t="s">
        <v>26</v>
      </c>
      <c r="B11" s="15">
        <v>11000</v>
      </c>
      <c r="C11" s="15" t="s">
        <v>2</v>
      </c>
      <c r="D11" s="24" t="s">
        <v>24</v>
      </c>
      <c r="E11" s="98"/>
    </row>
    <row r="12" spans="1:5" ht="30" x14ac:dyDescent="0.2">
      <c r="A12" s="27" t="s">
        <v>29</v>
      </c>
      <c r="B12" s="15">
        <f>B11/(B10)</f>
        <v>3.6654448517160947E-3</v>
      </c>
      <c r="C12" s="15"/>
      <c r="D12" s="24"/>
      <c r="E12" s="98"/>
    </row>
    <row r="13" spans="1:5" ht="15" x14ac:dyDescent="0.2">
      <c r="A13" s="21" t="s">
        <v>6</v>
      </c>
      <c r="B13" s="15">
        <f>1.65</f>
        <v>1.65</v>
      </c>
      <c r="C13" s="15" t="s">
        <v>13</v>
      </c>
      <c r="D13" s="24"/>
      <c r="E13" s="98"/>
    </row>
    <row r="14" spans="1:5" ht="21.75" thickBot="1" x14ac:dyDescent="0.4">
      <c r="A14" s="28" t="s">
        <v>41</v>
      </c>
      <c r="B14" s="16">
        <f>(B1-B13)/(B12)</f>
        <v>450.15</v>
      </c>
      <c r="C14" s="16" t="s">
        <v>13</v>
      </c>
      <c r="D14" s="25"/>
      <c r="E14" s="99"/>
    </row>
    <row r="15" spans="1:5" ht="18.75" thickBot="1" x14ac:dyDescent="0.3">
      <c r="A15" s="100" t="s">
        <v>12</v>
      </c>
      <c r="B15" s="101"/>
      <c r="C15" s="101"/>
      <c r="D15" s="101"/>
      <c r="E15" s="102"/>
    </row>
    <row r="16" spans="1:5" ht="24" thickBot="1" x14ac:dyDescent="0.45">
      <c r="A16" s="103" t="s">
        <v>36</v>
      </c>
      <c r="B16" s="104"/>
      <c r="C16" s="104"/>
      <c r="D16" s="105"/>
      <c r="E16" s="97"/>
    </row>
    <row r="17" spans="1:5" ht="33.75" customHeight="1" x14ac:dyDescent="0.35">
      <c r="A17" s="12" t="s">
        <v>37</v>
      </c>
      <c r="B17" s="14">
        <v>0.625</v>
      </c>
      <c r="C17" s="14" t="s">
        <v>13</v>
      </c>
      <c r="D17" s="20" t="s">
        <v>31</v>
      </c>
      <c r="E17" s="98"/>
    </row>
    <row r="18" spans="1:5" ht="33.75" customHeight="1" x14ac:dyDescent="0.35">
      <c r="A18" s="17" t="s">
        <v>38</v>
      </c>
      <c r="B18" s="15">
        <v>3</v>
      </c>
      <c r="C18" s="15" t="s">
        <v>14</v>
      </c>
      <c r="D18" s="22" t="s">
        <v>32</v>
      </c>
      <c r="E18" s="98"/>
    </row>
    <row r="19" spans="1:5" ht="35.25" customHeight="1" x14ac:dyDescent="0.35">
      <c r="A19" s="17" t="s">
        <v>39</v>
      </c>
      <c r="B19" s="15">
        <f>B18*1.414</f>
        <v>4.242</v>
      </c>
      <c r="C19" s="15" t="s">
        <v>15</v>
      </c>
      <c r="D19" s="22" t="s">
        <v>33</v>
      </c>
      <c r="E19" s="98"/>
    </row>
    <row r="20" spans="1:5" ht="15" x14ac:dyDescent="0.2">
      <c r="A20" s="23" t="s">
        <v>27</v>
      </c>
      <c r="B20" s="15">
        <v>500000</v>
      </c>
      <c r="C20" s="15" t="s">
        <v>2</v>
      </c>
      <c r="D20" s="24" t="s">
        <v>7</v>
      </c>
      <c r="E20" s="98"/>
    </row>
    <row r="21" spans="1:5" ht="15" x14ac:dyDescent="0.2">
      <c r="A21" s="23" t="s">
        <v>28</v>
      </c>
      <c r="B21" s="15">
        <v>330000</v>
      </c>
      <c r="C21" s="15" t="s">
        <v>2</v>
      </c>
      <c r="D21" s="24" t="s">
        <v>8</v>
      </c>
      <c r="E21" s="98"/>
    </row>
    <row r="22" spans="1:5" ht="21.75" thickBot="1" x14ac:dyDescent="0.4">
      <c r="A22" s="18" t="s">
        <v>40</v>
      </c>
      <c r="B22" s="16">
        <f>B19*B1*0.5/(B17*B21/B20)</f>
        <v>16.968</v>
      </c>
      <c r="C22" s="16" t="s">
        <v>0</v>
      </c>
      <c r="D22" s="25"/>
      <c r="E22" s="99"/>
    </row>
    <row r="26" spans="1:5" ht="15" customHeight="1" x14ac:dyDescent="0.2"/>
    <row r="27" spans="1:5" x14ac:dyDescent="0.2">
      <c r="B27" s="6"/>
      <c r="C27" s="6"/>
    </row>
    <row r="28" spans="1:5" ht="19.5" customHeight="1" x14ac:dyDescent="0.2">
      <c r="B28" s="6"/>
      <c r="C28" s="6"/>
    </row>
    <row r="29" spans="1:5" ht="23.25" customHeight="1" x14ac:dyDescent="0.2">
      <c r="B29" s="6"/>
      <c r="C29" s="6"/>
    </row>
    <row r="30" spans="1:5" x14ac:dyDescent="0.2">
      <c r="B30" s="6"/>
      <c r="C30" s="6"/>
    </row>
    <row r="31" spans="1:5" x14ac:dyDescent="0.2">
      <c r="B31" s="6"/>
      <c r="C31" s="6"/>
    </row>
  </sheetData>
  <mergeCells count="8">
    <mergeCell ref="E16:E22"/>
    <mergeCell ref="E3:E8"/>
    <mergeCell ref="A2:E2"/>
    <mergeCell ref="A3:D3"/>
    <mergeCell ref="A9:D9"/>
    <mergeCell ref="A15:E15"/>
    <mergeCell ref="E9:E14"/>
    <mergeCell ref="A16:D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8"/>
  <sheetViews>
    <sheetView zoomScaleNormal="100" workbookViewId="0">
      <selection activeCell="H16" sqref="H16"/>
    </sheetView>
  </sheetViews>
  <sheetFormatPr defaultRowHeight="12.75" x14ac:dyDescent="0.2"/>
  <cols>
    <col min="1" max="1" width="17.85546875" customWidth="1"/>
    <col min="2" max="2" width="11.85546875" customWidth="1"/>
    <col min="3" max="3" width="6.140625" customWidth="1"/>
    <col min="4" max="4" width="33.7109375" customWidth="1"/>
    <col min="5" max="5" width="42.140625" customWidth="1"/>
  </cols>
  <sheetData>
    <row r="1" spans="1:5" ht="28.5" customHeight="1" x14ac:dyDescent="0.4">
      <c r="A1" s="13" t="s">
        <v>45</v>
      </c>
      <c r="B1" s="14">
        <v>0.3125</v>
      </c>
      <c r="C1" s="10" t="s">
        <v>13</v>
      </c>
      <c r="D1" s="34" t="s">
        <v>20</v>
      </c>
    </row>
    <row r="2" spans="1:5" ht="58.5" customHeight="1" x14ac:dyDescent="0.4">
      <c r="A2" s="35" t="s">
        <v>44</v>
      </c>
      <c r="B2" s="15">
        <v>12500</v>
      </c>
      <c r="C2" s="7" t="s">
        <v>2</v>
      </c>
      <c r="D2" s="29" t="s">
        <v>43</v>
      </c>
    </row>
    <row r="3" spans="1:5" ht="24" thickBot="1" x14ac:dyDescent="0.45">
      <c r="A3" s="33" t="s">
        <v>52</v>
      </c>
      <c r="B3" s="15">
        <v>0.25</v>
      </c>
      <c r="C3" s="7" t="s">
        <v>13</v>
      </c>
      <c r="D3" s="4"/>
    </row>
    <row r="4" spans="1:5" ht="18.75" thickBot="1" x14ac:dyDescent="0.3">
      <c r="A4" s="100" t="s">
        <v>57</v>
      </c>
      <c r="B4" s="101"/>
      <c r="C4" s="101"/>
      <c r="D4" s="101"/>
      <c r="E4" s="102"/>
    </row>
    <row r="5" spans="1:5" ht="21" thickBot="1" x14ac:dyDescent="0.35">
      <c r="A5" s="103" t="s">
        <v>18</v>
      </c>
      <c r="B5" s="104"/>
      <c r="C5" s="104"/>
      <c r="D5" s="105"/>
      <c r="E5" s="108"/>
    </row>
    <row r="6" spans="1:5" ht="15" x14ac:dyDescent="0.2">
      <c r="A6" s="21" t="s">
        <v>46</v>
      </c>
      <c r="B6" s="15">
        <v>4000000</v>
      </c>
      <c r="C6" s="7" t="s">
        <v>2</v>
      </c>
      <c r="D6" s="11" t="s">
        <v>47</v>
      </c>
      <c r="E6" s="109"/>
    </row>
    <row r="7" spans="1:5" ht="15" x14ac:dyDescent="0.2">
      <c r="A7" s="21" t="s">
        <v>48</v>
      </c>
      <c r="B7" s="15">
        <v>2400</v>
      </c>
      <c r="C7" s="7" t="s">
        <v>2</v>
      </c>
      <c r="D7" s="11" t="s">
        <v>19</v>
      </c>
      <c r="E7" s="109"/>
    </row>
    <row r="8" spans="1:5" ht="39" customHeight="1" x14ac:dyDescent="0.2">
      <c r="A8" s="21" t="s">
        <v>4</v>
      </c>
      <c r="B8" s="15">
        <f>B7*B2/(B7+B2)</f>
        <v>2013.4228187919464</v>
      </c>
      <c r="C8" s="7" t="s">
        <v>2</v>
      </c>
      <c r="D8" s="37" t="s">
        <v>49</v>
      </c>
      <c r="E8" s="109"/>
    </row>
    <row r="9" spans="1:5" ht="30" x14ac:dyDescent="0.2">
      <c r="A9" s="27" t="s">
        <v>50</v>
      </c>
      <c r="B9" s="15">
        <f>B8/(B6+B8)</f>
        <v>5.031024652020795E-4</v>
      </c>
      <c r="C9" s="1"/>
      <c r="D9" s="4"/>
      <c r="E9" s="109"/>
    </row>
    <row r="10" spans="1:5" ht="23.25" x14ac:dyDescent="0.4">
      <c r="A10" s="30" t="s">
        <v>51</v>
      </c>
      <c r="B10" s="31">
        <f>B1/B9</f>
        <v>621.14583333333337</v>
      </c>
      <c r="C10" s="9" t="s">
        <v>13</v>
      </c>
      <c r="D10" s="4"/>
      <c r="E10" s="109"/>
    </row>
    <row r="11" spans="1:5" ht="24" thickBot="1" x14ac:dyDescent="0.45">
      <c r="A11" s="36" t="s">
        <v>56</v>
      </c>
      <c r="B11" s="32">
        <f>(B3/B9)</f>
        <v>496.91666666666663</v>
      </c>
      <c r="C11" s="8" t="s">
        <v>13</v>
      </c>
      <c r="D11" s="3"/>
      <c r="E11" s="110"/>
    </row>
    <row r="12" spans="1:5" ht="18.75" thickBot="1" x14ac:dyDescent="0.3">
      <c r="A12" s="106" t="s">
        <v>16</v>
      </c>
      <c r="B12" s="107"/>
      <c r="C12" s="107"/>
      <c r="D12" s="107"/>
      <c r="E12" s="107"/>
    </row>
    <row r="13" spans="1:5" ht="21" thickBot="1" x14ac:dyDescent="0.35">
      <c r="A13" s="103" t="s">
        <v>17</v>
      </c>
      <c r="B13" s="104"/>
      <c r="C13" s="104"/>
      <c r="D13" s="105"/>
      <c r="E13" s="97"/>
    </row>
    <row r="14" spans="1:5" ht="20.25" x14ac:dyDescent="0.3">
      <c r="A14" s="38" t="s">
        <v>53</v>
      </c>
      <c r="B14" s="14">
        <v>0.02</v>
      </c>
      <c r="C14" s="10" t="s">
        <v>2</v>
      </c>
      <c r="D14" s="2"/>
      <c r="E14" s="98"/>
    </row>
    <row r="15" spans="1:5" ht="23.25" x14ac:dyDescent="0.4">
      <c r="A15" s="39" t="s">
        <v>54</v>
      </c>
      <c r="B15" s="31">
        <f>B1/B14</f>
        <v>15.625</v>
      </c>
      <c r="C15" s="9" t="s">
        <v>0</v>
      </c>
      <c r="D15" s="4"/>
      <c r="E15" s="98"/>
    </row>
    <row r="16" spans="1:5" ht="24" thickBot="1" x14ac:dyDescent="0.45">
      <c r="A16" s="40" t="s">
        <v>55</v>
      </c>
      <c r="B16" s="32">
        <f>B3/B14</f>
        <v>12.5</v>
      </c>
      <c r="C16" s="5"/>
      <c r="D16" s="3"/>
      <c r="E16" s="99"/>
    </row>
    <row r="28" ht="38.25" customHeight="1" x14ac:dyDescent="0.2"/>
  </sheetData>
  <mergeCells count="6">
    <mergeCell ref="A4:E4"/>
    <mergeCell ref="A5:D5"/>
    <mergeCell ref="A13:D13"/>
    <mergeCell ref="A12:E12"/>
    <mergeCell ref="E13:E16"/>
    <mergeCell ref="E5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H23" sqref="H23"/>
    </sheetView>
  </sheetViews>
  <sheetFormatPr defaultRowHeight="12.75" x14ac:dyDescent="0.2"/>
  <cols>
    <col min="1" max="1" width="24" customWidth="1"/>
    <col min="2" max="2" width="10.42578125" bestFit="1" customWidth="1"/>
    <col min="5" max="5" width="7.42578125" customWidth="1"/>
  </cols>
  <sheetData>
    <row r="1" spans="1:7" ht="15" x14ac:dyDescent="0.2">
      <c r="A1" s="67" t="s">
        <v>58</v>
      </c>
      <c r="B1" s="67">
        <v>600</v>
      </c>
      <c r="C1" s="67" t="s">
        <v>59</v>
      </c>
      <c r="D1" s="67"/>
      <c r="E1" s="67"/>
      <c r="F1" s="67"/>
      <c r="G1" s="67"/>
    </row>
    <row r="2" spans="1:7" ht="15" x14ac:dyDescent="0.2">
      <c r="A2" s="67" t="s">
        <v>60</v>
      </c>
      <c r="B2" s="67">
        <v>20000</v>
      </c>
      <c r="C2" s="67" t="s">
        <v>61</v>
      </c>
      <c r="D2" s="67"/>
      <c r="E2" s="67"/>
      <c r="F2" s="67"/>
      <c r="G2" s="67"/>
    </row>
    <row r="3" spans="1:7" ht="15" x14ac:dyDescent="0.2">
      <c r="A3" s="67" t="s">
        <v>62</v>
      </c>
      <c r="B3" s="67">
        <f>B1/110</f>
        <v>5.4545454545454541</v>
      </c>
      <c r="C3" s="67" t="s">
        <v>14</v>
      </c>
      <c r="D3" s="67">
        <f>B3*1.414</f>
        <v>7.712727272727272</v>
      </c>
      <c r="E3" s="67" t="s">
        <v>64</v>
      </c>
      <c r="F3" s="67">
        <f>D3*B8*0.01</f>
        <v>1.5425454545454544</v>
      </c>
      <c r="G3" s="67" t="s">
        <v>72</v>
      </c>
    </row>
    <row r="4" spans="1:7" ht="15" x14ac:dyDescent="0.2">
      <c r="A4" s="67" t="s">
        <v>63</v>
      </c>
      <c r="B4" s="67">
        <f>B1/220</f>
        <v>2.7272727272727271</v>
      </c>
      <c r="C4" s="67" t="s">
        <v>14</v>
      </c>
      <c r="D4" s="67">
        <f>B4*1.414</f>
        <v>3.856363636363636</v>
      </c>
      <c r="E4" s="67" t="s">
        <v>64</v>
      </c>
      <c r="F4" s="67">
        <f>D4*B10*0.01</f>
        <v>1.5425454545454544</v>
      </c>
      <c r="G4" s="67" t="s">
        <v>72</v>
      </c>
    </row>
    <row r="5" spans="1:7" ht="15" x14ac:dyDescent="0.2">
      <c r="A5" s="67" t="s">
        <v>67</v>
      </c>
      <c r="B5" s="67">
        <v>380</v>
      </c>
      <c r="C5" s="67" t="s">
        <v>5</v>
      </c>
      <c r="D5" s="67"/>
      <c r="E5" s="67"/>
      <c r="F5" s="67"/>
      <c r="G5" s="67"/>
    </row>
    <row r="6" spans="1:7" ht="13.5" thickBot="1" x14ac:dyDescent="0.25"/>
    <row r="7" spans="1:7" ht="18.75" thickBot="1" x14ac:dyDescent="0.3">
      <c r="A7" s="100" t="s">
        <v>68</v>
      </c>
      <c r="B7" s="101"/>
      <c r="C7" s="101"/>
      <c r="D7" s="101"/>
      <c r="E7" s="101"/>
      <c r="F7" s="101"/>
      <c r="G7" s="102"/>
    </row>
    <row r="8" spans="1:7" ht="15" x14ac:dyDescent="0.2">
      <c r="A8" s="21" t="s">
        <v>70</v>
      </c>
      <c r="B8" s="15">
        <v>20</v>
      </c>
      <c r="C8" s="15" t="s">
        <v>65</v>
      </c>
      <c r="D8" s="11"/>
      <c r="E8" s="111"/>
      <c r="F8" s="112"/>
      <c r="G8" s="108"/>
    </row>
    <row r="9" spans="1:7" ht="15" x14ac:dyDescent="0.2">
      <c r="A9" s="73" t="s">
        <v>66</v>
      </c>
      <c r="B9" s="31">
        <f>B5/(4*B2*D3*0.01*B8)</f>
        <v>3.0793257897218295E-3</v>
      </c>
      <c r="C9" s="46" t="s">
        <v>69</v>
      </c>
      <c r="D9" s="11"/>
      <c r="E9" s="113"/>
      <c r="F9" s="114"/>
      <c r="G9" s="109"/>
    </row>
    <row r="10" spans="1:7" ht="15" x14ac:dyDescent="0.2">
      <c r="A10" s="21" t="s">
        <v>71</v>
      </c>
      <c r="B10" s="15">
        <v>40</v>
      </c>
      <c r="C10" s="15" t="s">
        <v>65</v>
      </c>
      <c r="D10" s="37"/>
      <c r="E10" s="113"/>
      <c r="F10" s="114"/>
      <c r="G10" s="109"/>
    </row>
    <row r="11" spans="1:7" ht="15.75" thickBot="1" x14ac:dyDescent="0.25">
      <c r="A11" s="42" t="s">
        <v>66</v>
      </c>
      <c r="B11" s="32">
        <f>B5/(4*B2*D4*0.01*B10)</f>
        <v>3.0793257897218295E-3</v>
      </c>
      <c r="C11" s="32" t="s">
        <v>69</v>
      </c>
      <c r="D11" s="3"/>
      <c r="E11" s="115"/>
      <c r="F11" s="116"/>
      <c r="G11" s="110"/>
    </row>
    <row r="12" spans="1:7" ht="18.75" thickBot="1" x14ac:dyDescent="0.3">
      <c r="A12" s="100" t="s">
        <v>73</v>
      </c>
      <c r="B12" s="101"/>
      <c r="C12" s="101"/>
      <c r="D12" s="101"/>
      <c r="E12" s="101"/>
      <c r="F12" s="101"/>
      <c r="G12" s="102"/>
    </row>
    <row r="13" spans="1:7" ht="15" x14ac:dyDescent="0.2">
      <c r="A13" s="74" t="s">
        <v>74</v>
      </c>
      <c r="B13" s="75">
        <v>20</v>
      </c>
      <c r="C13" s="69" t="s">
        <v>75</v>
      </c>
      <c r="D13" s="44"/>
      <c r="E13" s="44"/>
      <c r="F13" s="44"/>
      <c r="G13" s="2"/>
    </row>
    <row r="14" spans="1:7" ht="15.75" thickBot="1" x14ac:dyDescent="0.25">
      <c r="A14" s="45" t="s">
        <v>76</v>
      </c>
      <c r="B14" s="32">
        <f>1/(2*3.14*SQRT(B9*B13*10^-6))</f>
        <v>641.64902516394466</v>
      </c>
      <c r="C14" s="68" t="s">
        <v>61</v>
      </c>
      <c r="D14" s="5"/>
      <c r="E14" s="5"/>
      <c r="F14" s="5"/>
      <c r="G14" s="3"/>
    </row>
  </sheetData>
  <mergeCells count="3">
    <mergeCell ref="E8:G11"/>
    <mergeCell ref="A7:G7"/>
    <mergeCell ref="A12:G1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autoPict="0" r:id="rId5">
            <anchor moveWithCells="1" sizeWithCells="1">
              <from>
                <xdr:col>4</xdr:col>
                <xdr:colOff>104775</xdr:colOff>
                <xdr:row>7</xdr:row>
                <xdr:rowOff>161925</xdr:rowOff>
              </from>
              <to>
                <xdr:col>6</xdr:col>
                <xdr:colOff>342900</xdr:colOff>
                <xdr:row>10</xdr:row>
                <xdr:rowOff>47625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workbookViewId="0">
      <selection activeCell="J23" sqref="J23"/>
    </sheetView>
  </sheetViews>
  <sheetFormatPr defaultRowHeight="12.75" x14ac:dyDescent="0.2"/>
  <cols>
    <col min="1" max="1" width="28.140625" customWidth="1"/>
    <col min="2" max="2" width="12.42578125" bestFit="1" customWidth="1"/>
  </cols>
  <sheetData>
    <row r="1" spans="1:7" ht="15" x14ac:dyDescent="0.2">
      <c r="A1" s="67" t="s">
        <v>58</v>
      </c>
      <c r="B1" s="67">
        <v>600</v>
      </c>
      <c r="C1" s="67" t="s">
        <v>59</v>
      </c>
    </row>
    <row r="2" spans="1:7" ht="15" x14ac:dyDescent="0.2">
      <c r="A2" s="67" t="s">
        <v>60</v>
      </c>
      <c r="B2" s="67">
        <v>20000</v>
      </c>
      <c r="C2" s="67" t="s">
        <v>61</v>
      </c>
    </row>
    <row r="3" spans="1:7" ht="15" x14ac:dyDescent="0.2">
      <c r="A3" s="67" t="s">
        <v>62</v>
      </c>
      <c r="B3" s="67">
        <f>B1/110</f>
        <v>5.4545454545454541</v>
      </c>
      <c r="C3" s="67" t="s">
        <v>14</v>
      </c>
      <c r="D3" s="67">
        <f>B3*1.414</f>
        <v>7.712727272727272</v>
      </c>
      <c r="E3" s="67" t="s">
        <v>64</v>
      </c>
      <c r="F3" s="67">
        <f>D3*B9*0.01</f>
        <v>1.5425454545454544</v>
      </c>
      <c r="G3" s="67" t="s">
        <v>72</v>
      </c>
    </row>
    <row r="4" spans="1:7" ht="15" x14ac:dyDescent="0.2">
      <c r="A4" s="67" t="s">
        <v>63</v>
      </c>
      <c r="B4" s="67">
        <f>B1/220</f>
        <v>2.7272727272727271</v>
      </c>
      <c r="C4" s="67" t="s">
        <v>14</v>
      </c>
      <c r="D4" s="67">
        <f>B4*1.414</f>
        <v>3.856363636363636</v>
      </c>
      <c r="E4" s="67" t="s">
        <v>64</v>
      </c>
      <c r="F4" s="67">
        <f>D4*B11*0.01</f>
        <v>1.5425454545454544</v>
      </c>
      <c r="G4" s="67" t="s">
        <v>72</v>
      </c>
    </row>
    <row r="5" spans="1:7" ht="15" x14ac:dyDescent="0.2">
      <c r="A5" s="67" t="s">
        <v>67</v>
      </c>
      <c r="B5" s="67">
        <v>380</v>
      </c>
      <c r="C5" s="67" t="s">
        <v>5</v>
      </c>
    </row>
    <row r="6" spans="1:7" ht="15" x14ac:dyDescent="0.2">
      <c r="A6" s="67" t="s">
        <v>78</v>
      </c>
      <c r="B6" s="67">
        <v>60</v>
      </c>
      <c r="C6" s="67" t="s">
        <v>61</v>
      </c>
    </row>
    <row r="7" spans="1:7" ht="15.75" thickBot="1" x14ac:dyDescent="0.25">
      <c r="A7" s="67" t="s">
        <v>79</v>
      </c>
      <c r="B7" s="67">
        <v>50</v>
      </c>
      <c r="C7" s="67" t="s">
        <v>61</v>
      </c>
    </row>
    <row r="8" spans="1:7" ht="18.75" thickBot="1" x14ac:dyDescent="0.3">
      <c r="A8" s="100" t="s">
        <v>68</v>
      </c>
      <c r="B8" s="101"/>
      <c r="C8" s="101"/>
      <c r="D8" s="101"/>
      <c r="E8" s="101"/>
      <c r="F8" s="101"/>
      <c r="G8" s="102"/>
    </row>
    <row r="9" spans="1:7" ht="15" x14ac:dyDescent="0.2">
      <c r="A9" s="21" t="s">
        <v>70</v>
      </c>
      <c r="B9" s="15">
        <v>20</v>
      </c>
      <c r="C9" s="15" t="s">
        <v>65</v>
      </c>
      <c r="D9" s="11"/>
      <c r="E9" s="111"/>
      <c r="F9" s="112"/>
      <c r="G9" s="108"/>
    </row>
    <row r="10" spans="1:7" ht="15" x14ac:dyDescent="0.2">
      <c r="A10" s="21" t="s">
        <v>81</v>
      </c>
      <c r="B10" s="15">
        <f>B5/(4*B2*D3*0.01*B9)</f>
        <v>3.0793257897218295E-3</v>
      </c>
      <c r="C10" s="46" t="s">
        <v>69</v>
      </c>
      <c r="D10" s="11"/>
      <c r="E10" s="113"/>
      <c r="F10" s="114"/>
      <c r="G10" s="109"/>
    </row>
    <row r="11" spans="1:7" ht="15" x14ac:dyDescent="0.2">
      <c r="A11" s="21" t="s">
        <v>71</v>
      </c>
      <c r="B11" s="15">
        <v>40</v>
      </c>
      <c r="C11" s="15" t="s">
        <v>65</v>
      </c>
      <c r="D11" s="37"/>
      <c r="E11" s="113"/>
      <c r="F11" s="114"/>
      <c r="G11" s="109"/>
    </row>
    <row r="12" spans="1:7" ht="15.75" thickBot="1" x14ac:dyDescent="0.25">
      <c r="A12" s="42" t="s">
        <v>66</v>
      </c>
      <c r="B12" s="32">
        <f>B5/(4*B2*D4*0.01*B11)</f>
        <v>3.0793257897218295E-3</v>
      </c>
      <c r="C12" s="32" t="s">
        <v>69</v>
      </c>
      <c r="D12" s="3"/>
      <c r="E12" s="115"/>
      <c r="F12" s="116"/>
      <c r="G12" s="110"/>
    </row>
    <row r="13" spans="1:7" ht="18.75" thickBot="1" x14ac:dyDescent="0.3">
      <c r="A13" s="100" t="s">
        <v>137</v>
      </c>
      <c r="B13" s="101"/>
      <c r="C13" s="101"/>
      <c r="D13" s="101"/>
      <c r="E13" s="101"/>
      <c r="F13" s="101"/>
      <c r="G13" s="102"/>
    </row>
    <row r="14" spans="1:7" ht="15" x14ac:dyDescent="0.2">
      <c r="A14" s="46" t="s">
        <v>82</v>
      </c>
      <c r="B14" s="15">
        <v>0.76</v>
      </c>
      <c r="C14" s="46" t="s">
        <v>65</v>
      </c>
      <c r="D14" s="1"/>
      <c r="E14" s="113"/>
      <c r="F14" s="114"/>
      <c r="G14" s="109"/>
    </row>
    <row r="15" spans="1:7" ht="30" x14ac:dyDescent="0.2">
      <c r="A15" s="47" t="s">
        <v>80</v>
      </c>
      <c r="B15" s="15">
        <f>(B14*0.01*B1/(2*3.14*B6*110*110))*10^6</f>
        <v>1.0001579196715269</v>
      </c>
      <c r="C15" s="46" t="s">
        <v>75</v>
      </c>
      <c r="D15" s="1"/>
      <c r="E15" s="113"/>
      <c r="F15" s="114"/>
      <c r="G15" s="109"/>
    </row>
    <row r="16" spans="1:7" ht="15" x14ac:dyDescent="0.2">
      <c r="A16" s="48" t="s">
        <v>83</v>
      </c>
      <c r="B16" s="15">
        <v>2.6</v>
      </c>
      <c r="C16" s="46" t="s">
        <v>65</v>
      </c>
      <c r="D16" s="1"/>
      <c r="E16" s="113"/>
      <c r="F16" s="114"/>
      <c r="G16" s="109"/>
    </row>
    <row r="17" spans="1:7" ht="30" x14ac:dyDescent="0.2">
      <c r="A17" s="47" t="s">
        <v>80</v>
      </c>
      <c r="B17" s="15">
        <f>(B16*0.01*B1/(2*3.14*B7*220*220))*10^6</f>
        <v>1.0264778649260411</v>
      </c>
      <c r="C17" s="46" t="s">
        <v>75</v>
      </c>
      <c r="D17" s="1"/>
      <c r="E17" s="113"/>
      <c r="F17" s="114"/>
      <c r="G17" s="109"/>
    </row>
    <row r="18" spans="1:7" ht="15.75" thickBot="1" x14ac:dyDescent="0.25">
      <c r="A18" s="45" t="s">
        <v>76</v>
      </c>
      <c r="B18" s="32">
        <f>1/(2*3.14*SQRT(B10*B15*10^-6))</f>
        <v>2869.3151242190347</v>
      </c>
      <c r="C18" s="68" t="s">
        <v>61</v>
      </c>
      <c r="D18" s="5"/>
      <c r="E18" s="115"/>
      <c r="F18" s="116"/>
      <c r="G18" s="110"/>
    </row>
    <row r="19" spans="1:7" ht="18.75" thickBot="1" x14ac:dyDescent="0.3">
      <c r="A19" s="100" t="s">
        <v>77</v>
      </c>
      <c r="B19" s="101"/>
      <c r="C19" s="101"/>
      <c r="D19" s="101"/>
      <c r="E19" s="101"/>
      <c r="F19" s="101"/>
      <c r="G19" s="102"/>
    </row>
    <row r="20" spans="1:7" ht="15" x14ac:dyDescent="0.2">
      <c r="A20" s="43" t="s">
        <v>85</v>
      </c>
      <c r="B20" s="14">
        <f>B2/6</f>
        <v>3333.3333333333335</v>
      </c>
      <c r="C20" s="69" t="s">
        <v>75</v>
      </c>
      <c r="D20" s="2"/>
      <c r="E20" s="111"/>
      <c r="F20" s="112"/>
      <c r="G20" s="108"/>
    </row>
    <row r="21" spans="1:7" ht="15" x14ac:dyDescent="0.2">
      <c r="A21" s="26" t="s">
        <v>84</v>
      </c>
      <c r="B21" s="15">
        <v>9.3999999999999997E-4</v>
      </c>
      <c r="C21" s="46" t="s">
        <v>69</v>
      </c>
      <c r="D21" s="4"/>
      <c r="E21" s="113"/>
      <c r="F21" s="114"/>
      <c r="G21" s="109"/>
    </row>
    <row r="22" spans="1:7" ht="15.75" thickBot="1" x14ac:dyDescent="0.25">
      <c r="A22" s="45" t="s">
        <v>86</v>
      </c>
      <c r="B22" s="32">
        <f>(1/(2*3.14))*SQRT((B10+B21)/(B10*B21*B15*10^-6))</f>
        <v>5933.2264698000645</v>
      </c>
      <c r="C22" s="68" t="s">
        <v>61</v>
      </c>
      <c r="D22" s="3"/>
      <c r="E22" s="115"/>
      <c r="F22" s="116"/>
      <c r="G22" s="110"/>
    </row>
    <row r="23" spans="1:7" ht="18.75" thickBot="1" x14ac:dyDescent="0.3">
      <c r="A23" s="100" t="s">
        <v>125</v>
      </c>
      <c r="B23" s="101"/>
      <c r="C23" s="101"/>
      <c r="D23" s="101"/>
      <c r="E23" s="101"/>
      <c r="F23" s="101"/>
      <c r="G23" s="102"/>
    </row>
    <row r="24" spans="1:7" ht="15" x14ac:dyDescent="0.2">
      <c r="A24" s="64" t="s">
        <v>126</v>
      </c>
      <c r="B24" s="70">
        <v>5</v>
      </c>
      <c r="C24" s="69" t="s">
        <v>65</v>
      </c>
      <c r="D24" s="2"/>
      <c r="E24" s="111"/>
      <c r="F24" s="112"/>
      <c r="G24" s="108"/>
    </row>
    <row r="25" spans="1:7" ht="15" x14ac:dyDescent="0.2">
      <c r="A25" s="65" t="s">
        <v>127</v>
      </c>
      <c r="B25" s="71">
        <f>B5*0.01*B24</f>
        <v>19</v>
      </c>
      <c r="C25" s="71" t="s">
        <v>5</v>
      </c>
      <c r="D25" s="63"/>
      <c r="E25" s="113"/>
      <c r="F25" s="114"/>
      <c r="G25" s="109"/>
    </row>
    <row r="26" spans="1:7" ht="15" x14ac:dyDescent="0.2">
      <c r="A26" s="65" t="s">
        <v>124</v>
      </c>
      <c r="B26" s="71">
        <f>B5-B25</f>
        <v>361</v>
      </c>
      <c r="C26" s="71" t="s">
        <v>5</v>
      </c>
      <c r="D26" s="63"/>
      <c r="E26" s="113"/>
      <c r="F26" s="114"/>
      <c r="G26" s="109"/>
    </row>
    <row r="27" spans="1:7" ht="15" x14ac:dyDescent="0.2">
      <c r="A27" s="65" t="s">
        <v>129</v>
      </c>
      <c r="B27" s="15">
        <f>(B1/(4*B6*(B5*B5-B26*B26)))*10^6</f>
        <v>177.56942964699198</v>
      </c>
      <c r="C27" s="71" t="s">
        <v>75</v>
      </c>
      <c r="D27" s="63"/>
      <c r="E27" s="113"/>
      <c r="F27" s="114"/>
      <c r="G27" s="109"/>
    </row>
    <row r="28" spans="1:7" ht="15.75" thickBot="1" x14ac:dyDescent="0.25">
      <c r="A28" s="66" t="s">
        <v>128</v>
      </c>
      <c r="B28" s="32">
        <f>(B1/(4*B7*(B5*B5-B26*B26)))*10^6</f>
        <v>213.08331557639036</v>
      </c>
      <c r="C28" s="72" t="s">
        <v>75</v>
      </c>
      <c r="D28" s="3"/>
      <c r="E28" s="115"/>
      <c r="F28" s="116"/>
      <c r="G28" s="110"/>
    </row>
    <row r="29" spans="1:7" ht="18.75" thickBot="1" x14ac:dyDescent="0.3">
      <c r="A29" s="100" t="s">
        <v>132</v>
      </c>
      <c r="B29" s="101"/>
      <c r="C29" s="101"/>
      <c r="D29" s="101"/>
      <c r="E29" s="101"/>
      <c r="F29" s="101"/>
      <c r="G29" s="102"/>
    </row>
    <row r="30" spans="1:7" ht="15" x14ac:dyDescent="0.2">
      <c r="A30" s="64" t="s">
        <v>130</v>
      </c>
      <c r="B30" s="70">
        <f>1/(((2*3.14*B2)^2)*B21*B15*10^-6)</f>
        <v>6.7425517649660149E-2</v>
      </c>
      <c r="C30" s="76"/>
      <c r="D30" s="76"/>
      <c r="E30" s="117"/>
      <c r="F30" s="118"/>
      <c r="G30" s="119"/>
    </row>
    <row r="31" spans="1:7" ht="15" x14ac:dyDescent="0.2">
      <c r="A31" s="65" t="s">
        <v>131</v>
      </c>
      <c r="B31" s="71">
        <f>20*LOG10(B30)</f>
        <v>-23.423514212583964</v>
      </c>
      <c r="C31" s="77"/>
      <c r="D31" s="77"/>
      <c r="E31" s="120"/>
      <c r="F31" s="121"/>
      <c r="G31" s="122"/>
    </row>
    <row r="32" spans="1:7" ht="60" x14ac:dyDescent="0.2">
      <c r="A32" s="78" t="s">
        <v>133</v>
      </c>
      <c r="B32" s="71">
        <f>20*LOG10(B9*0.01)</f>
        <v>-13.979400086720375</v>
      </c>
      <c r="C32" s="1"/>
      <c r="D32" s="1"/>
      <c r="E32" s="120"/>
      <c r="F32" s="121"/>
      <c r="G32" s="122"/>
    </row>
    <row r="33" spans="1:7" ht="60" x14ac:dyDescent="0.2">
      <c r="A33" s="78" t="s">
        <v>134</v>
      </c>
      <c r="B33" s="71">
        <f>20*LOG10(B11*0.01)</f>
        <v>-7.9588001734407516</v>
      </c>
      <c r="C33" s="1"/>
      <c r="D33" s="1"/>
      <c r="E33" s="120"/>
      <c r="F33" s="121"/>
      <c r="G33" s="122"/>
    </row>
    <row r="34" spans="1:7" ht="30" x14ac:dyDescent="0.2">
      <c r="A34" s="78" t="s">
        <v>135</v>
      </c>
      <c r="B34" s="71">
        <f>B31+B32</f>
        <v>-37.402914299304342</v>
      </c>
      <c r="C34" s="1"/>
      <c r="D34" s="1"/>
      <c r="E34" s="120"/>
      <c r="F34" s="121"/>
      <c r="G34" s="122"/>
    </row>
    <row r="35" spans="1:7" ht="30.75" thickBot="1" x14ac:dyDescent="0.25">
      <c r="A35" s="79" t="s">
        <v>136</v>
      </c>
      <c r="B35" s="32">
        <f>B31+B33</f>
        <v>-31.382314386024717</v>
      </c>
      <c r="C35" s="5"/>
      <c r="D35" s="5"/>
      <c r="E35" s="123"/>
      <c r="F35" s="124"/>
      <c r="G35" s="125"/>
    </row>
  </sheetData>
  <mergeCells count="10">
    <mergeCell ref="A29:G29"/>
    <mergeCell ref="E30:G35"/>
    <mergeCell ref="E20:G22"/>
    <mergeCell ref="A23:G23"/>
    <mergeCell ref="E24:G28"/>
    <mergeCell ref="A8:G8"/>
    <mergeCell ref="E9:G12"/>
    <mergeCell ref="A13:G13"/>
    <mergeCell ref="A19:G19"/>
    <mergeCell ref="E14:G1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r:id="rId5">
            <anchor moveWithCells="1" sizeWithCells="1">
              <from>
                <xdr:col>4</xdr:col>
                <xdr:colOff>38100</xdr:colOff>
                <xdr:row>8</xdr:row>
                <xdr:rowOff>66675</xdr:rowOff>
              </from>
              <to>
                <xdr:col>6</xdr:col>
                <xdr:colOff>542925</xdr:colOff>
                <xdr:row>11</xdr:row>
                <xdr:rowOff>104775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 sizeWithCells="1">
              <from>
                <xdr:col>4</xdr:col>
                <xdr:colOff>19050</xdr:colOff>
                <xdr:row>14</xdr:row>
                <xdr:rowOff>104775</xdr:rowOff>
              </from>
              <to>
                <xdr:col>6</xdr:col>
                <xdr:colOff>561975</xdr:colOff>
                <xdr:row>16</xdr:row>
                <xdr:rowOff>247650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 sizeWithCells="1">
              <from>
                <xdr:col>3</xdr:col>
                <xdr:colOff>600075</xdr:colOff>
                <xdr:row>19</xdr:row>
                <xdr:rowOff>76200</xdr:rowOff>
              </from>
              <to>
                <xdr:col>7</xdr:col>
                <xdr:colOff>19050</xdr:colOff>
                <xdr:row>21</xdr:row>
                <xdr:rowOff>133350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10">
          <objectPr defaultSize="0" autoPict="0" r:id="rId11">
            <anchor moveWithCells="1" sizeWithCells="1">
              <from>
                <xdr:col>4</xdr:col>
                <xdr:colOff>142875</xdr:colOff>
                <xdr:row>24</xdr:row>
                <xdr:rowOff>0</xdr:rowOff>
              </from>
              <to>
                <xdr:col>6</xdr:col>
                <xdr:colOff>400050</xdr:colOff>
                <xdr:row>26</xdr:row>
                <xdr:rowOff>76200</xdr:rowOff>
              </to>
            </anchor>
          </objectPr>
        </oleObject>
      </mc:Choice>
      <mc:Fallback>
        <oleObject progId="Equation.3" shapeId="4101" r:id="rId10"/>
      </mc:Fallback>
    </mc:AlternateContent>
    <mc:AlternateContent xmlns:mc="http://schemas.openxmlformats.org/markup-compatibility/2006">
      <mc:Choice Requires="x14">
        <oleObject progId="Equation.3" shapeId="4102" r:id="rId12">
          <objectPr defaultSize="0" autoPict="0" r:id="rId13">
            <anchor moveWithCells="1" sizeWithCells="1">
              <from>
                <xdr:col>4</xdr:col>
                <xdr:colOff>190500</xdr:colOff>
                <xdr:row>31</xdr:row>
                <xdr:rowOff>542925</xdr:rowOff>
              </from>
              <to>
                <xdr:col>6</xdr:col>
                <xdr:colOff>552450</xdr:colOff>
                <xdr:row>32</xdr:row>
                <xdr:rowOff>409575</xdr:rowOff>
              </to>
            </anchor>
          </objectPr>
        </oleObject>
      </mc:Choice>
      <mc:Fallback>
        <oleObject progId="Equation.3" shapeId="4102" r:id="rId12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H51" sqref="H51"/>
    </sheetView>
  </sheetViews>
  <sheetFormatPr defaultRowHeight="12.75" x14ac:dyDescent="0.2"/>
  <cols>
    <col min="1" max="1" width="29.42578125" customWidth="1"/>
    <col min="2" max="2" width="13.28515625" customWidth="1"/>
    <col min="3" max="3" width="23.85546875" customWidth="1"/>
  </cols>
  <sheetData>
    <row r="1" spans="1:6" ht="18.75" thickBot="1" x14ac:dyDescent="0.3">
      <c r="A1" s="100" t="s">
        <v>108</v>
      </c>
      <c r="B1" s="101"/>
      <c r="C1" s="102"/>
    </row>
    <row r="2" spans="1:6" x14ac:dyDescent="0.2">
      <c r="A2" s="52" t="s">
        <v>106</v>
      </c>
      <c r="B2" s="44">
        <v>3</v>
      </c>
      <c r="C2" s="2" t="s">
        <v>87</v>
      </c>
    </row>
    <row r="3" spans="1:6" x14ac:dyDescent="0.2">
      <c r="A3" s="53" t="s">
        <v>107</v>
      </c>
      <c r="B3" s="1">
        <v>5</v>
      </c>
      <c r="C3" s="4" t="s">
        <v>0</v>
      </c>
      <c r="F3" t="s">
        <v>88</v>
      </c>
    </row>
    <row r="4" spans="1:6" x14ac:dyDescent="0.2">
      <c r="A4" s="50" t="s">
        <v>89</v>
      </c>
      <c r="B4" s="1">
        <v>20</v>
      </c>
      <c r="C4" s="4" t="s">
        <v>90</v>
      </c>
    </row>
    <row r="5" spans="1:6" x14ac:dyDescent="0.2">
      <c r="A5" s="50" t="s">
        <v>91</v>
      </c>
      <c r="B5" s="1">
        <f>B3*B4*1.414/100</f>
        <v>1.4140000000000001</v>
      </c>
      <c r="C5" s="4" t="s">
        <v>0</v>
      </c>
    </row>
    <row r="6" spans="1:6" x14ac:dyDescent="0.2">
      <c r="A6" s="50" t="s">
        <v>92</v>
      </c>
      <c r="B6" s="1">
        <v>380</v>
      </c>
      <c r="C6" s="4" t="s">
        <v>5</v>
      </c>
      <c r="F6" t="s">
        <v>93</v>
      </c>
    </row>
    <row r="7" spans="1:6" ht="13.5" thickBot="1" x14ac:dyDescent="0.25">
      <c r="A7" s="51" t="s">
        <v>94</v>
      </c>
      <c r="B7" s="5">
        <f>0.5*B2*B5*B5</f>
        <v>2.9990940000000008</v>
      </c>
      <c r="C7" s="3" t="s">
        <v>95</v>
      </c>
    </row>
    <row r="8" spans="1:6" ht="13.5" thickBot="1" x14ac:dyDescent="0.25"/>
    <row r="9" spans="1:6" ht="18.75" thickBot="1" x14ac:dyDescent="0.3">
      <c r="A9" s="100" t="s">
        <v>114</v>
      </c>
      <c r="B9" s="101"/>
      <c r="C9" s="102"/>
    </row>
    <row r="10" spans="1:6" x14ac:dyDescent="0.2">
      <c r="A10" s="52" t="s">
        <v>115</v>
      </c>
      <c r="B10" s="44">
        <v>18</v>
      </c>
      <c r="C10" s="54" t="s">
        <v>116</v>
      </c>
    </row>
    <row r="11" spans="1:6" x14ac:dyDescent="0.2">
      <c r="A11" s="55" t="s">
        <v>117</v>
      </c>
      <c r="B11" s="1">
        <v>1.07</v>
      </c>
      <c r="C11" s="4" t="s">
        <v>101</v>
      </c>
    </row>
    <row r="12" spans="1:6" x14ac:dyDescent="0.2">
      <c r="A12" s="55" t="s">
        <v>118</v>
      </c>
      <c r="B12" s="1">
        <f>3.14*B11*B11/4</f>
        <v>0.89874650000000011</v>
      </c>
      <c r="C12" s="56" t="s">
        <v>99</v>
      </c>
    </row>
    <row r="13" spans="1:6" ht="13.5" thickBot="1" x14ac:dyDescent="0.25">
      <c r="A13" s="57" t="s">
        <v>119</v>
      </c>
      <c r="B13" s="5">
        <v>22.4</v>
      </c>
      <c r="C13" s="58" t="s">
        <v>105</v>
      </c>
    </row>
    <row r="14" spans="1:6" ht="13.5" thickBot="1" x14ac:dyDescent="0.25">
      <c r="A14" s="41"/>
      <c r="B14" s="1"/>
      <c r="C14" s="1"/>
    </row>
    <row r="15" spans="1:6" ht="18.75" thickBot="1" x14ac:dyDescent="0.3">
      <c r="A15" s="100" t="s">
        <v>109</v>
      </c>
      <c r="B15" s="101"/>
      <c r="C15" s="102"/>
    </row>
    <row r="16" spans="1:6" x14ac:dyDescent="0.2">
      <c r="A16" s="59" t="s">
        <v>96</v>
      </c>
      <c r="B16" s="60" t="s">
        <v>97</v>
      </c>
      <c r="C16" s="2" t="s">
        <v>110</v>
      </c>
    </row>
    <row r="17" spans="1:5" x14ac:dyDescent="0.2">
      <c r="A17" s="53" t="s">
        <v>111</v>
      </c>
      <c r="B17" s="1">
        <v>135</v>
      </c>
      <c r="C17" s="4" t="s">
        <v>98</v>
      </c>
    </row>
    <row r="18" spans="1:5" ht="13.5" thickBot="1" x14ac:dyDescent="0.25">
      <c r="A18" s="61" t="s">
        <v>112</v>
      </c>
      <c r="B18" s="5">
        <v>427</v>
      </c>
      <c r="C18" s="3" t="s">
        <v>99</v>
      </c>
    </row>
    <row r="19" spans="1:5" x14ac:dyDescent="0.2">
      <c r="A19" s="49"/>
    </row>
    <row r="20" spans="1:5" ht="13.5" thickBot="1" x14ac:dyDescent="0.25">
      <c r="A20" s="49"/>
    </row>
    <row r="21" spans="1:5" ht="18.75" thickBot="1" x14ac:dyDescent="0.3">
      <c r="A21" s="100" t="s">
        <v>122</v>
      </c>
      <c r="B21" s="101"/>
      <c r="C21" s="102"/>
    </row>
    <row r="22" spans="1:5" x14ac:dyDescent="0.2">
      <c r="A22" s="52" t="s">
        <v>100</v>
      </c>
      <c r="B22" s="44">
        <v>0.6</v>
      </c>
      <c r="C22" s="2"/>
    </row>
    <row r="23" spans="1:5" x14ac:dyDescent="0.2">
      <c r="A23" s="53" t="s">
        <v>120</v>
      </c>
      <c r="B23" s="1">
        <f>B18*B22/B12</f>
        <v>285.0636970491679</v>
      </c>
      <c r="C23" s="4"/>
    </row>
    <row r="24" spans="1:5" ht="51" x14ac:dyDescent="0.2">
      <c r="A24" s="62" t="s">
        <v>121</v>
      </c>
      <c r="B24" s="1">
        <f>SQRT(B2*10^-3/(135*10^-9))</f>
        <v>149.07119849998597</v>
      </c>
      <c r="C24" s="4"/>
    </row>
    <row r="25" spans="1:5" x14ac:dyDescent="0.2">
      <c r="A25" s="50" t="s">
        <v>100</v>
      </c>
      <c r="B25" s="1">
        <f>(B24*B12/B18)*100</f>
        <v>31.376397635285169</v>
      </c>
      <c r="C25" s="4" t="s">
        <v>90</v>
      </c>
    </row>
    <row r="26" spans="1:5" ht="30.75" customHeight="1" x14ac:dyDescent="0.2">
      <c r="A26" s="62" t="s">
        <v>123</v>
      </c>
      <c r="B26" s="1">
        <v>68.2</v>
      </c>
      <c r="C26" s="4" t="s">
        <v>101</v>
      </c>
    </row>
    <row r="27" spans="1:5" x14ac:dyDescent="0.2">
      <c r="A27" s="53" t="s">
        <v>113</v>
      </c>
      <c r="B27" s="1">
        <f>B24*B26</f>
        <v>10166.655737699044</v>
      </c>
      <c r="C27" s="4" t="s">
        <v>101</v>
      </c>
    </row>
    <row r="28" spans="1:5" x14ac:dyDescent="0.2">
      <c r="A28" s="50" t="s">
        <v>102</v>
      </c>
      <c r="B28" s="1">
        <f>B27*B13/1000000</f>
        <v>0.22773308852445859</v>
      </c>
      <c r="C28" s="4" t="s">
        <v>2</v>
      </c>
    </row>
    <row r="29" spans="1:5" ht="13.5" thickBot="1" x14ac:dyDescent="0.25">
      <c r="A29" s="51" t="s">
        <v>103</v>
      </c>
      <c r="B29" s="5">
        <f>B3/B12</f>
        <v>5.5633040017402005</v>
      </c>
      <c r="C29" s="3" t="s">
        <v>104</v>
      </c>
    </row>
    <row r="32" spans="1:5" x14ac:dyDescent="0.2">
      <c r="A32" s="1"/>
      <c r="B32" s="1"/>
      <c r="C32" s="1"/>
      <c r="D32" s="1"/>
      <c r="E32" s="1"/>
    </row>
    <row r="33" spans="1:5" ht="15" x14ac:dyDescent="0.25">
      <c r="A33" s="126"/>
      <c r="B33" s="126"/>
      <c r="C33" s="126"/>
      <c r="D33" s="126"/>
      <c r="E33" s="126"/>
    </row>
    <row r="34" spans="1:5" ht="15" x14ac:dyDescent="0.25">
      <c r="A34" s="1"/>
      <c r="B34" s="126"/>
      <c r="C34" s="126"/>
      <c r="D34" s="126"/>
      <c r="E34" s="126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41"/>
      <c r="B45" s="1"/>
      <c r="C45" s="1"/>
      <c r="D45" s="1"/>
      <c r="E45" s="1"/>
    </row>
  </sheetData>
  <mergeCells count="7">
    <mergeCell ref="A33:E33"/>
    <mergeCell ref="B34:C34"/>
    <mergeCell ref="D34:E34"/>
    <mergeCell ref="A1:C1"/>
    <mergeCell ref="A15:C15"/>
    <mergeCell ref="A9:C9"/>
    <mergeCell ref="A21:C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>
              <from>
                <xdr:col>7</xdr:col>
                <xdr:colOff>114300</xdr:colOff>
                <xdr:row>1</xdr:row>
                <xdr:rowOff>104775</xdr:rowOff>
              </from>
              <to>
                <xdr:col>8</xdr:col>
                <xdr:colOff>352425</xdr:colOff>
                <xdr:row>3</xdr:row>
                <xdr:rowOff>123825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>
              <from>
                <xdr:col>7</xdr:col>
                <xdr:colOff>114300</xdr:colOff>
                <xdr:row>4</xdr:row>
                <xdr:rowOff>142875</xdr:rowOff>
              </from>
              <to>
                <xdr:col>8</xdr:col>
                <xdr:colOff>238125</xdr:colOff>
                <xdr:row>6</xdr:row>
                <xdr:rowOff>57150</xdr:rowOff>
              </to>
            </anchor>
          </objectPr>
        </oleObject>
      </mc:Choice>
      <mc:Fallback>
        <oleObject progId="Equation.3" shapeId="5122" r:id="rId5"/>
      </mc:Fallback>
    </mc:AlternateContent>
    <mc:AlternateContent xmlns:mc="http://schemas.openxmlformats.org/markup-compatibility/2006">
      <mc:Choice Requires="x14">
        <oleObject progId="Equation.3" shapeId="5123" r:id="rId7">
          <objectPr defaultSize="0" autoPict="0" r:id="rId8">
            <anchor moveWithCells="1">
              <from>
                <xdr:col>7</xdr:col>
                <xdr:colOff>133350</xdr:colOff>
                <xdr:row>7</xdr:row>
                <xdr:rowOff>66675</xdr:rowOff>
              </from>
              <to>
                <xdr:col>8</xdr:col>
                <xdr:colOff>314325</xdr:colOff>
                <xdr:row>9</xdr:row>
                <xdr:rowOff>28575</xdr:rowOff>
              </to>
            </anchor>
          </objectPr>
        </oleObject>
      </mc:Choice>
      <mc:Fallback>
        <oleObject progId="Equation.3" shapeId="5123" r:id="rId7"/>
      </mc:Fallback>
    </mc:AlternateContent>
    <mc:AlternateContent xmlns:mc="http://schemas.openxmlformats.org/markup-compatibility/2006">
      <mc:Choice Requires="x14">
        <oleObject progId="Equation.3" shapeId="5124" r:id="rId9">
          <objectPr defaultSize="0" autoPict="0" r:id="rId10">
            <anchor moveWithCells="1">
              <from>
                <xdr:col>7</xdr:col>
                <xdr:colOff>152400</xdr:colOff>
                <xdr:row>10</xdr:row>
                <xdr:rowOff>9525</xdr:rowOff>
              </from>
              <to>
                <xdr:col>8</xdr:col>
                <xdr:colOff>180975</xdr:colOff>
                <xdr:row>13</xdr:row>
                <xdr:rowOff>19050</xdr:rowOff>
              </to>
            </anchor>
          </objectPr>
        </oleObject>
      </mc:Choice>
      <mc:Fallback>
        <oleObject progId="Equation.3" shapeId="5124" r:id="rId9"/>
      </mc:Fallback>
    </mc:AlternateContent>
    <mc:AlternateContent xmlns:mc="http://schemas.openxmlformats.org/markup-compatibility/2006">
      <mc:Choice Requires="x14">
        <oleObject progId="Equation.3" shapeId="5125" r:id="rId11">
          <objectPr defaultSize="0" autoPict="0" r:id="rId12">
            <anchor moveWithCells="1">
              <from>
                <xdr:col>7</xdr:col>
                <xdr:colOff>95250</xdr:colOff>
                <xdr:row>20</xdr:row>
                <xdr:rowOff>123825</xdr:rowOff>
              </from>
              <to>
                <xdr:col>8</xdr:col>
                <xdr:colOff>161925</xdr:colOff>
                <xdr:row>23</xdr:row>
                <xdr:rowOff>95250</xdr:rowOff>
              </to>
            </anchor>
          </objectPr>
        </oleObject>
      </mc:Choice>
      <mc:Fallback>
        <oleObject progId="Equation.3" shapeId="5125" r:id="rId11"/>
      </mc:Fallback>
    </mc:AlternateContent>
    <mc:AlternateContent xmlns:mc="http://schemas.openxmlformats.org/markup-compatibility/2006">
      <mc:Choice Requires="x14">
        <oleObject progId="Equation.3" shapeId="5126" r:id="rId13">
          <objectPr defaultSize="0" autoPict="0" r:id="rId14">
            <anchor moveWithCells="1">
              <from>
                <xdr:col>7</xdr:col>
                <xdr:colOff>104775</xdr:colOff>
                <xdr:row>17</xdr:row>
                <xdr:rowOff>114300</xdr:rowOff>
              </from>
              <to>
                <xdr:col>10</xdr:col>
                <xdr:colOff>95250</xdr:colOff>
                <xdr:row>19</xdr:row>
                <xdr:rowOff>161925</xdr:rowOff>
              </to>
            </anchor>
          </objectPr>
        </oleObject>
      </mc:Choice>
      <mc:Fallback>
        <oleObject progId="Equation.3" shapeId="5126" r:id="rId13"/>
      </mc:Fallback>
    </mc:AlternateContent>
    <mc:AlternateContent xmlns:mc="http://schemas.openxmlformats.org/markup-compatibility/2006">
      <mc:Choice Requires="x14">
        <oleObject progId="Equation.3" shapeId="5127" r:id="rId15">
          <objectPr defaultSize="0" autoPict="0" r:id="rId16">
            <anchor moveWithCells="1">
              <from>
                <xdr:col>7</xdr:col>
                <xdr:colOff>133350</xdr:colOff>
                <xdr:row>25</xdr:row>
                <xdr:rowOff>361950</xdr:rowOff>
              </from>
              <to>
                <xdr:col>8</xdr:col>
                <xdr:colOff>38100</xdr:colOff>
                <xdr:row>28</xdr:row>
                <xdr:rowOff>47625</xdr:rowOff>
              </to>
            </anchor>
          </objectPr>
        </oleObject>
      </mc:Choice>
      <mc:Fallback>
        <oleObject progId="Equation.3" shapeId="5127" r:id="rId15"/>
      </mc:Fallback>
    </mc:AlternateContent>
    <mc:AlternateContent xmlns:mc="http://schemas.openxmlformats.org/markup-compatibility/2006">
      <mc:Choice Requires="x14">
        <oleObject progId="Equation.3" shapeId="5128" r:id="rId17">
          <objectPr defaultSize="0" autoPict="0" r:id="rId18">
            <anchor moveWithCells="1">
              <from>
                <xdr:col>7</xdr:col>
                <xdr:colOff>133350</xdr:colOff>
                <xdr:row>28</xdr:row>
                <xdr:rowOff>161925</xdr:rowOff>
              </from>
              <to>
                <xdr:col>9</xdr:col>
                <xdr:colOff>333375</xdr:colOff>
                <xdr:row>33</xdr:row>
                <xdr:rowOff>133350</xdr:rowOff>
              </to>
            </anchor>
          </objectPr>
        </oleObject>
      </mc:Choice>
      <mc:Fallback>
        <oleObject progId="Equation.3" shapeId="5128" r:id="rId17"/>
      </mc:Fallback>
    </mc:AlternateContent>
    <mc:AlternateContent xmlns:mc="http://schemas.openxmlformats.org/markup-compatibility/2006">
      <mc:Choice Requires="x14">
        <oleObject progId="Equation.3" shapeId="5129" r:id="rId19">
          <objectPr defaultSize="0" autoPict="0" r:id="rId20">
            <anchor moveWithCells="1">
              <from>
                <xdr:col>7</xdr:col>
                <xdr:colOff>95250</xdr:colOff>
                <xdr:row>23</xdr:row>
                <xdr:rowOff>219075</xdr:rowOff>
              </from>
              <to>
                <xdr:col>11</xdr:col>
                <xdr:colOff>485775</xdr:colOff>
                <xdr:row>25</xdr:row>
                <xdr:rowOff>266700</xdr:rowOff>
              </to>
            </anchor>
          </objectPr>
        </oleObject>
      </mc:Choice>
      <mc:Fallback>
        <oleObject progId="Equation.3" shapeId="5129" r:id="rId19"/>
      </mc:Fallback>
    </mc:AlternateContent>
    <mc:AlternateContent xmlns:mc="http://schemas.openxmlformats.org/markup-compatibility/2006">
      <mc:Choice Requires="x14">
        <oleObject progId="Equation.3" shapeId="5130" r:id="rId21">
          <objectPr defaultSize="0" autoPict="0" r:id="rId22">
            <anchor moveWithCells="1">
              <from>
                <xdr:col>7</xdr:col>
                <xdr:colOff>123825</xdr:colOff>
                <xdr:row>13</xdr:row>
                <xdr:rowOff>114300</xdr:rowOff>
              </from>
              <to>
                <xdr:col>12</xdr:col>
                <xdr:colOff>0</xdr:colOff>
                <xdr:row>16</xdr:row>
                <xdr:rowOff>142875</xdr:rowOff>
              </to>
            </anchor>
          </objectPr>
        </oleObject>
      </mc:Choice>
      <mc:Fallback>
        <oleObject progId="Equation.3" shapeId="5130" r:id="rId2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abSelected="1" topLeftCell="A16" workbookViewId="0">
      <selection activeCell="L29" sqref="L29"/>
    </sheetView>
  </sheetViews>
  <sheetFormatPr defaultRowHeight="12.75" x14ac:dyDescent="0.2"/>
  <cols>
    <col min="1" max="1" width="25.5703125" customWidth="1"/>
    <col min="2" max="2" width="8.42578125" customWidth="1"/>
    <col min="3" max="3" width="28.140625" customWidth="1"/>
  </cols>
  <sheetData>
    <row r="1" spans="1:10" ht="18.75" thickBot="1" x14ac:dyDescent="0.3">
      <c r="A1" s="100" t="s">
        <v>159</v>
      </c>
      <c r="B1" s="101"/>
      <c r="C1" s="101"/>
      <c r="D1" s="101"/>
      <c r="E1" s="101"/>
      <c r="F1" s="101"/>
      <c r="G1" s="101"/>
      <c r="H1" s="102"/>
    </row>
    <row r="2" spans="1:10" ht="32.25" customHeight="1" thickBot="1" x14ac:dyDescent="0.25">
      <c r="A2" s="127" t="s">
        <v>160</v>
      </c>
      <c r="B2" s="128"/>
      <c r="C2" s="128"/>
      <c r="D2" s="128"/>
      <c r="E2" s="128"/>
      <c r="F2" s="128"/>
      <c r="G2" s="128"/>
      <c r="H2" s="129"/>
    </row>
    <row r="3" spans="1:10" x14ac:dyDescent="0.2">
      <c r="A3" s="133" t="s">
        <v>161</v>
      </c>
      <c r="B3" s="134"/>
      <c r="C3" s="111"/>
      <c r="D3" s="112"/>
      <c r="E3" s="112"/>
      <c r="F3" s="112"/>
      <c r="G3" s="112"/>
      <c r="H3" s="108"/>
    </row>
    <row r="4" spans="1:10" x14ac:dyDescent="0.2">
      <c r="A4" s="135"/>
      <c r="B4" s="136"/>
      <c r="C4" s="113"/>
      <c r="D4" s="114"/>
      <c r="E4" s="114"/>
      <c r="F4" s="114"/>
      <c r="G4" s="114"/>
      <c r="H4" s="109"/>
    </row>
    <row r="5" spans="1:10" x14ac:dyDescent="0.2">
      <c r="A5" s="135"/>
      <c r="B5" s="136"/>
      <c r="C5" s="113"/>
      <c r="D5" s="114"/>
      <c r="E5" s="114"/>
      <c r="F5" s="114"/>
      <c r="G5" s="114"/>
      <c r="H5" s="109"/>
    </row>
    <row r="6" spans="1:10" x14ac:dyDescent="0.2">
      <c r="A6" s="135"/>
      <c r="B6" s="136"/>
      <c r="C6" s="113"/>
      <c r="D6" s="114"/>
      <c r="E6" s="114"/>
      <c r="F6" s="114"/>
      <c r="G6" s="114"/>
      <c r="H6" s="109"/>
    </row>
    <row r="7" spans="1:10" ht="13.5" thickBot="1" x14ac:dyDescent="0.25">
      <c r="A7" s="137"/>
      <c r="B7" s="138"/>
      <c r="C7" s="115"/>
      <c r="D7" s="116"/>
      <c r="E7" s="116"/>
      <c r="F7" s="116"/>
      <c r="G7" s="116"/>
      <c r="H7" s="110"/>
    </row>
    <row r="8" spans="1:10" x14ac:dyDescent="0.2">
      <c r="A8" s="139" t="s">
        <v>147</v>
      </c>
      <c r="B8" s="140"/>
      <c r="C8" s="111"/>
      <c r="D8" s="112"/>
      <c r="E8" s="112"/>
      <c r="F8" s="112"/>
      <c r="G8" s="112"/>
      <c r="H8" s="108"/>
    </row>
    <row r="9" spans="1:10" x14ac:dyDescent="0.2">
      <c r="A9" s="141"/>
      <c r="B9" s="142"/>
      <c r="C9" s="113"/>
      <c r="D9" s="114"/>
      <c r="E9" s="114"/>
      <c r="F9" s="114"/>
      <c r="G9" s="114"/>
      <c r="H9" s="109"/>
    </row>
    <row r="10" spans="1:10" x14ac:dyDescent="0.2">
      <c r="A10" s="141"/>
      <c r="B10" s="142"/>
      <c r="C10" s="113"/>
      <c r="D10" s="114"/>
      <c r="E10" s="114"/>
      <c r="F10" s="114"/>
      <c r="G10" s="114"/>
      <c r="H10" s="109"/>
    </row>
    <row r="11" spans="1:10" ht="13.5" thickBot="1" x14ac:dyDescent="0.25">
      <c r="A11" s="143"/>
      <c r="B11" s="144"/>
      <c r="C11" s="115"/>
      <c r="D11" s="116"/>
      <c r="E11" s="116"/>
      <c r="F11" s="116"/>
      <c r="G11" s="116"/>
      <c r="H11" s="110"/>
    </row>
    <row r="12" spans="1:10" x14ac:dyDescent="0.2">
      <c r="A12" s="145" t="s">
        <v>148</v>
      </c>
      <c r="B12" s="146"/>
      <c r="C12" s="145"/>
      <c r="D12" s="151"/>
      <c r="E12" s="151"/>
      <c r="F12" s="151"/>
      <c r="G12" s="151"/>
      <c r="H12" s="146"/>
    </row>
    <row r="13" spans="1:10" x14ac:dyDescent="0.2">
      <c r="A13" s="147"/>
      <c r="B13" s="148"/>
      <c r="C13" s="147"/>
      <c r="D13" s="152"/>
      <c r="E13" s="152"/>
      <c r="F13" s="152"/>
      <c r="G13" s="152"/>
      <c r="H13" s="148"/>
      <c r="J13" s="81"/>
    </row>
    <row r="14" spans="1:10" ht="13.5" thickBot="1" x14ac:dyDescent="0.25">
      <c r="A14" s="149"/>
      <c r="B14" s="150"/>
      <c r="C14" s="149"/>
      <c r="D14" s="153"/>
      <c r="E14" s="153"/>
      <c r="F14" s="153"/>
      <c r="G14" s="153"/>
      <c r="H14" s="150"/>
    </row>
    <row r="15" spans="1:10" ht="21" thickBot="1" x14ac:dyDescent="0.35">
      <c r="A15" s="130" t="s">
        <v>162</v>
      </c>
      <c r="B15" s="131"/>
      <c r="C15" s="131"/>
      <c r="D15" s="132"/>
    </row>
    <row r="16" spans="1:10" ht="15" x14ac:dyDescent="0.25">
      <c r="A16" s="87" t="s">
        <v>138</v>
      </c>
      <c r="B16" s="88"/>
      <c r="C16" s="88"/>
      <c r="D16" s="89"/>
    </row>
    <row r="17" spans="1:8" x14ac:dyDescent="0.2">
      <c r="A17" s="90" t="s">
        <v>139</v>
      </c>
      <c r="B17" s="84" t="s">
        <v>140</v>
      </c>
      <c r="C17" s="84">
        <v>0.04</v>
      </c>
      <c r="D17" s="91" t="s">
        <v>141</v>
      </c>
    </row>
    <row r="18" spans="1:8" x14ac:dyDescent="0.2">
      <c r="A18" s="90" t="s">
        <v>142</v>
      </c>
      <c r="B18" s="84"/>
      <c r="C18" s="84">
        <v>0.7</v>
      </c>
      <c r="D18" s="91"/>
    </row>
    <row r="19" spans="1:8" x14ac:dyDescent="0.2">
      <c r="A19" s="90" t="s">
        <v>143</v>
      </c>
      <c r="B19" s="84"/>
      <c r="C19" s="84">
        <v>0.05</v>
      </c>
      <c r="D19" s="91"/>
    </row>
    <row r="20" spans="1:8" x14ac:dyDescent="0.2">
      <c r="A20" s="90" t="s">
        <v>144</v>
      </c>
      <c r="B20" s="84"/>
      <c r="C20" s="84">
        <f>1/SQRT(1-C18*C18)</f>
        <v>1.4002800840280099</v>
      </c>
      <c r="D20" s="91"/>
    </row>
    <row r="21" spans="1:8" x14ac:dyDescent="0.2">
      <c r="A21" s="90" t="s">
        <v>145</v>
      </c>
      <c r="B21" s="84"/>
      <c r="C21" s="84">
        <f>LN(C20/C19)</f>
        <v>3.3324045501858737</v>
      </c>
      <c r="D21" s="91"/>
    </row>
    <row r="22" spans="1:8" x14ac:dyDescent="0.2">
      <c r="A22" s="90"/>
      <c r="B22" s="84"/>
      <c r="C22" s="84">
        <f>C21/(C17)</f>
        <v>83.310113754646835</v>
      </c>
      <c r="D22" s="91"/>
    </row>
    <row r="23" spans="1:8" x14ac:dyDescent="0.2">
      <c r="A23" s="90" t="s">
        <v>146</v>
      </c>
      <c r="B23" s="84"/>
      <c r="C23" s="84">
        <f>C22/(C18)</f>
        <v>119.01444822092405</v>
      </c>
      <c r="D23" s="91"/>
    </row>
    <row r="24" spans="1:8" ht="15" x14ac:dyDescent="0.25">
      <c r="A24" s="92" t="s">
        <v>149</v>
      </c>
      <c r="B24" s="85"/>
      <c r="C24" s="86"/>
      <c r="D24" s="93"/>
      <c r="E24" s="83"/>
      <c r="F24" s="83"/>
      <c r="G24" s="82"/>
    </row>
    <row r="25" spans="1:8" x14ac:dyDescent="0.2">
      <c r="A25" s="90" t="s">
        <v>151</v>
      </c>
      <c r="B25" s="84"/>
      <c r="C25" s="84">
        <f>2*C18/C23</f>
        <v>1.176327766021491E-2</v>
      </c>
      <c r="D25" s="91"/>
      <c r="E25" s="81"/>
      <c r="G25" s="81"/>
    </row>
    <row r="26" spans="1:8" x14ac:dyDescent="0.2">
      <c r="A26" s="90" t="s">
        <v>152</v>
      </c>
      <c r="B26" s="84"/>
      <c r="C26" s="84">
        <f>C23*C23*C25</f>
        <v>166.62022750929367</v>
      </c>
      <c r="D26" s="91"/>
    </row>
    <row r="27" spans="1:8" ht="13.5" thickBot="1" x14ac:dyDescent="0.25">
      <c r="A27" s="94" t="s">
        <v>153</v>
      </c>
      <c r="B27" s="95"/>
      <c r="C27" s="95">
        <f>C26/C25</f>
        <v>14164.438885331012</v>
      </c>
      <c r="D27" s="96"/>
    </row>
    <row r="28" spans="1:8" ht="21" thickBot="1" x14ac:dyDescent="0.35">
      <c r="A28" s="130" t="s">
        <v>163</v>
      </c>
      <c r="B28" s="131"/>
      <c r="C28" s="131"/>
      <c r="D28" s="132"/>
    </row>
    <row r="29" spans="1:8" ht="12.75" customHeight="1" x14ac:dyDescent="0.2">
      <c r="A29" s="163" t="s">
        <v>154</v>
      </c>
      <c r="B29" s="154"/>
      <c r="C29" s="155"/>
      <c r="D29" s="156"/>
      <c r="E29" s="80"/>
      <c r="F29" s="80"/>
      <c r="G29" s="80"/>
      <c r="H29" s="80"/>
    </row>
    <row r="30" spans="1:8" x14ac:dyDescent="0.2">
      <c r="A30" s="164"/>
      <c r="B30" s="157"/>
      <c r="C30" s="158"/>
      <c r="D30" s="159"/>
      <c r="E30" s="80"/>
      <c r="F30" s="80"/>
      <c r="G30" s="80"/>
      <c r="H30" s="80"/>
    </row>
    <row r="31" spans="1:8" ht="26.25" customHeight="1" thickBot="1" x14ac:dyDescent="0.25">
      <c r="A31" s="165"/>
      <c r="B31" s="160"/>
      <c r="C31" s="161"/>
      <c r="D31" s="162"/>
      <c r="E31" s="80"/>
      <c r="F31" s="80"/>
      <c r="G31" s="80"/>
      <c r="H31" s="80"/>
    </row>
    <row r="32" spans="1:8" x14ac:dyDescent="0.2">
      <c r="A32" s="166" t="s">
        <v>150</v>
      </c>
      <c r="B32" s="167"/>
      <c r="C32" s="168"/>
      <c r="D32" s="89"/>
    </row>
    <row r="33" spans="1:4" x14ac:dyDescent="0.2">
      <c r="A33" s="90" t="s">
        <v>155</v>
      </c>
      <c r="B33" s="84"/>
      <c r="C33" s="84">
        <v>20000</v>
      </c>
      <c r="D33" s="91" t="s">
        <v>61</v>
      </c>
    </row>
    <row r="34" spans="1:4" x14ac:dyDescent="0.2">
      <c r="A34" s="90" t="s">
        <v>156</v>
      </c>
      <c r="B34" s="84"/>
      <c r="C34" s="84">
        <f>1/C33</f>
        <v>5.0000000000000002E-5</v>
      </c>
      <c r="D34" s="91"/>
    </row>
    <row r="35" spans="1:4" x14ac:dyDescent="0.2">
      <c r="A35" s="90" t="s">
        <v>157</v>
      </c>
      <c r="B35" s="84"/>
      <c r="C35" s="84">
        <f>(2*C26+C27*C34)/2</f>
        <v>166.97433848142694</v>
      </c>
      <c r="D35" s="91"/>
    </row>
    <row r="36" spans="1:4" ht="13.5" thickBot="1" x14ac:dyDescent="0.25">
      <c r="A36" s="94" t="s">
        <v>158</v>
      </c>
      <c r="B36" s="95"/>
      <c r="C36" s="95">
        <f>-(2*C26-C27*C34)/2</f>
        <v>-166.2661165371604</v>
      </c>
      <c r="D36" s="96"/>
    </row>
  </sheetData>
  <mergeCells count="13">
    <mergeCell ref="A28:D28"/>
    <mergeCell ref="B29:D31"/>
    <mergeCell ref="A29:A31"/>
    <mergeCell ref="A32:C32"/>
    <mergeCell ref="A1:H1"/>
    <mergeCell ref="A2:H2"/>
    <mergeCell ref="A15:D15"/>
    <mergeCell ref="A3:B7"/>
    <mergeCell ref="C3:H7"/>
    <mergeCell ref="A8:B11"/>
    <mergeCell ref="C8:H11"/>
    <mergeCell ref="A12:B14"/>
    <mergeCell ref="C12:H1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2</xdr:col>
                <xdr:colOff>304800</xdr:colOff>
                <xdr:row>11</xdr:row>
                <xdr:rowOff>19050</xdr:rowOff>
              </from>
              <to>
                <xdr:col>4</xdr:col>
                <xdr:colOff>47625</xdr:colOff>
                <xdr:row>13</xdr:row>
                <xdr:rowOff>152400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4</xdr:col>
                <xdr:colOff>476250</xdr:colOff>
                <xdr:row>11</xdr:row>
                <xdr:rowOff>38100</xdr:rowOff>
              </from>
              <to>
                <xdr:col>6</xdr:col>
                <xdr:colOff>514350</xdr:colOff>
                <xdr:row>13</xdr:row>
                <xdr:rowOff>152400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0</xdr:colOff>
                <xdr:row>18</xdr:row>
                <xdr:rowOff>38100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r:id="rId11">
            <anchor moveWithCells="1">
              <from>
                <xdr:col>1</xdr:col>
                <xdr:colOff>200025</xdr:colOff>
                <xdr:row>18</xdr:row>
                <xdr:rowOff>0</xdr:rowOff>
              </from>
              <to>
                <xdr:col>1</xdr:col>
                <xdr:colOff>323850</xdr:colOff>
                <xdr:row>19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r:id="rId13">
            <anchor moveWithCells="1">
              <from>
                <xdr:col>1</xdr:col>
                <xdr:colOff>228600</xdr:colOff>
                <xdr:row>21</xdr:row>
                <xdr:rowOff>19050</xdr:rowOff>
              </from>
              <to>
                <xdr:col>1</xdr:col>
                <xdr:colOff>381000</xdr:colOff>
                <xdr:row>22</xdr:row>
                <xdr:rowOff>0</xdr:rowOff>
              </to>
            </anchor>
          </objectPr>
        </oleObject>
      </mc:Choice>
      <mc:Fallback>
        <oleObject progId="Equation.3" shapeId="6149" r:id="rId12"/>
      </mc:Fallback>
    </mc:AlternateContent>
    <mc:AlternateContent xmlns:mc="http://schemas.openxmlformats.org/markup-compatibility/2006">
      <mc:Choice Requires="x14">
        <oleObject progId="Equation.3" shapeId="6150" r:id="rId14">
          <objectPr defaultSize="0" autoPict="0" r:id="rId15">
            <anchor moveWithCells="1" sizeWithCells="1">
              <from>
                <xdr:col>2</xdr:col>
                <xdr:colOff>133350</xdr:colOff>
                <xdr:row>2</xdr:row>
                <xdr:rowOff>38100</xdr:rowOff>
              </from>
              <to>
                <xdr:col>7</xdr:col>
                <xdr:colOff>409575</xdr:colOff>
                <xdr:row>6</xdr:row>
                <xdr:rowOff>161925</xdr:rowOff>
              </to>
            </anchor>
          </objectPr>
        </oleObject>
      </mc:Choice>
      <mc:Fallback>
        <oleObject progId="Equation.3" shapeId="6150" r:id="rId14"/>
      </mc:Fallback>
    </mc:AlternateContent>
    <mc:AlternateContent xmlns:mc="http://schemas.openxmlformats.org/markup-compatibility/2006">
      <mc:Choice Requires="x14">
        <oleObject progId="Equation.3" shapeId="6151" r:id="rId16">
          <objectPr defaultSize="0" autoPict="0" r:id="rId17">
            <anchor moveWithCells="1" sizeWithCells="1">
              <from>
                <xdr:col>3</xdr:col>
                <xdr:colOff>219075</xdr:colOff>
                <xdr:row>7</xdr:row>
                <xdr:rowOff>133350</xdr:rowOff>
              </from>
              <to>
                <xdr:col>5</xdr:col>
                <xdr:colOff>600075</xdr:colOff>
                <xdr:row>10</xdr:row>
                <xdr:rowOff>28575</xdr:rowOff>
              </to>
            </anchor>
          </objectPr>
        </oleObject>
      </mc:Choice>
      <mc:Fallback>
        <oleObject progId="Equation.3" shapeId="6151" r:id="rId16"/>
      </mc:Fallback>
    </mc:AlternateContent>
    <mc:AlternateContent xmlns:mc="http://schemas.openxmlformats.org/markup-compatibility/2006">
      <mc:Choice Requires="x14">
        <oleObject progId="Equation.3" shapeId="6152" r:id="rId18">
          <objectPr defaultSize="0" autoPict="0" r:id="rId19">
            <anchor moveWithCells="1" sizeWithCells="1">
              <from>
                <xdr:col>1</xdr:col>
                <xdr:colOff>9525</xdr:colOff>
                <xdr:row>28</xdr:row>
                <xdr:rowOff>47625</xdr:rowOff>
              </from>
              <to>
                <xdr:col>3</xdr:col>
                <xdr:colOff>533400</xdr:colOff>
                <xdr:row>31</xdr:row>
                <xdr:rowOff>0</xdr:rowOff>
              </to>
            </anchor>
          </objectPr>
        </oleObject>
      </mc:Choice>
      <mc:Fallback>
        <oleObject progId="Equation.3" shapeId="6152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ADC_Vac_Vbus_Ii</vt:lpstr>
      <vt:lpstr>SDFM_Vac_Vbus_Iout_Icf</vt:lpstr>
      <vt:lpstr>UPS Li &amp; Cf Sel</vt:lpstr>
      <vt:lpstr>Grid Conn. Li, Cf, Lg Sel</vt:lpstr>
      <vt:lpstr>Li Design</vt:lpstr>
      <vt:lpstr>SPLL Calculations</vt:lpstr>
    </vt:vector>
  </TitlesOfParts>
  <Company>Texas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Bhardwaj, Manish</cp:lastModifiedBy>
  <dcterms:created xsi:type="dcterms:W3CDTF">2007-05-31T15:53:01Z</dcterms:created>
  <dcterms:modified xsi:type="dcterms:W3CDTF">2015-10-27T21:15:00Z</dcterms:modified>
</cp:coreProperties>
</file>