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brietymatters-my.sharepoint.com/personal/rachael_bowles_positiverecovery_com/Documents/Documents/"/>
    </mc:Choice>
  </mc:AlternateContent>
  <xr:revisionPtr revIDLastSave="0" documentId="8_{4B4B85ED-02FA-4B7C-839E-816259E02D31}" xr6:coauthVersionLast="47" xr6:coauthVersionMax="47" xr10:uidLastSave="{00000000-0000-0000-0000-000000000000}"/>
  <bookViews>
    <workbookView xWindow="-120" yWindow="-120" windowWidth="29040" windowHeight="15720" firstSheet="4" activeTab="4" xr2:uid="{8222120A-6669-4437-B7B2-82C61390F497}"/>
  </bookViews>
  <sheets>
    <sheet name="ExtraData" sheetId="22" state="hidden" r:id="rId1"/>
    <sheet name="DataDear" sheetId="23" state="hidden" r:id="rId2"/>
    <sheet name="ExtraData (2)" sheetId="26" state="hidden" r:id="rId3"/>
    <sheet name="DataDear (2)" sheetId="27" state="hidden" r:id="rId4"/>
    <sheet name="Admin" sheetId="28" r:id="rId5"/>
    <sheet name="Dallas" sheetId="1" r:id="rId6"/>
    <sheet name="Garden Oaks" sheetId="2" r:id="rId7"/>
    <sheet name="Hill Country" sheetId="3" r:id="rId8"/>
    <sheet name="Montrose" sheetId="4" r:id="rId9"/>
    <sheet name="Austin" sheetId="5" r:id="rId10"/>
    <sheet name="Cinco Ranch" sheetId="6" r:id="rId11"/>
    <sheet name="Clear Lake" sheetId="7" r:id="rId12"/>
    <sheet name="Conroe" sheetId="8" r:id="rId13"/>
    <sheet name="Energy Corridor" sheetId="9" r:id="rId14"/>
    <sheet name="Galleria" sheetId="10" r:id="rId15"/>
    <sheet name="Humble" sheetId="11" r:id="rId16"/>
    <sheet name="Jersey Village" sheetId="12" r:id="rId17"/>
    <sheet name="North Loop" sheetId="13" r:id="rId18"/>
    <sheet name="Pasadena" sheetId="14" r:id="rId19"/>
    <sheet name="Round Rock" sheetId="15" r:id="rId20"/>
    <sheet name="San Antonio" sheetId="16" r:id="rId21"/>
    <sheet name="San Marcos" sheetId="17" r:id="rId22"/>
    <sheet name="Sugarland" sheetId="18" r:id="rId23"/>
    <sheet name="The Woodlands" sheetId="19" r:id="rId24"/>
  </sheets>
  <externalReferences>
    <externalReference r:id="rId25"/>
    <externalReference r:id="rId26"/>
  </externalReferences>
  <definedNames>
    <definedName name="Accounts_List">OFFSET('[1]2 Accounts'!$B$1,COUNTA('[1]2 Accounts'!$J:$J)+5,,COUNTA('[1]2 Accounts'!$B:$B)-COUNTA('[1]2 Accounts'!$J:$J)-1)</definedName>
    <definedName name="Contacts_List">OFFSET([1]Contacts!$A$1,6,,COUNTA([1]Contacts!$A:$A)-3)</definedName>
    <definedName name="Tax_Rate">OFFSET('[1]1 Tax Rates'!$A$1,6,,COUNTA('[1]1 Tax Rates'!$A:$A)-4)</definedName>
    <definedName name="Tax_Rate_Rep_Type_List">OFFSET([1]ExtraData!$N$1,MATCH(#REF!,[1]DataDear!$D:$D, 0)-1,,COUNTIF([1]DataDear!$D:$D, "="&amp;#REF!))</definedName>
    <definedName name="XFF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4" i="28" l="1"/>
  <c r="O134" i="28"/>
  <c r="N134" i="28"/>
  <c r="M134" i="28"/>
  <c r="L134" i="28"/>
  <c r="K134" i="28"/>
  <c r="J134" i="28"/>
  <c r="I134" i="28"/>
  <c r="H134" i="28"/>
  <c r="G134" i="28"/>
  <c r="F134" i="28"/>
  <c r="E134" i="28"/>
  <c r="C134" i="28"/>
  <c r="R133" i="28"/>
  <c r="Q133" i="28"/>
  <c r="U133" i="28" s="1"/>
  <c r="D133" i="28"/>
  <c r="R132" i="28"/>
  <c r="Q132" i="28"/>
  <c r="Q134" i="28" s="1"/>
  <c r="D132" i="28"/>
  <c r="D134" i="28" s="1"/>
  <c r="P127" i="28"/>
  <c r="O127" i="28"/>
  <c r="N127" i="28"/>
  <c r="M127" i="28"/>
  <c r="L127" i="28"/>
  <c r="K127" i="28"/>
  <c r="J127" i="28"/>
  <c r="I127" i="28"/>
  <c r="H127" i="28"/>
  <c r="G127" i="28"/>
  <c r="F127" i="28"/>
  <c r="E127" i="28"/>
  <c r="R127" i="28" s="1"/>
  <c r="R126" i="28"/>
  <c r="Q126" i="28"/>
  <c r="U126" i="28" s="1"/>
  <c r="D126" i="28"/>
  <c r="D127" i="28" s="1"/>
  <c r="R124" i="28"/>
  <c r="Q124" i="28"/>
  <c r="P124" i="28"/>
  <c r="O124" i="28"/>
  <c r="N124" i="28"/>
  <c r="M124" i="28"/>
  <c r="L124" i="28"/>
  <c r="K124" i="28"/>
  <c r="J124" i="28"/>
  <c r="I124" i="28"/>
  <c r="H124" i="28"/>
  <c r="G124" i="28"/>
  <c r="F124" i="28"/>
  <c r="E124" i="28"/>
  <c r="C124" i="28"/>
  <c r="U123" i="28"/>
  <c r="R123" i="28"/>
  <c r="Q123" i="28"/>
  <c r="D123" i="28"/>
  <c r="D124" i="28" s="1"/>
  <c r="P121" i="28"/>
  <c r="O121" i="28"/>
  <c r="N121" i="28"/>
  <c r="M121" i="28"/>
  <c r="L121" i="28"/>
  <c r="K121" i="28"/>
  <c r="J121" i="28"/>
  <c r="I121" i="28"/>
  <c r="H121" i="28"/>
  <c r="G121" i="28"/>
  <c r="F121" i="28"/>
  <c r="E121" i="28"/>
  <c r="R121" i="28" s="1"/>
  <c r="C121" i="28"/>
  <c r="R120" i="28"/>
  <c r="Q120" i="28"/>
  <c r="U120" i="28" s="1"/>
  <c r="C120" i="28"/>
  <c r="D120" i="28" s="1"/>
  <c r="R119" i="28"/>
  <c r="Q119" i="28"/>
  <c r="U119" i="28" s="1"/>
  <c r="D119" i="28"/>
  <c r="C119" i="28"/>
  <c r="R118" i="28"/>
  <c r="Q118" i="28"/>
  <c r="U118" i="28" s="1"/>
  <c r="C118" i="28"/>
  <c r="D118" i="28" s="1"/>
  <c r="R117" i="28"/>
  <c r="Q117" i="28"/>
  <c r="U117" i="28" s="1"/>
  <c r="D117" i="28"/>
  <c r="R116" i="28"/>
  <c r="Q116" i="28"/>
  <c r="U116" i="28" s="1"/>
  <c r="D116" i="28"/>
  <c r="R115" i="28"/>
  <c r="Q115" i="28"/>
  <c r="U115" i="28" s="1"/>
  <c r="C115" i="28"/>
  <c r="D115" i="28" s="1"/>
  <c r="R114" i="28"/>
  <c r="Q114" i="28"/>
  <c r="U114" i="28" s="1"/>
  <c r="D114" i="28"/>
  <c r="R113" i="28"/>
  <c r="Q113" i="28"/>
  <c r="U113" i="28" s="1"/>
  <c r="D113" i="28"/>
  <c r="R112" i="28"/>
  <c r="Q112" i="28"/>
  <c r="U112" i="28" s="1"/>
  <c r="D112" i="28"/>
  <c r="U111" i="28"/>
  <c r="R111" i="28"/>
  <c r="Q111" i="28"/>
  <c r="D111" i="28"/>
  <c r="R110" i="28"/>
  <c r="Q110" i="28"/>
  <c r="U110" i="28" s="1"/>
  <c r="D110" i="28"/>
  <c r="R109" i="28"/>
  <c r="Q109" i="28"/>
  <c r="U109" i="28" s="1"/>
  <c r="D109" i="28"/>
  <c r="R108" i="28"/>
  <c r="Q108" i="28"/>
  <c r="U108" i="28" s="1"/>
  <c r="D108" i="28"/>
  <c r="U107" i="28"/>
  <c r="R107" i="28"/>
  <c r="Q107" i="28"/>
  <c r="D107" i="28"/>
  <c r="U106" i="28"/>
  <c r="R106" i="28"/>
  <c r="Q106" i="28"/>
  <c r="D106" i="28"/>
  <c r="U105" i="28"/>
  <c r="R105" i="28"/>
  <c r="Q105" i="28"/>
  <c r="D105" i="28"/>
  <c r="U104" i="28"/>
  <c r="R104" i="28"/>
  <c r="Q104" i="28"/>
  <c r="D104" i="28"/>
  <c r="U103" i="28"/>
  <c r="R103" i="28"/>
  <c r="Q103" i="28"/>
  <c r="D103" i="28"/>
  <c r="R102" i="28"/>
  <c r="Q102" i="28"/>
  <c r="U102" i="28" s="1"/>
  <c r="D102" i="28"/>
  <c r="R101" i="28"/>
  <c r="Q101" i="28"/>
  <c r="U101" i="28" s="1"/>
  <c r="D101" i="28"/>
  <c r="U100" i="28"/>
  <c r="R100" i="28"/>
  <c r="Q100" i="28"/>
  <c r="D100" i="28"/>
  <c r="U99" i="28"/>
  <c r="R99" i="28"/>
  <c r="Q99" i="28"/>
  <c r="D99" i="28"/>
  <c r="R98" i="28"/>
  <c r="Q98" i="28"/>
  <c r="U98" i="28" s="1"/>
  <c r="D98" i="28"/>
  <c r="R97" i="28"/>
  <c r="Q97" i="28"/>
  <c r="Q121" i="28" s="1"/>
  <c r="D97" i="28"/>
  <c r="P95" i="28"/>
  <c r="O95" i="28"/>
  <c r="N95" i="28"/>
  <c r="M95" i="28"/>
  <c r="L95" i="28"/>
  <c r="K95" i="28"/>
  <c r="J95" i="28"/>
  <c r="I95" i="28"/>
  <c r="H95" i="28"/>
  <c r="G95" i="28"/>
  <c r="F95" i="28"/>
  <c r="R95" i="28" s="1"/>
  <c r="E95" i="28"/>
  <c r="C95" i="28"/>
  <c r="R94" i="28"/>
  <c r="Q94" i="28"/>
  <c r="U94" i="28" s="1"/>
  <c r="D94" i="28"/>
  <c r="R93" i="28"/>
  <c r="Q93" i="28"/>
  <c r="Q95" i="28" s="1"/>
  <c r="D93" i="28"/>
  <c r="U92" i="28"/>
  <c r="R92" i="28"/>
  <c r="Q92" i="28"/>
  <c r="D92" i="28"/>
  <c r="D95" i="28" s="1"/>
  <c r="P90" i="28"/>
  <c r="O90" i="28"/>
  <c r="N90" i="28"/>
  <c r="M90" i="28"/>
  <c r="L90" i="28"/>
  <c r="K90" i="28"/>
  <c r="J90" i="28"/>
  <c r="I90" i="28"/>
  <c r="H90" i="28"/>
  <c r="G90" i="28"/>
  <c r="R90" i="28" s="1"/>
  <c r="F90" i="28"/>
  <c r="E90" i="28"/>
  <c r="C90" i="28"/>
  <c r="U89" i="28"/>
  <c r="R89" i="28"/>
  <c r="Q89" i="28"/>
  <c r="D89" i="28"/>
  <c r="U88" i="28"/>
  <c r="R88" i="28"/>
  <c r="Q88" i="28"/>
  <c r="D88" i="28"/>
  <c r="U87" i="28"/>
  <c r="R87" i="28"/>
  <c r="Q87" i="28"/>
  <c r="D87" i="28"/>
  <c r="D90" i="28" s="1"/>
  <c r="R86" i="28"/>
  <c r="Q86" i="28"/>
  <c r="U86" i="28" s="1"/>
  <c r="D86" i="28"/>
  <c r="R85" i="28"/>
  <c r="Q85" i="28"/>
  <c r="U85" i="28" s="1"/>
  <c r="D85" i="28"/>
  <c r="U84" i="28"/>
  <c r="R84" i="28"/>
  <c r="Q84" i="28"/>
  <c r="Q90" i="28" s="1"/>
  <c r="D84" i="28"/>
  <c r="P82" i="28"/>
  <c r="O82" i="28"/>
  <c r="N82" i="28"/>
  <c r="M82" i="28"/>
  <c r="L82" i="28"/>
  <c r="K82" i="28"/>
  <c r="J82" i="28"/>
  <c r="I82" i="28"/>
  <c r="H82" i="28"/>
  <c r="G82" i="28"/>
  <c r="R82" i="28" s="1"/>
  <c r="F82" i="28"/>
  <c r="E82" i="28"/>
  <c r="C82" i="28"/>
  <c r="U81" i="28"/>
  <c r="R81" i="28"/>
  <c r="Q81" i="28"/>
  <c r="D81" i="28"/>
  <c r="U80" i="28"/>
  <c r="R80" i="28"/>
  <c r="Q80" i="28"/>
  <c r="D80" i="28"/>
  <c r="U79" i="28"/>
  <c r="R79" i="28"/>
  <c r="Q79" i="28"/>
  <c r="D79" i="28"/>
  <c r="D82" i="28" s="1"/>
  <c r="R78" i="28"/>
  <c r="Q78" i="28"/>
  <c r="U78" i="28" s="1"/>
  <c r="D78" i="28"/>
  <c r="Q76" i="28"/>
  <c r="U76" i="28" s="1"/>
  <c r="P76" i="28"/>
  <c r="O76" i="28"/>
  <c r="N76" i="28"/>
  <c r="M76" i="28"/>
  <c r="L76" i="28"/>
  <c r="K76" i="28"/>
  <c r="J76" i="28"/>
  <c r="I76" i="28"/>
  <c r="H76" i="28"/>
  <c r="R76" i="28" s="1"/>
  <c r="G76" i="28"/>
  <c r="F76" i="28"/>
  <c r="E76" i="28"/>
  <c r="C76" i="28"/>
  <c r="U75" i="28"/>
  <c r="R75" i="28"/>
  <c r="Q75" i="28"/>
  <c r="D75" i="28"/>
  <c r="D76" i="28" s="1"/>
  <c r="P73" i="28"/>
  <c r="O73" i="28"/>
  <c r="N73" i="28"/>
  <c r="M73" i="28"/>
  <c r="L73" i="28"/>
  <c r="K73" i="28"/>
  <c r="J73" i="28"/>
  <c r="I73" i="28"/>
  <c r="H73" i="28"/>
  <c r="G73" i="28"/>
  <c r="F73" i="28"/>
  <c r="E73" i="28"/>
  <c r="R73" i="28" s="1"/>
  <c r="C73" i="28"/>
  <c r="R72" i="28"/>
  <c r="Q72" i="28"/>
  <c r="U72" i="28" s="1"/>
  <c r="D72" i="28"/>
  <c r="U71" i="28"/>
  <c r="R71" i="28"/>
  <c r="Q71" i="28"/>
  <c r="D71" i="28"/>
  <c r="R70" i="28"/>
  <c r="Q70" i="28"/>
  <c r="U70" i="28" s="1"/>
  <c r="D70" i="28"/>
  <c r="D73" i="28" s="1"/>
  <c r="R69" i="28"/>
  <c r="Q69" i="28"/>
  <c r="U69" i="28" s="1"/>
  <c r="D69" i="28"/>
  <c r="U68" i="28"/>
  <c r="R68" i="28"/>
  <c r="Q68" i="28"/>
  <c r="D68" i="28"/>
  <c r="U67" i="28"/>
  <c r="R67" i="28"/>
  <c r="Q67" i="28"/>
  <c r="D67" i="28"/>
  <c r="U66" i="28"/>
  <c r="R66" i="28"/>
  <c r="Q66" i="28"/>
  <c r="D66" i="28"/>
  <c r="U65" i="28"/>
  <c r="R65" i="28"/>
  <c r="Q65" i="28"/>
  <c r="D65" i="28"/>
  <c r="U64" i="28"/>
  <c r="R64" i="28"/>
  <c r="Q64" i="28"/>
  <c r="D64" i="28"/>
  <c r="P62" i="28"/>
  <c r="O62" i="28"/>
  <c r="N62" i="28"/>
  <c r="M62" i="28"/>
  <c r="L62" i="28"/>
  <c r="D62" i="28"/>
  <c r="C62" i="28"/>
  <c r="R61" i="28"/>
  <c r="Q61" i="28"/>
  <c r="U61" i="28" s="1"/>
  <c r="D61" i="28"/>
  <c r="R60" i="28"/>
  <c r="Q60" i="28"/>
  <c r="U60" i="28" s="1"/>
  <c r="D60" i="28"/>
  <c r="U59" i="28"/>
  <c r="R59" i="28"/>
  <c r="Q59" i="28"/>
  <c r="D59" i="28"/>
  <c r="U58" i="28"/>
  <c r="R58" i="28"/>
  <c r="Q58" i="28"/>
  <c r="D58" i="28"/>
  <c r="U57" i="28"/>
  <c r="R57" i="28"/>
  <c r="Q57" i="28"/>
  <c r="D57" i="28"/>
  <c r="U56" i="28"/>
  <c r="R56" i="28"/>
  <c r="Q56" i="28"/>
  <c r="D56" i="28"/>
  <c r="U55" i="28"/>
  <c r="R55" i="28"/>
  <c r="Q55" i="28"/>
  <c r="D55" i="28"/>
  <c r="K54" i="28"/>
  <c r="K62" i="28" s="1"/>
  <c r="J54" i="28"/>
  <c r="J62" i="28" s="1"/>
  <c r="I54" i="28"/>
  <c r="I62" i="28" s="1"/>
  <c r="H54" i="28"/>
  <c r="H62" i="28" s="1"/>
  <c r="G54" i="28"/>
  <c r="G62" i="28" s="1"/>
  <c r="F54" i="28"/>
  <c r="F62" i="28" s="1"/>
  <c r="E54" i="28"/>
  <c r="R54" i="28" s="1"/>
  <c r="D54" i="28"/>
  <c r="U53" i="28"/>
  <c r="R53" i="28"/>
  <c r="Q53" i="28"/>
  <c r="D53" i="28"/>
  <c r="U52" i="28"/>
  <c r="R52" i="28"/>
  <c r="Q52" i="28"/>
  <c r="D52" i="28"/>
  <c r="U51" i="28"/>
  <c r="R51" i="28"/>
  <c r="Q51" i="28"/>
  <c r="D51" i="28"/>
  <c r="U50" i="28"/>
  <c r="R50" i="28"/>
  <c r="Q50" i="28"/>
  <c r="D50" i="28"/>
  <c r="D47" i="28"/>
  <c r="D46" i="28"/>
  <c r="D45" i="28"/>
  <c r="C44" i="28"/>
  <c r="D44" i="28" s="1"/>
  <c r="D43" i="28"/>
  <c r="P42" i="28"/>
  <c r="Q42" i="28" s="1"/>
  <c r="O42" i="28"/>
  <c r="N42" i="28"/>
  <c r="M42" i="28"/>
  <c r="L42" i="28"/>
  <c r="K42" i="28"/>
  <c r="J42" i="28"/>
  <c r="I42" i="28"/>
  <c r="H42" i="28"/>
  <c r="G42" i="28"/>
  <c r="F42" i="28"/>
  <c r="E42" i="28"/>
  <c r="R42" i="28" s="1"/>
  <c r="D42" i="28"/>
  <c r="D41" i="28"/>
  <c r="D40" i="28"/>
  <c r="P39" i="28"/>
  <c r="P45" i="28" s="1"/>
  <c r="O39" i="28"/>
  <c r="O45" i="28" s="1"/>
  <c r="N39" i="28"/>
  <c r="N45" i="28" s="1"/>
  <c r="M39" i="28"/>
  <c r="M45" i="28" s="1"/>
  <c r="L39" i="28"/>
  <c r="L45" i="28" s="1"/>
  <c r="K39" i="28"/>
  <c r="K45" i="28" s="1"/>
  <c r="J39" i="28"/>
  <c r="J45" i="28" s="1"/>
  <c r="I39" i="28"/>
  <c r="I45" i="28" s="1"/>
  <c r="H39" i="28"/>
  <c r="H45" i="28" s="1"/>
  <c r="G39" i="28"/>
  <c r="G45" i="28" s="1"/>
  <c r="F39" i="28"/>
  <c r="F45" i="28" s="1"/>
  <c r="E39" i="28"/>
  <c r="D39" i="28"/>
  <c r="P38" i="28"/>
  <c r="P44" i="28" s="1"/>
  <c r="O38" i="28"/>
  <c r="O44" i="28" s="1"/>
  <c r="N38" i="28"/>
  <c r="N44" i="28" s="1"/>
  <c r="M38" i="28"/>
  <c r="M44" i="28" s="1"/>
  <c r="L38" i="28"/>
  <c r="L44" i="28" s="1"/>
  <c r="K38" i="28"/>
  <c r="K44" i="28" s="1"/>
  <c r="J38" i="28"/>
  <c r="J44" i="28" s="1"/>
  <c r="I38" i="28"/>
  <c r="I44" i="28" s="1"/>
  <c r="H38" i="28"/>
  <c r="H44" i="28" s="1"/>
  <c r="G38" i="28"/>
  <c r="G44" i="28" s="1"/>
  <c r="F38" i="28"/>
  <c r="F44" i="28" s="1"/>
  <c r="E38" i="28"/>
  <c r="D38" i="28"/>
  <c r="C38" i="28"/>
  <c r="P37" i="28"/>
  <c r="P43" i="28" s="1"/>
  <c r="O37" i="28"/>
  <c r="O41" i="28" s="1"/>
  <c r="N37" i="28"/>
  <c r="N43" i="28" s="1"/>
  <c r="M37" i="28"/>
  <c r="M43" i="28" s="1"/>
  <c r="L37" i="28"/>
  <c r="L43" i="28" s="1"/>
  <c r="K37" i="28"/>
  <c r="K43" i="28" s="1"/>
  <c r="J37" i="28"/>
  <c r="J46" i="28" s="1"/>
  <c r="I37" i="28"/>
  <c r="I47" i="28" s="1"/>
  <c r="H37" i="28"/>
  <c r="G37" i="28"/>
  <c r="F37" i="28"/>
  <c r="E37" i="28"/>
  <c r="C37" i="28"/>
  <c r="D37" i="28" s="1"/>
  <c r="H33" i="28"/>
  <c r="H34" i="28" s="1"/>
  <c r="C33" i="28"/>
  <c r="C34" i="28" s="1"/>
  <c r="P32" i="28"/>
  <c r="O32" i="28"/>
  <c r="N32" i="28"/>
  <c r="M32" i="28"/>
  <c r="L32" i="28"/>
  <c r="K32" i="28"/>
  <c r="J32" i="28"/>
  <c r="I32" i="28"/>
  <c r="I33" i="28" s="1"/>
  <c r="I34" i="28" s="1"/>
  <c r="H32" i="28"/>
  <c r="G32" i="28"/>
  <c r="F32" i="28"/>
  <c r="E32" i="28"/>
  <c r="R32" i="28" s="1"/>
  <c r="D32" i="28"/>
  <c r="C32" i="28"/>
  <c r="R31" i="28"/>
  <c r="Q31" i="28"/>
  <c r="U31" i="28" s="1"/>
  <c r="D31" i="28"/>
  <c r="J29" i="28"/>
  <c r="J33" i="28" s="1"/>
  <c r="J34" i="28" s="1"/>
  <c r="I29" i="28"/>
  <c r="H29" i="28"/>
  <c r="G29" i="28"/>
  <c r="G33" i="28" s="1"/>
  <c r="G34" i="28" s="1"/>
  <c r="F29" i="28"/>
  <c r="F33" i="28" s="1"/>
  <c r="F34" i="28" s="1"/>
  <c r="E29" i="28"/>
  <c r="E33" i="28" s="1"/>
  <c r="C29" i="28"/>
  <c r="P28" i="28"/>
  <c r="O28" i="28"/>
  <c r="O29" i="28" s="1"/>
  <c r="O33" i="28" s="1"/>
  <c r="O34" i="28" s="1"/>
  <c r="D28" i="28"/>
  <c r="P27" i="28"/>
  <c r="O27" i="28"/>
  <c r="N27" i="28"/>
  <c r="M27" i="28"/>
  <c r="L27" i="28"/>
  <c r="K27" i="28"/>
  <c r="R27" i="28" s="1"/>
  <c r="D27" i="28"/>
  <c r="U26" i="28"/>
  <c r="R26" i="28"/>
  <c r="Q26" i="28"/>
  <c r="D26" i="28"/>
  <c r="P25" i="28"/>
  <c r="O25" i="28"/>
  <c r="N25" i="28"/>
  <c r="M25" i="28"/>
  <c r="L25" i="28"/>
  <c r="K25" i="28"/>
  <c r="R25" i="28" s="1"/>
  <c r="D25" i="28"/>
  <c r="R24" i="28"/>
  <c r="Q24" i="28"/>
  <c r="P24" i="28"/>
  <c r="P29" i="28" s="1"/>
  <c r="P33" i="28" s="1"/>
  <c r="P34" i="28" s="1"/>
  <c r="O24" i="28"/>
  <c r="N24" i="28"/>
  <c r="M24" i="28"/>
  <c r="M29" i="28" s="1"/>
  <c r="M33" i="28" s="1"/>
  <c r="M34" i="28" s="1"/>
  <c r="L24" i="28"/>
  <c r="L29" i="28" s="1"/>
  <c r="L33" i="28" s="1"/>
  <c r="L34" i="28" s="1"/>
  <c r="K24" i="28"/>
  <c r="K29" i="28" s="1"/>
  <c r="K33" i="28" s="1"/>
  <c r="K34" i="28" s="1"/>
  <c r="D24" i="28"/>
  <c r="D29" i="28" s="1"/>
  <c r="D33" i="28" s="1"/>
  <c r="D34" i="28" s="1"/>
  <c r="R21" i="28"/>
  <c r="Q21" i="28"/>
  <c r="U21" i="28" s="1"/>
  <c r="U20" i="28"/>
  <c r="R20" i="28"/>
  <c r="Q20" i="28"/>
  <c r="R19" i="28"/>
  <c r="Q19" i="28"/>
  <c r="U19" i="28" s="1"/>
  <c r="R18" i="28"/>
  <c r="Q18" i="28"/>
  <c r="U18" i="28" s="1"/>
  <c r="R17" i="28"/>
  <c r="Q17" i="28"/>
  <c r="U17" i="28" s="1"/>
  <c r="R16" i="28"/>
  <c r="Q16" i="28"/>
  <c r="U16" i="28" s="1"/>
  <c r="P14" i="28"/>
  <c r="O14" i="28"/>
  <c r="N14" i="28"/>
  <c r="N28" i="28" s="1"/>
  <c r="N29" i="28" s="1"/>
  <c r="N33" i="28" s="1"/>
  <c r="N34" i="28" s="1"/>
  <c r="M14" i="28"/>
  <c r="M28" i="28" s="1"/>
  <c r="L14" i="28"/>
  <c r="L28" i="28" s="1"/>
  <c r="K14" i="28"/>
  <c r="K28" i="28" s="1"/>
  <c r="J14" i="28"/>
  <c r="I14" i="28"/>
  <c r="H14" i="28"/>
  <c r="G14" i="28"/>
  <c r="F14" i="28"/>
  <c r="E14" i="28"/>
  <c r="C14" i="28"/>
  <c r="U13" i="28"/>
  <c r="R13" i="28"/>
  <c r="Q13" i="28"/>
  <c r="D13" i="28"/>
  <c r="U12" i="28"/>
  <c r="R12" i="28"/>
  <c r="Q12" i="28"/>
  <c r="D12" i="28"/>
  <c r="R11" i="28"/>
  <c r="Q11" i="28"/>
  <c r="U11" i="28" s="1"/>
  <c r="D11" i="28"/>
  <c r="R10" i="28"/>
  <c r="Q10" i="28"/>
  <c r="U10" i="28" s="1"/>
  <c r="D10" i="28"/>
  <c r="D14" i="28" s="1"/>
  <c r="U9" i="28"/>
  <c r="R9" i="28"/>
  <c r="Q9" i="28"/>
  <c r="D9" i="28"/>
  <c r="U8" i="28"/>
  <c r="R8" i="28"/>
  <c r="Q8" i="28"/>
  <c r="D8" i="28"/>
  <c r="R7" i="28"/>
  <c r="Q7" i="28"/>
  <c r="U7" i="28" s="1"/>
  <c r="D7" i="28"/>
  <c r="P134" i="19"/>
  <c r="O134" i="19"/>
  <c r="N134" i="19"/>
  <c r="M134" i="19"/>
  <c r="L134" i="19"/>
  <c r="K134" i="19"/>
  <c r="J134" i="19"/>
  <c r="I134" i="19"/>
  <c r="H134" i="19"/>
  <c r="G134" i="19"/>
  <c r="G135" i="19" s="1"/>
  <c r="F134" i="19"/>
  <c r="E134" i="19"/>
  <c r="D134" i="19"/>
  <c r="C134" i="19"/>
  <c r="R133" i="19"/>
  <c r="Q133" i="19"/>
  <c r="U133" i="19" s="1"/>
  <c r="R132" i="19"/>
  <c r="Q132" i="19"/>
  <c r="Q134" i="19" s="1"/>
  <c r="P127" i="19"/>
  <c r="O127" i="19"/>
  <c r="N127" i="19"/>
  <c r="M127" i="19"/>
  <c r="L127" i="19"/>
  <c r="K127" i="19"/>
  <c r="J127" i="19"/>
  <c r="I127" i="19"/>
  <c r="H127" i="19"/>
  <c r="G127" i="19"/>
  <c r="F127" i="19"/>
  <c r="R127" i="19" s="1"/>
  <c r="E127" i="19"/>
  <c r="U126" i="19"/>
  <c r="R126" i="19"/>
  <c r="Q126" i="19"/>
  <c r="Q127" i="19" s="1"/>
  <c r="C126" i="19"/>
  <c r="C127" i="19" s="1"/>
  <c r="R124" i="19"/>
  <c r="Q124" i="19"/>
  <c r="P124" i="19"/>
  <c r="O124" i="19"/>
  <c r="N124" i="19"/>
  <c r="N128" i="19" s="1"/>
  <c r="M124" i="19"/>
  <c r="L124" i="19"/>
  <c r="L128" i="19" s="1"/>
  <c r="L135" i="19" s="1"/>
  <c r="K124" i="19"/>
  <c r="J124" i="19"/>
  <c r="I124" i="19"/>
  <c r="H124" i="19"/>
  <c r="G124" i="19"/>
  <c r="F124" i="19"/>
  <c r="F128" i="19" s="1"/>
  <c r="F135" i="19" s="1"/>
  <c r="E124" i="19"/>
  <c r="E128" i="19" s="1"/>
  <c r="C124" i="19"/>
  <c r="U123" i="19"/>
  <c r="R123" i="19"/>
  <c r="Q123" i="19"/>
  <c r="D123" i="19"/>
  <c r="D124" i="19" s="1"/>
  <c r="M121" i="19"/>
  <c r="M128" i="19" s="1"/>
  <c r="M135" i="19" s="1"/>
  <c r="L121" i="19"/>
  <c r="I121" i="19"/>
  <c r="I128" i="19" s="1"/>
  <c r="I135" i="19" s="1"/>
  <c r="H121" i="19"/>
  <c r="H128" i="19" s="1"/>
  <c r="H135" i="19" s="1"/>
  <c r="F121" i="19"/>
  <c r="R120" i="19"/>
  <c r="Q120" i="19"/>
  <c r="U120" i="19" s="1"/>
  <c r="U119" i="19"/>
  <c r="R119" i="19"/>
  <c r="Q119" i="19"/>
  <c r="R118" i="19"/>
  <c r="Q118" i="19"/>
  <c r="U118" i="19" s="1"/>
  <c r="R117" i="19"/>
  <c r="Q117" i="19"/>
  <c r="U117" i="19" s="1"/>
  <c r="R116" i="19"/>
  <c r="Q116" i="19"/>
  <c r="U116" i="19" s="1"/>
  <c r="U115" i="19"/>
  <c r="R115" i="19"/>
  <c r="Q115" i="19"/>
  <c r="R114" i="19"/>
  <c r="Q114" i="19"/>
  <c r="U114" i="19" s="1"/>
  <c r="R113" i="19"/>
  <c r="Q113" i="19"/>
  <c r="U113" i="19" s="1"/>
  <c r="R112" i="19"/>
  <c r="Q112" i="19"/>
  <c r="U112" i="19" s="1"/>
  <c r="U111" i="19"/>
  <c r="R111" i="19"/>
  <c r="Q111" i="19"/>
  <c r="R110" i="19"/>
  <c r="Q110" i="19"/>
  <c r="U110" i="19" s="1"/>
  <c r="R109" i="19"/>
  <c r="Q109" i="19"/>
  <c r="U109" i="19" s="1"/>
  <c r="R108" i="19"/>
  <c r="Q108" i="19"/>
  <c r="U108" i="19" s="1"/>
  <c r="U107" i="19"/>
  <c r="R107" i="19"/>
  <c r="Q107" i="19"/>
  <c r="R106" i="19"/>
  <c r="Q106" i="19"/>
  <c r="U106" i="19" s="1"/>
  <c r="R105" i="19"/>
  <c r="Q105" i="19"/>
  <c r="U105" i="19" s="1"/>
  <c r="P104" i="19"/>
  <c r="P121" i="19" s="1"/>
  <c r="P128" i="19" s="1"/>
  <c r="O104" i="19"/>
  <c r="O121" i="19" s="1"/>
  <c r="N104" i="19"/>
  <c r="N121" i="19" s="1"/>
  <c r="M104" i="19"/>
  <c r="L104" i="19"/>
  <c r="K104" i="19"/>
  <c r="K121" i="19" s="1"/>
  <c r="K128" i="19" s="1"/>
  <c r="J104" i="19"/>
  <c r="J121" i="19" s="1"/>
  <c r="I104" i="19"/>
  <c r="H104" i="19"/>
  <c r="G104" i="19"/>
  <c r="G121" i="19" s="1"/>
  <c r="G128" i="19" s="1"/>
  <c r="F104" i="19"/>
  <c r="E104" i="19"/>
  <c r="E121" i="19" s="1"/>
  <c r="D104" i="19"/>
  <c r="R103" i="19"/>
  <c r="Q103" i="19"/>
  <c r="C103" i="19"/>
  <c r="C121" i="19" s="1"/>
  <c r="R102" i="19"/>
  <c r="Q102" i="19"/>
  <c r="U102" i="19" s="1"/>
  <c r="R101" i="19"/>
  <c r="Q101" i="19"/>
  <c r="U101" i="19" s="1"/>
  <c r="D101" i="19"/>
  <c r="C101" i="19"/>
  <c r="U100" i="19"/>
  <c r="R100" i="19"/>
  <c r="Q100" i="19"/>
  <c r="D100" i="19"/>
  <c r="R99" i="19"/>
  <c r="Q99" i="19"/>
  <c r="U99" i="19" s="1"/>
  <c r="U98" i="19"/>
  <c r="R98" i="19"/>
  <c r="Q98" i="19"/>
  <c r="R97" i="19"/>
  <c r="Q97" i="19"/>
  <c r="U97" i="19" s="1"/>
  <c r="P95" i="19"/>
  <c r="O95" i="19"/>
  <c r="N95" i="19"/>
  <c r="M95" i="19"/>
  <c r="L95" i="19"/>
  <c r="K95" i="19"/>
  <c r="J95" i="19"/>
  <c r="I95" i="19"/>
  <c r="H95" i="19"/>
  <c r="G95" i="19"/>
  <c r="F95" i="19"/>
  <c r="E95" i="19"/>
  <c r="R95" i="19" s="1"/>
  <c r="D95" i="19"/>
  <c r="C95" i="19"/>
  <c r="U94" i="19"/>
  <c r="R94" i="19"/>
  <c r="Q94" i="19"/>
  <c r="R93" i="19"/>
  <c r="Q93" i="19"/>
  <c r="U93" i="19" s="1"/>
  <c r="R92" i="19"/>
  <c r="Q92" i="19"/>
  <c r="U92" i="19" s="1"/>
  <c r="P90" i="19"/>
  <c r="O90" i="19"/>
  <c r="N90" i="19"/>
  <c r="M90" i="19"/>
  <c r="L90" i="19"/>
  <c r="K90" i="19"/>
  <c r="J90" i="19"/>
  <c r="I90" i="19"/>
  <c r="H90" i="19"/>
  <c r="G90" i="19"/>
  <c r="F90" i="19"/>
  <c r="E90" i="19"/>
  <c r="R90" i="19" s="1"/>
  <c r="D90" i="19"/>
  <c r="C90" i="19"/>
  <c r="R89" i="19"/>
  <c r="Q89" i="19"/>
  <c r="U89" i="19" s="1"/>
  <c r="R88" i="19"/>
  <c r="Q88" i="19"/>
  <c r="U88" i="19" s="1"/>
  <c r="U87" i="19"/>
  <c r="R87" i="19"/>
  <c r="Q87" i="19"/>
  <c r="R86" i="19"/>
  <c r="Q86" i="19"/>
  <c r="U86" i="19" s="1"/>
  <c r="R85" i="19"/>
  <c r="Q85" i="19"/>
  <c r="U85" i="19" s="1"/>
  <c r="R84" i="19"/>
  <c r="Q84" i="19"/>
  <c r="Q90" i="19" s="1"/>
  <c r="U82" i="19"/>
  <c r="Q82" i="19"/>
  <c r="P82" i="19"/>
  <c r="O82" i="19"/>
  <c r="N82" i="19"/>
  <c r="M82" i="19"/>
  <c r="L82" i="19"/>
  <c r="K82" i="19"/>
  <c r="J82" i="19"/>
  <c r="I82" i="19"/>
  <c r="H82" i="19"/>
  <c r="G82" i="19"/>
  <c r="F82" i="19"/>
  <c r="E82" i="19"/>
  <c r="R82" i="19" s="1"/>
  <c r="D82" i="19"/>
  <c r="C82" i="19"/>
  <c r="R81" i="19"/>
  <c r="Q81" i="19"/>
  <c r="U81" i="19" s="1"/>
  <c r="R80" i="19"/>
  <c r="Q80" i="19"/>
  <c r="U80" i="19" s="1"/>
  <c r="U79" i="19"/>
  <c r="R79" i="19"/>
  <c r="Q79" i="19"/>
  <c r="R78" i="19"/>
  <c r="Q78" i="19"/>
  <c r="U78" i="19" s="1"/>
  <c r="P76" i="19"/>
  <c r="O76" i="19"/>
  <c r="N76" i="19"/>
  <c r="M76" i="19"/>
  <c r="L76" i="19"/>
  <c r="K76" i="19"/>
  <c r="H76" i="19"/>
  <c r="G76" i="19"/>
  <c r="F76" i="19"/>
  <c r="E76" i="19"/>
  <c r="R76" i="19" s="1"/>
  <c r="D76" i="19"/>
  <c r="C76" i="19"/>
  <c r="R75" i="19"/>
  <c r="Q75" i="19"/>
  <c r="U75" i="19" s="1"/>
  <c r="P73" i="19"/>
  <c r="O73" i="19"/>
  <c r="N73" i="19"/>
  <c r="M73" i="19"/>
  <c r="L73" i="19"/>
  <c r="K73" i="19"/>
  <c r="J73" i="19"/>
  <c r="I73" i="19"/>
  <c r="H73" i="19"/>
  <c r="G73" i="19"/>
  <c r="F73" i="19"/>
  <c r="E73" i="19"/>
  <c r="R73" i="19" s="1"/>
  <c r="D73" i="19"/>
  <c r="C73" i="19"/>
  <c r="R72" i="19"/>
  <c r="Q72" i="19"/>
  <c r="U72" i="19" s="1"/>
  <c r="R71" i="19"/>
  <c r="Q71" i="19"/>
  <c r="U71" i="19" s="1"/>
  <c r="U70" i="19"/>
  <c r="R70" i="19"/>
  <c r="Q70" i="19"/>
  <c r="R69" i="19"/>
  <c r="Q69" i="19"/>
  <c r="U69" i="19" s="1"/>
  <c r="R68" i="19"/>
  <c r="Q68" i="19"/>
  <c r="U68" i="19" s="1"/>
  <c r="R67" i="19"/>
  <c r="Q67" i="19"/>
  <c r="U67" i="19" s="1"/>
  <c r="U66" i="19"/>
  <c r="R66" i="19"/>
  <c r="Q66" i="19"/>
  <c r="R65" i="19"/>
  <c r="Q65" i="19"/>
  <c r="U65" i="19" s="1"/>
  <c r="R64" i="19"/>
  <c r="Q64" i="19"/>
  <c r="U64" i="19" s="1"/>
  <c r="Q62" i="19"/>
  <c r="U62" i="19" s="1"/>
  <c r="P62" i="19"/>
  <c r="O62" i="19"/>
  <c r="N62" i="19"/>
  <c r="M62" i="19"/>
  <c r="L62" i="19"/>
  <c r="K62" i="19"/>
  <c r="J62" i="19"/>
  <c r="I62" i="19"/>
  <c r="H62" i="19"/>
  <c r="G62" i="19"/>
  <c r="F62" i="19"/>
  <c r="E62" i="19"/>
  <c r="R62" i="19" s="1"/>
  <c r="D62" i="19"/>
  <c r="C62" i="19"/>
  <c r="R61" i="19"/>
  <c r="Q61" i="19"/>
  <c r="U61" i="19" s="1"/>
  <c r="U60" i="19"/>
  <c r="R60" i="19"/>
  <c r="Q60" i="19"/>
  <c r="R59" i="19"/>
  <c r="Q59" i="19"/>
  <c r="U59" i="19" s="1"/>
  <c r="U58" i="19"/>
  <c r="R58" i="19"/>
  <c r="Q58" i="19"/>
  <c r="R57" i="19"/>
  <c r="Q57" i="19"/>
  <c r="U57" i="19" s="1"/>
  <c r="U56" i="19"/>
  <c r="R56" i="19"/>
  <c r="Q56" i="19"/>
  <c r="R55" i="19"/>
  <c r="Q55" i="19"/>
  <c r="U55" i="19" s="1"/>
  <c r="U54" i="19"/>
  <c r="R54" i="19"/>
  <c r="Q54" i="19"/>
  <c r="R53" i="19"/>
  <c r="Q53" i="19"/>
  <c r="U53" i="19" s="1"/>
  <c r="U52" i="19"/>
  <c r="R52" i="19"/>
  <c r="Q52" i="19"/>
  <c r="R51" i="19"/>
  <c r="Q51" i="19"/>
  <c r="U51" i="19" s="1"/>
  <c r="U50" i="19"/>
  <c r="R50" i="19"/>
  <c r="Q50" i="19"/>
  <c r="R48" i="19"/>
  <c r="P48" i="19"/>
  <c r="O48" i="19"/>
  <c r="N48" i="19"/>
  <c r="M48" i="19"/>
  <c r="L48" i="19"/>
  <c r="K48" i="19"/>
  <c r="J48" i="19"/>
  <c r="I48" i="19"/>
  <c r="H48" i="19"/>
  <c r="G48" i="19"/>
  <c r="E48" i="19"/>
  <c r="D48" i="19"/>
  <c r="C48" i="19"/>
  <c r="U47" i="19"/>
  <c r="R47" i="19"/>
  <c r="Q47" i="19"/>
  <c r="U46" i="19"/>
  <c r="R46" i="19"/>
  <c r="Q46" i="19"/>
  <c r="U45" i="19"/>
  <c r="R45" i="19"/>
  <c r="Q45" i="19"/>
  <c r="U44" i="19"/>
  <c r="R44" i="19"/>
  <c r="Q44" i="19"/>
  <c r="U43" i="19"/>
  <c r="R43" i="19"/>
  <c r="Q43" i="19"/>
  <c r="U42" i="19"/>
  <c r="R42" i="19"/>
  <c r="Q42" i="19"/>
  <c r="U41" i="19"/>
  <c r="R41" i="19"/>
  <c r="Q41" i="19"/>
  <c r="U40" i="19"/>
  <c r="R40" i="19"/>
  <c r="Q40" i="19"/>
  <c r="U39" i="19"/>
  <c r="R39" i="19"/>
  <c r="Q39" i="19"/>
  <c r="U38" i="19"/>
  <c r="R38" i="19"/>
  <c r="Q38" i="19"/>
  <c r="U37" i="19"/>
  <c r="R37" i="19"/>
  <c r="Q37" i="19"/>
  <c r="Q48" i="19" s="1"/>
  <c r="C33" i="19"/>
  <c r="C34" i="19" s="1"/>
  <c r="D32" i="19"/>
  <c r="C32" i="19"/>
  <c r="D31" i="19"/>
  <c r="C29" i="19"/>
  <c r="D29" i="19" s="1"/>
  <c r="D33" i="19" s="1"/>
  <c r="D34" i="19" s="1"/>
  <c r="D28" i="19"/>
  <c r="P27" i="19"/>
  <c r="O27" i="19"/>
  <c r="N27" i="19"/>
  <c r="M27" i="19"/>
  <c r="L27" i="19"/>
  <c r="K27" i="19"/>
  <c r="R27" i="19" s="1"/>
  <c r="D27" i="19"/>
  <c r="P26" i="19"/>
  <c r="P31" i="19" s="1"/>
  <c r="P32" i="19" s="1"/>
  <c r="O26" i="19"/>
  <c r="O31" i="19" s="1"/>
  <c r="O32" i="19" s="1"/>
  <c r="N26" i="19"/>
  <c r="N31" i="19" s="1"/>
  <c r="N32" i="19" s="1"/>
  <c r="M26" i="19"/>
  <c r="M31" i="19" s="1"/>
  <c r="M32" i="19" s="1"/>
  <c r="L26" i="19"/>
  <c r="L31" i="19" s="1"/>
  <c r="L32" i="19" s="1"/>
  <c r="K26" i="19"/>
  <c r="K31" i="19" s="1"/>
  <c r="K32" i="19" s="1"/>
  <c r="J26" i="19"/>
  <c r="J31" i="19" s="1"/>
  <c r="J32" i="19" s="1"/>
  <c r="I26" i="19"/>
  <c r="I31" i="19" s="1"/>
  <c r="I32" i="19" s="1"/>
  <c r="H26" i="19"/>
  <c r="H31" i="19" s="1"/>
  <c r="H32" i="19" s="1"/>
  <c r="G26" i="19"/>
  <c r="G31" i="19" s="1"/>
  <c r="G32" i="19" s="1"/>
  <c r="F26" i="19"/>
  <c r="F31" i="19" s="1"/>
  <c r="F32" i="19" s="1"/>
  <c r="E26" i="19"/>
  <c r="R26" i="19" s="1"/>
  <c r="D26" i="19"/>
  <c r="U25" i="19"/>
  <c r="R25" i="19"/>
  <c r="Q25" i="19"/>
  <c r="D25" i="19"/>
  <c r="P24" i="19"/>
  <c r="O24" i="19"/>
  <c r="O29" i="19" s="1"/>
  <c r="O33" i="19" s="1"/>
  <c r="O34" i="19" s="1"/>
  <c r="N24" i="19"/>
  <c r="M24" i="19"/>
  <c r="L24" i="19"/>
  <c r="K24" i="19"/>
  <c r="D24" i="19"/>
  <c r="R21" i="19"/>
  <c r="Q21" i="19"/>
  <c r="U21" i="19" s="1"/>
  <c r="R20" i="19"/>
  <c r="Q20" i="19"/>
  <c r="U20" i="19" s="1"/>
  <c r="R19" i="19"/>
  <c r="Q19" i="19"/>
  <c r="U19" i="19" s="1"/>
  <c r="U18" i="19"/>
  <c r="R18" i="19"/>
  <c r="Q18" i="19"/>
  <c r="U17" i="19"/>
  <c r="R17" i="19"/>
  <c r="Q17" i="19"/>
  <c r="R16" i="19"/>
  <c r="Q16" i="19"/>
  <c r="U16" i="19" s="1"/>
  <c r="P14" i="19"/>
  <c r="P28" i="19" s="1"/>
  <c r="O14" i="19"/>
  <c r="O28" i="19" s="1"/>
  <c r="N14" i="19"/>
  <c r="N28" i="19" s="1"/>
  <c r="M14" i="19"/>
  <c r="M28" i="19" s="1"/>
  <c r="L14" i="19"/>
  <c r="L28" i="19" s="1"/>
  <c r="K14" i="19"/>
  <c r="K28" i="19" s="1"/>
  <c r="J14" i="19"/>
  <c r="I14" i="19"/>
  <c r="H14" i="19"/>
  <c r="G14" i="19"/>
  <c r="R14" i="19" s="1"/>
  <c r="F14" i="19"/>
  <c r="E14" i="19"/>
  <c r="D14" i="19"/>
  <c r="C14" i="19"/>
  <c r="R13" i="19"/>
  <c r="Q13" i="19"/>
  <c r="U13" i="19" s="1"/>
  <c r="R12" i="19"/>
  <c r="Q12" i="19"/>
  <c r="U12" i="19" s="1"/>
  <c r="U11" i="19"/>
  <c r="R11" i="19"/>
  <c r="Q11" i="19"/>
  <c r="R10" i="19"/>
  <c r="Q10" i="19"/>
  <c r="U10" i="19" s="1"/>
  <c r="R9" i="19"/>
  <c r="Q9" i="19"/>
  <c r="U9" i="19" s="1"/>
  <c r="R8" i="19"/>
  <c r="Q8" i="19"/>
  <c r="U8" i="19" s="1"/>
  <c r="U7" i="19"/>
  <c r="R7" i="19"/>
  <c r="Q7" i="19"/>
  <c r="Q14" i="19" s="1"/>
  <c r="U14" i="19" s="1"/>
  <c r="P134" i="18"/>
  <c r="O134" i="18"/>
  <c r="N134" i="18"/>
  <c r="M134" i="18"/>
  <c r="M135" i="18" s="1"/>
  <c r="L134" i="18"/>
  <c r="K134" i="18"/>
  <c r="J134" i="18"/>
  <c r="J135" i="18" s="1"/>
  <c r="I134" i="18"/>
  <c r="H134" i="18"/>
  <c r="G134" i="18"/>
  <c r="G135" i="18" s="1"/>
  <c r="F134" i="18"/>
  <c r="E134" i="18"/>
  <c r="D134" i="18"/>
  <c r="C134" i="18"/>
  <c r="R133" i="18"/>
  <c r="Q133" i="18"/>
  <c r="U133" i="18" s="1"/>
  <c r="U132" i="18"/>
  <c r="R132" i="18"/>
  <c r="Q132" i="18"/>
  <c r="G128" i="18"/>
  <c r="P127" i="18"/>
  <c r="O127" i="18"/>
  <c r="N127" i="18"/>
  <c r="M127" i="18"/>
  <c r="L127" i="18"/>
  <c r="K127" i="18"/>
  <c r="J127" i="18"/>
  <c r="I127" i="18"/>
  <c r="H127" i="18"/>
  <c r="G127" i="18"/>
  <c r="F127" i="18"/>
  <c r="E127" i="18"/>
  <c r="R127" i="18" s="1"/>
  <c r="D127" i="18"/>
  <c r="C127" i="18"/>
  <c r="R126" i="18"/>
  <c r="Q126" i="18"/>
  <c r="U126" i="18" s="1"/>
  <c r="D126" i="18"/>
  <c r="C126" i="18"/>
  <c r="Q124" i="18"/>
  <c r="P124" i="18"/>
  <c r="O124" i="18"/>
  <c r="N124" i="18"/>
  <c r="M124" i="18"/>
  <c r="L124" i="18"/>
  <c r="K124" i="18"/>
  <c r="J124" i="18"/>
  <c r="I124" i="18"/>
  <c r="H124" i="18"/>
  <c r="H128" i="18" s="1"/>
  <c r="H135" i="18" s="1"/>
  <c r="G124" i="18"/>
  <c r="F124" i="18"/>
  <c r="E124" i="18"/>
  <c r="R124" i="18" s="1"/>
  <c r="D124" i="18"/>
  <c r="D128" i="18" s="1"/>
  <c r="C124" i="18"/>
  <c r="R123" i="18"/>
  <c r="Q123" i="18"/>
  <c r="U123" i="18" s="1"/>
  <c r="M121" i="18"/>
  <c r="M128" i="18" s="1"/>
  <c r="J121" i="18"/>
  <c r="J128" i="18" s="1"/>
  <c r="G121" i="18"/>
  <c r="U120" i="18"/>
  <c r="R120" i="18"/>
  <c r="Q120" i="18"/>
  <c r="R119" i="18"/>
  <c r="Q119" i="18"/>
  <c r="U119" i="18" s="1"/>
  <c r="R118" i="18"/>
  <c r="Q118" i="18"/>
  <c r="U118" i="18" s="1"/>
  <c r="R117" i="18"/>
  <c r="Q117" i="18"/>
  <c r="U117" i="18" s="1"/>
  <c r="U116" i="18"/>
  <c r="R116" i="18"/>
  <c r="Q116" i="18"/>
  <c r="R115" i="18"/>
  <c r="Q115" i="18"/>
  <c r="U115" i="18" s="1"/>
  <c r="R114" i="18"/>
  <c r="Q114" i="18"/>
  <c r="U114" i="18" s="1"/>
  <c r="R113" i="18"/>
  <c r="Q113" i="18"/>
  <c r="U113" i="18" s="1"/>
  <c r="U112" i="18"/>
  <c r="R112" i="18"/>
  <c r="Q112" i="18"/>
  <c r="R111" i="18"/>
  <c r="Q111" i="18"/>
  <c r="U111" i="18" s="1"/>
  <c r="R110" i="18"/>
  <c r="Q110" i="18"/>
  <c r="U110" i="18" s="1"/>
  <c r="R109" i="18"/>
  <c r="Q109" i="18"/>
  <c r="U109" i="18" s="1"/>
  <c r="U108" i="18"/>
  <c r="R108" i="18"/>
  <c r="Q108" i="18"/>
  <c r="R107" i="18"/>
  <c r="Q107" i="18"/>
  <c r="U107" i="18" s="1"/>
  <c r="R106" i="18"/>
  <c r="Q106" i="18"/>
  <c r="U106" i="18" s="1"/>
  <c r="R105" i="18"/>
  <c r="Q105" i="18"/>
  <c r="U105" i="18" s="1"/>
  <c r="P104" i="18"/>
  <c r="P121" i="18" s="1"/>
  <c r="O104" i="18"/>
  <c r="O121" i="18" s="1"/>
  <c r="N104" i="18"/>
  <c r="N121" i="18" s="1"/>
  <c r="M104" i="18"/>
  <c r="L104" i="18"/>
  <c r="L121" i="18" s="1"/>
  <c r="K104" i="18"/>
  <c r="K121" i="18" s="1"/>
  <c r="J104" i="18"/>
  <c r="I104" i="18"/>
  <c r="I121" i="18" s="1"/>
  <c r="I128" i="18" s="1"/>
  <c r="H104" i="18"/>
  <c r="H121" i="18" s="1"/>
  <c r="G104" i="18"/>
  <c r="F104" i="18"/>
  <c r="F121" i="18" s="1"/>
  <c r="E104" i="18"/>
  <c r="E121" i="18" s="1"/>
  <c r="D104" i="18"/>
  <c r="R103" i="18"/>
  <c r="Q103" i="18"/>
  <c r="D103" i="18"/>
  <c r="C103" i="18"/>
  <c r="U103" i="18" s="1"/>
  <c r="U102" i="18"/>
  <c r="R102" i="18"/>
  <c r="Q102" i="18"/>
  <c r="U101" i="18"/>
  <c r="R101" i="18"/>
  <c r="Q101" i="18"/>
  <c r="D101" i="18"/>
  <c r="D121" i="18" s="1"/>
  <c r="C101" i="18"/>
  <c r="C121" i="18" s="1"/>
  <c r="U100" i="18"/>
  <c r="R100" i="18"/>
  <c r="Q100" i="18"/>
  <c r="U99" i="18"/>
  <c r="R99" i="18"/>
  <c r="Q99" i="18"/>
  <c r="U98" i="18"/>
  <c r="R98" i="18"/>
  <c r="Q98" i="18"/>
  <c r="U97" i="18"/>
  <c r="R97" i="18"/>
  <c r="Q97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R95" i="18" s="1"/>
  <c r="D95" i="18"/>
  <c r="C95" i="18"/>
  <c r="R94" i="18"/>
  <c r="Q94" i="18"/>
  <c r="U94" i="18" s="1"/>
  <c r="U93" i="18"/>
  <c r="R93" i="18"/>
  <c r="Q93" i="18"/>
  <c r="U92" i="18"/>
  <c r="R92" i="18"/>
  <c r="Q92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R90" i="18" s="1"/>
  <c r="D90" i="18"/>
  <c r="C90" i="18"/>
  <c r="U89" i="18"/>
  <c r="R89" i="18"/>
  <c r="Q89" i="18"/>
  <c r="U88" i="18"/>
  <c r="R88" i="18"/>
  <c r="Q88" i="18"/>
  <c r="U87" i="18"/>
  <c r="R87" i="18"/>
  <c r="Q87" i="18"/>
  <c r="U86" i="18"/>
  <c r="R86" i="18"/>
  <c r="Q86" i="18"/>
  <c r="U85" i="18"/>
  <c r="R85" i="18"/>
  <c r="Q85" i="18"/>
  <c r="U84" i="18"/>
  <c r="R84" i="18"/>
  <c r="Q84" i="18"/>
  <c r="Q90" i="18" s="1"/>
  <c r="R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U81" i="18"/>
  <c r="R81" i="18"/>
  <c r="Q81" i="18"/>
  <c r="U80" i="18"/>
  <c r="R80" i="18"/>
  <c r="Q80" i="18"/>
  <c r="R79" i="18"/>
  <c r="Q79" i="18"/>
  <c r="U79" i="18" s="1"/>
  <c r="U78" i="18"/>
  <c r="R78" i="18"/>
  <c r="Q78" i="18"/>
  <c r="Q82" i="18" s="1"/>
  <c r="D78" i="18"/>
  <c r="D82" i="18" s="1"/>
  <c r="C78" i="18"/>
  <c r="C82" i="18" s="1"/>
  <c r="P76" i="18"/>
  <c r="O76" i="18"/>
  <c r="N76" i="18"/>
  <c r="M76" i="18"/>
  <c r="L76" i="18"/>
  <c r="K76" i="18"/>
  <c r="H76" i="18"/>
  <c r="G76" i="18"/>
  <c r="F76" i="18"/>
  <c r="R76" i="18" s="1"/>
  <c r="E76" i="18"/>
  <c r="D76" i="18"/>
  <c r="C76" i="18"/>
  <c r="U75" i="18"/>
  <c r="R75" i="18"/>
  <c r="Q75" i="18"/>
  <c r="Q76" i="18" s="1"/>
  <c r="P73" i="18"/>
  <c r="O73" i="18"/>
  <c r="N73" i="18"/>
  <c r="M73" i="18"/>
  <c r="L73" i="18"/>
  <c r="K73" i="18"/>
  <c r="J73" i="18"/>
  <c r="I73" i="18"/>
  <c r="H73" i="18"/>
  <c r="G73" i="18"/>
  <c r="F73" i="18"/>
  <c r="E73" i="18"/>
  <c r="R73" i="18" s="1"/>
  <c r="D73" i="18"/>
  <c r="C73" i="18"/>
  <c r="R72" i="18"/>
  <c r="Q72" i="18"/>
  <c r="U72" i="18" s="1"/>
  <c r="U71" i="18"/>
  <c r="R71" i="18"/>
  <c r="Q71" i="18"/>
  <c r="U70" i="18"/>
  <c r="R70" i="18"/>
  <c r="Q70" i="18"/>
  <c r="U69" i="18"/>
  <c r="R69" i="18"/>
  <c r="Q69" i="18"/>
  <c r="R68" i="18"/>
  <c r="Q68" i="18"/>
  <c r="U68" i="18" s="1"/>
  <c r="U67" i="18"/>
  <c r="R67" i="18"/>
  <c r="Q67" i="18"/>
  <c r="U66" i="18"/>
  <c r="R66" i="18"/>
  <c r="Q66" i="18"/>
  <c r="U65" i="18"/>
  <c r="R65" i="18"/>
  <c r="Q65" i="18"/>
  <c r="R64" i="18"/>
  <c r="Q64" i="18"/>
  <c r="U64" i="18" s="1"/>
  <c r="P62" i="18"/>
  <c r="O62" i="18"/>
  <c r="N62" i="18"/>
  <c r="M62" i="18"/>
  <c r="L62" i="18"/>
  <c r="K62" i="18"/>
  <c r="J62" i="18"/>
  <c r="I62" i="18"/>
  <c r="H62" i="18"/>
  <c r="G62" i="18"/>
  <c r="F62" i="18"/>
  <c r="R62" i="18" s="1"/>
  <c r="E62" i="18"/>
  <c r="D62" i="18"/>
  <c r="C62" i="18"/>
  <c r="U61" i="18"/>
  <c r="R61" i="18"/>
  <c r="Q61" i="18"/>
  <c r="U60" i="18"/>
  <c r="R60" i="18"/>
  <c r="Q60" i="18"/>
  <c r="U59" i="18"/>
  <c r="R59" i="18"/>
  <c r="Q59" i="18"/>
  <c r="U58" i="18"/>
  <c r="R58" i="18"/>
  <c r="Q58" i="18"/>
  <c r="U57" i="18"/>
  <c r="R57" i="18"/>
  <c r="Q57" i="18"/>
  <c r="U56" i="18"/>
  <c r="R56" i="18"/>
  <c r="Q56" i="18"/>
  <c r="U55" i="18"/>
  <c r="R55" i="18"/>
  <c r="Q55" i="18"/>
  <c r="U54" i="18"/>
  <c r="R54" i="18"/>
  <c r="Q54" i="18"/>
  <c r="U53" i="18"/>
  <c r="R53" i="18"/>
  <c r="Q53" i="18"/>
  <c r="U52" i="18"/>
  <c r="R52" i="18"/>
  <c r="Q52" i="18"/>
  <c r="U51" i="18"/>
  <c r="R51" i="18"/>
  <c r="Q51" i="18"/>
  <c r="U50" i="18"/>
  <c r="R50" i="18"/>
  <c r="Q50" i="18"/>
  <c r="R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U47" i="18"/>
  <c r="R47" i="18"/>
  <c r="Q47" i="18"/>
  <c r="U46" i="18"/>
  <c r="R46" i="18"/>
  <c r="Q46" i="18"/>
  <c r="R45" i="18"/>
  <c r="Q45" i="18"/>
  <c r="U45" i="18" s="1"/>
  <c r="U44" i="18"/>
  <c r="R44" i="18"/>
  <c r="Q44" i="18"/>
  <c r="U43" i="18"/>
  <c r="R43" i="18"/>
  <c r="Q43" i="18"/>
  <c r="U42" i="18"/>
  <c r="R42" i="18"/>
  <c r="Q42" i="18"/>
  <c r="R41" i="18"/>
  <c r="Q41" i="18"/>
  <c r="U41" i="18" s="1"/>
  <c r="U40" i="18"/>
  <c r="R40" i="18"/>
  <c r="Q40" i="18"/>
  <c r="U39" i="18"/>
  <c r="R39" i="18"/>
  <c r="Q39" i="18"/>
  <c r="U38" i="18"/>
  <c r="R38" i="18"/>
  <c r="Q38" i="18"/>
  <c r="R37" i="18"/>
  <c r="Q37" i="18"/>
  <c r="Q48" i="18" s="1"/>
  <c r="O32" i="18"/>
  <c r="C32" i="18"/>
  <c r="C33" i="18" s="1"/>
  <c r="C34" i="18" s="1"/>
  <c r="P31" i="18"/>
  <c r="P32" i="18" s="1"/>
  <c r="O31" i="18"/>
  <c r="N31" i="18"/>
  <c r="N32" i="18" s="1"/>
  <c r="H31" i="18"/>
  <c r="H32" i="18" s="1"/>
  <c r="F31" i="18"/>
  <c r="F32" i="18" s="1"/>
  <c r="F33" i="18" s="1"/>
  <c r="F34" i="18" s="1"/>
  <c r="D31" i="18"/>
  <c r="D32" i="18" s="1"/>
  <c r="H29" i="18"/>
  <c r="H33" i="18" s="1"/>
  <c r="H34" i="18" s="1"/>
  <c r="F29" i="18"/>
  <c r="D29" i="18"/>
  <c r="C29" i="18"/>
  <c r="D28" i="18"/>
  <c r="P27" i="18"/>
  <c r="O27" i="18"/>
  <c r="N27" i="18"/>
  <c r="M27" i="18"/>
  <c r="L27" i="18"/>
  <c r="K27" i="18"/>
  <c r="R27" i="18" s="1"/>
  <c r="D27" i="18"/>
  <c r="P26" i="18"/>
  <c r="O26" i="18"/>
  <c r="N26" i="18"/>
  <c r="M26" i="18"/>
  <c r="M31" i="18" s="1"/>
  <c r="M32" i="18" s="1"/>
  <c r="L26" i="18"/>
  <c r="L31" i="18" s="1"/>
  <c r="L32" i="18" s="1"/>
  <c r="K26" i="18"/>
  <c r="K31" i="18" s="1"/>
  <c r="K32" i="18" s="1"/>
  <c r="J26" i="18"/>
  <c r="J31" i="18" s="1"/>
  <c r="J32" i="18" s="1"/>
  <c r="I26" i="18"/>
  <c r="I31" i="18" s="1"/>
  <c r="I32" i="18" s="1"/>
  <c r="H26" i="18"/>
  <c r="G26" i="18"/>
  <c r="G31" i="18" s="1"/>
  <c r="G32" i="18" s="1"/>
  <c r="F26" i="18"/>
  <c r="E26" i="18"/>
  <c r="R26" i="18" s="1"/>
  <c r="D26" i="18"/>
  <c r="U25" i="18"/>
  <c r="R25" i="18"/>
  <c r="Q25" i="18"/>
  <c r="D25" i="18"/>
  <c r="P24" i="18"/>
  <c r="O24" i="18"/>
  <c r="N24" i="18"/>
  <c r="N29" i="18" s="1"/>
  <c r="N33" i="18" s="1"/>
  <c r="N34" i="18" s="1"/>
  <c r="M24" i="18"/>
  <c r="M29" i="18" s="1"/>
  <c r="M33" i="18" s="1"/>
  <c r="M34" i="18" s="1"/>
  <c r="L24" i="18"/>
  <c r="K24" i="18"/>
  <c r="D24" i="18"/>
  <c r="U21" i="18"/>
  <c r="R21" i="18"/>
  <c r="Q21" i="18"/>
  <c r="U20" i="18"/>
  <c r="R20" i="18"/>
  <c r="Q20" i="18"/>
  <c r="R19" i="18"/>
  <c r="Q19" i="18"/>
  <c r="U19" i="18" s="1"/>
  <c r="U18" i="18"/>
  <c r="R18" i="18"/>
  <c r="Q18" i="18"/>
  <c r="R17" i="18"/>
  <c r="Q17" i="18"/>
  <c r="U17" i="18" s="1"/>
  <c r="U16" i="18"/>
  <c r="R16" i="18"/>
  <c r="Q16" i="18"/>
  <c r="P14" i="18"/>
  <c r="P28" i="18" s="1"/>
  <c r="P29" i="18" s="1"/>
  <c r="O14" i="18"/>
  <c r="O28" i="18" s="1"/>
  <c r="N14" i="18"/>
  <c r="N28" i="18" s="1"/>
  <c r="M14" i="18"/>
  <c r="M28" i="18" s="1"/>
  <c r="L14" i="18"/>
  <c r="L28" i="18" s="1"/>
  <c r="K14" i="18"/>
  <c r="K28" i="18" s="1"/>
  <c r="J14" i="18"/>
  <c r="I14" i="18"/>
  <c r="H14" i="18"/>
  <c r="G14" i="18"/>
  <c r="F14" i="18"/>
  <c r="E14" i="18"/>
  <c r="R14" i="18" s="1"/>
  <c r="D14" i="18"/>
  <c r="C14" i="18"/>
  <c r="R13" i="18"/>
  <c r="Q13" i="18"/>
  <c r="U13" i="18" s="1"/>
  <c r="R12" i="18"/>
  <c r="Q12" i="18"/>
  <c r="U12" i="18" s="1"/>
  <c r="R11" i="18"/>
  <c r="Q11" i="18"/>
  <c r="U11" i="18" s="1"/>
  <c r="R10" i="18"/>
  <c r="Q10" i="18"/>
  <c r="U10" i="18" s="1"/>
  <c r="U9" i="18"/>
  <c r="R9" i="18"/>
  <c r="Q9" i="18"/>
  <c r="U8" i="18"/>
  <c r="R8" i="18"/>
  <c r="Q8" i="18"/>
  <c r="Q14" i="18" s="1"/>
  <c r="U14" i="18" s="1"/>
  <c r="R7" i="18"/>
  <c r="Q7" i="18"/>
  <c r="U7" i="18" s="1"/>
  <c r="P134" i="17"/>
  <c r="O134" i="17"/>
  <c r="N134" i="17"/>
  <c r="M134" i="17"/>
  <c r="L134" i="17"/>
  <c r="K134" i="17"/>
  <c r="J134" i="17"/>
  <c r="I134" i="17"/>
  <c r="H134" i="17"/>
  <c r="G134" i="17"/>
  <c r="G135" i="17" s="1"/>
  <c r="F134" i="17"/>
  <c r="E134" i="17"/>
  <c r="D134" i="17"/>
  <c r="C134" i="17"/>
  <c r="R133" i="17"/>
  <c r="Q133" i="17"/>
  <c r="U133" i="17" s="1"/>
  <c r="R132" i="17"/>
  <c r="Q132" i="17"/>
  <c r="Q134" i="17" s="1"/>
  <c r="P127" i="17"/>
  <c r="O127" i="17"/>
  <c r="N127" i="17"/>
  <c r="M127" i="17"/>
  <c r="L127" i="17"/>
  <c r="K127" i="17"/>
  <c r="J127" i="17"/>
  <c r="I127" i="17"/>
  <c r="R127" i="17" s="1"/>
  <c r="H127" i="17"/>
  <c r="G127" i="17"/>
  <c r="F127" i="17"/>
  <c r="E127" i="17"/>
  <c r="R126" i="17"/>
  <c r="Q126" i="17"/>
  <c r="Q127" i="17" s="1"/>
  <c r="C126" i="17"/>
  <c r="C127" i="17" s="1"/>
  <c r="R124" i="17"/>
  <c r="Q124" i="17"/>
  <c r="P124" i="17"/>
  <c r="O124" i="17"/>
  <c r="N124" i="17"/>
  <c r="M124" i="17"/>
  <c r="L124" i="17"/>
  <c r="K124" i="17"/>
  <c r="K128" i="17" s="1"/>
  <c r="J124" i="17"/>
  <c r="J128" i="17" s="1"/>
  <c r="I124" i="17"/>
  <c r="H124" i="17"/>
  <c r="G124" i="17"/>
  <c r="F124" i="17"/>
  <c r="F128" i="17" s="1"/>
  <c r="E124" i="17"/>
  <c r="E128" i="17" s="1"/>
  <c r="D124" i="17"/>
  <c r="C124" i="17"/>
  <c r="U123" i="17"/>
  <c r="R123" i="17"/>
  <c r="Q123" i="17"/>
  <c r="H121" i="17"/>
  <c r="H128" i="17" s="1"/>
  <c r="H135" i="17" s="1"/>
  <c r="G121" i="17"/>
  <c r="G128" i="17" s="1"/>
  <c r="R120" i="17"/>
  <c r="Q120" i="17"/>
  <c r="U120" i="17" s="1"/>
  <c r="R119" i="17"/>
  <c r="Q119" i="17"/>
  <c r="U119" i="17" s="1"/>
  <c r="R118" i="17"/>
  <c r="Q118" i="17"/>
  <c r="U118" i="17" s="1"/>
  <c r="R117" i="17"/>
  <c r="Q117" i="17"/>
  <c r="U117" i="17" s="1"/>
  <c r="R116" i="17"/>
  <c r="Q116" i="17"/>
  <c r="U116" i="17" s="1"/>
  <c r="R115" i="17"/>
  <c r="Q115" i="17"/>
  <c r="U115" i="17" s="1"/>
  <c r="R114" i="17"/>
  <c r="Q114" i="17"/>
  <c r="U114" i="17" s="1"/>
  <c r="R113" i="17"/>
  <c r="Q113" i="17"/>
  <c r="U113" i="17" s="1"/>
  <c r="R112" i="17"/>
  <c r="Q112" i="17"/>
  <c r="U112" i="17" s="1"/>
  <c r="R111" i="17"/>
  <c r="Q111" i="17"/>
  <c r="U111" i="17" s="1"/>
  <c r="R110" i="17"/>
  <c r="Q110" i="17"/>
  <c r="U110" i="17" s="1"/>
  <c r="R109" i="17"/>
  <c r="Q109" i="17"/>
  <c r="U109" i="17" s="1"/>
  <c r="R108" i="17"/>
  <c r="Q108" i="17"/>
  <c r="U108" i="17" s="1"/>
  <c r="R107" i="17"/>
  <c r="Q107" i="17"/>
  <c r="U107" i="17" s="1"/>
  <c r="R106" i="17"/>
  <c r="Q106" i="17"/>
  <c r="U106" i="17" s="1"/>
  <c r="R105" i="17"/>
  <c r="Q105" i="17"/>
  <c r="U105" i="17" s="1"/>
  <c r="P104" i="17"/>
  <c r="P121" i="17" s="1"/>
  <c r="O104" i="17"/>
  <c r="O121" i="17" s="1"/>
  <c r="N104" i="17"/>
  <c r="N121" i="17" s="1"/>
  <c r="M104" i="17"/>
  <c r="M121" i="17" s="1"/>
  <c r="L104" i="17"/>
  <c r="L121" i="17" s="1"/>
  <c r="K104" i="17"/>
  <c r="K121" i="17" s="1"/>
  <c r="J104" i="17"/>
  <c r="J121" i="17" s="1"/>
  <c r="I104" i="17"/>
  <c r="I121" i="17" s="1"/>
  <c r="H104" i="17"/>
  <c r="G104" i="17"/>
  <c r="F104" i="17"/>
  <c r="F121" i="17" s="1"/>
  <c r="E104" i="17"/>
  <c r="E121" i="17" s="1"/>
  <c r="D104" i="17"/>
  <c r="R103" i="17"/>
  <c r="Q103" i="17"/>
  <c r="U103" i="17" s="1"/>
  <c r="R102" i="17"/>
  <c r="Q102" i="17"/>
  <c r="U102" i="17" s="1"/>
  <c r="R101" i="17"/>
  <c r="Q101" i="17"/>
  <c r="U101" i="17" s="1"/>
  <c r="C101" i="17"/>
  <c r="D101" i="17" s="1"/>
  <c r="D121" i="17" s="1"/>
  <c r="U100" i="17"/>
  <c r="R100" i="17"/>
  <c r="Q100" i="17"/>
  <c r="R99" i="17"/>
  <c r="Q99" i="17"/>
  <c r="U99" i="17" s="1"/>
  <c r="R98" i="17"/>
  <c r="Q98" i="17"/>
  <c r="U98" i="17" s="1"/>
  <c r="U97" i="17"/>
  <c r="R97" i="17"/>
  <c r="Q97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R95" i="17" s="1"/>
  <c r="D95" i="17"/>
  <c r="C95" i="17"/>
  <c r="R94" i="17"/>
  <c r="Q94" i="17"/>
  <c r="U94" i="17" s="1"/>
  <c r="R93" i="17"/>
  <c r="Q93" i="17"/>
  <c r="U93" i="17" s="1"/>
  <c r="R92" i="17"/>
  <c r="Q92" i="17"/>
  <c r="Q95" i="17" s="1"/>
  <c r="P90" i="17"/>
  <c r="O90" i="17"/>
  <c r="N90" i="17"/>
  <c r="M90" i="17"/>
  <c r="L90" i="17"/>
  <c r="K90" i="17"/>
  <c r="J90" i="17"/>
  <c r="I90" i="17"/>
  <c r="H90" i="17"/>
  <c r="G90" i="17"/>
  <c r="F90" i="17"/>
  <c r="R90" i="17" s="1"/>
  <c r="E90" i="17"/>
  <c r="U89" i="17"/>
  <c r="R89" i="17"/>
  <c r="Q89" i="17"/>
  <c r="R88" i="17"/>
  <c r="Q88" i="17"/>
  <c r="U88" i="17" s="1"/>
  <c r="R87" i="17"/>
  <c r="Q87" i="17"/>
  <c r="U87" i="17" s="1"/>
  <c r="U86" i="17"/>
  <c r="R86" i="17"/>
  <c r="Q86" i="17"/>
  <c r="U85" i="17"/>
  <c r="R85" i="17"/>
  <c r="Q85" i="17"/>
  <c r="R84" i="17"/>
  <c r="Q84" i="17"/>
  <c r="Q90" i="17" s="1"/>
  <c r="C84" i="17"/>
  <c r="C90" i="17" s="1"/>
  <c r="R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C82" i="17"/>
  <c r="U81" i="17"/>
  <c r="R81" i="17"/>
  <c r="Q81" i="17"/>
  <c r="U80" i="17"/>
  <c r="R80" i="17"/>
  <c r="Q80" i="17"/>
  <c r="R79" i="17"/>
  <c r="Q79" i="17"/>
  <c r="U79" i="17" s="1"/>
  <c r="R78" i="17"/>
  <c r="Q78" i="17"/>
  <c r="Q82" i="17" s="1"/>
  <c r="P76" i="17"/>
  <c r="O76" i="17"/>
  <c r="N76" i="17"/>
  <c r="M76" i="17"/>
  <c r="L76" i="17"/>
  <c r="K76" i="17"/>
  <c r="H76" i="17"/>
  <c r="G76" i="17"/>
  <c r="F76" i="17"/>
  <c r="E76" i="17"/>
  <c r="R76" i="17" s="1"/>
  <c r="D76" i="17"/>
  <c r="C76" i="17"/>
  <c r="U75" i="17"/>
  <c r="R75" i="17"/>
  <c r="Q75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R73" i="17" s="1"/>
  <c r="D73" i="17"/>
  <c r="C73" i="17"/>
  <c r="R72" i="17"/>
  <c r="Q72" i="17"/>
  <c r="U72" i="17" s="1"/>
  <c r="R71" i="17"/>
  <c r="Q71" i="17"/>
  <c r="U71" i="17" s="1"/>
  <c r="R70" i="17"/>
  <c r="Q70" i="17"/>
  <c r="U70" i="17" s="1"/>
  <c r="R69" i="17"/>
  <c r="Q69" i="17"/>
  <c r="U69" i="17" s="1"/>
  <c r="R68" i="17"/>
  <c r="Q68" i="17"/>
  <c r="U68" i="17" s="1"/>
  <c r="R67" i="17"/>
  <c r="Q67" i="17"/>
  <c r="U67" i="17" s="1"/>
  <c r="R66" i="17"/>
  <c r="Q66" i="17"/>
  <c r="U66" i="17" s="1"/>
  <c r="R65" i="17"/>
  <c r="Q65" i="17"/>
  <c r="U65" i="17" s="1"/>
  <c r="R64" i="17"/>
  <c r="Q64" i="17"/>
  <c r="U64" i="17" s="1"/>
  <c r="P62" i="17"/>
  <c r="O62" i="17"/>
  <c r="N62" i="17"/>
  <c r="M62" i="17"/>
  <c r="L62" i="17"/>
  <c r="K62" i="17"/>
  <c r="J62" i="17"/>
  <c r="I62" i="17"/>
  <c r="H62" i="17"/>
  <c r="G62" i="17"/>
  <c r="F62" i="17"/>
  <c r="E62" i="17"/>
  <c r="R62" i="17" s="1"/>
  <c r="D62" i="17"/>
  <c r="C62" i="17"/>
  <c r="R61" i="17"/>
  <c r="Q61" i="17"/>
  <c r="U61" i="17" s="1"/>
  <c r="U60" i="17"/>
  <c r="R60" i="17"/>
  <c r="Q60" i="17"/>
  <c r="R59" i="17"/>
  <c r="Q59" i="17"/>
  <c r="U59" i="17" s="1"/>
  <c r="R58" i="17"/>
  <c r="Q58" i="17"/>
  <c r="U58" i="17" s="1"/>
  <c r="R57" i="17"/>
  <c r="Q57" i="17"/>
  <c r="U57" i="17" s="1"/>
  <c r="U56" i="17"/>
  <c r="R56" i="17"/>
  <c r="Q56" i="17"/>
  <c r="R55" i="17"/>
  <c r="Q55" i="17"/>
  <c r="U55" i="17" s="1"/>
  <c r="R54" i="17"/>
  <c r="Q54" i="17"/>
  <c r="U54" i="17" s="1"/>
  <c r="R53" i="17"/>
  <c r="Q53" i="17"/>
  <c r="U53" i="17" s="1"/>
  <c r="U52" i="17"/>
  <c r="R52" i="17"/>
  <c r="Q52" i="17"/>
  <c r="R51" i="17"/>
  <c r="Q51" i="17"/>
  <c r="U51" i="17" s="1"/>
  <c r="R50" i="17"/>
  <c r="Q50" i="17"/>
  <c r="U50" i="17" s="1"/>
  <c r="Q48" i="17"/>
  <c r="U48" i="17" s="1"/>
  <c r="P48" i="17"/>
  <c r="O48" i="17"/>
  <c r="N48" i="17"/>
  <c r="M48" i="17"/>
  <c r="L48" i="17"/>
  <c r="K48" i="17"/>
  <c r="J48" i="17"/>
  <c r="I48" i="17"/>
  <c r="H48" i="17"/>
  <c r="G48" i="17"/>
  <c r="F48" i="17"/>
  <c r="E48" i="17"/>
  <c r="R48" i="17" s="1"/>
  <c r="D48" i="17"/>
  <c r="C48" i="17"/>
  <c r="R47" i="17"/>
  <c r="Q47" i="17"/>
  <c r="U47" i="17" s="1"/>
  <c r="R46" i="17"/>
  <c r="Q46" i="17"/>
  <c r="U46" i="17" s="1"/>
  <c r="R45" i="17"/>
  <c r="Q45" i="17"/>
  <c r="U45" i="17" s="1"/>
  <c r="R44" i="17"/>
  <c r="Q44" i="17"/>
  <c r="U44" i="17" s="1"/>
  <c r="R43" i="17"/>
  <c r="Q43" i="17"/>
  <c r="U43" i="17" s="1"/>
  <c r="R42" i="17"/>
  <c r="Q42" i="17"/>
  <c r="U42" i="17" s="1"/>
  <c r="R41" i="17"/>
  <c r="Q41" i="17"/>
  <c r="U41" i="17" s="1"/>
  <c r="R40" i="17"/>
  <c r="Q40" i="17"/>
  <c r="U40" i="17" s="1"/>
  <c r="R39" i="17"/>
  <c r="Q39" i="17"/>
  <c r="U39" i="17" s="1"/>
  <c r="R38" i="17"/>
  <c r="Q38" i="17"/>
  <c r="U38" i="17" s="1"/>
  <c r="R37" i="17"/>
  <c r="Q37" i="17"/>
  <c r="U37" i="17" s="1"/>
  <c r="C32" i="17"/>
  <c r="P31" i="17"/>
  <c r="P32" i="17" s="1"/>
  <c r="D31" i="17"/>
  <c r="D32" i="17" s="1"/>
  <c r="D29" i="17"/>
  <c r="D33" i="17" s="1"/>
  <c r="D34" i="17" s="1"/>
  <c r="C29" i="17"/>
  <c r="C33" i="17" s="1"/>
  <c r="C34" i="17" s="1"/>
  <c r="D28" i="17"/>
  <c r="P27" i="17"/>
  <c r="O27" i="17"/>
  <c r="N27" i="17"/>
  <c r="M27" i="17"/>
  <c r="L27" i="17"/>
  <c r="K27" i="17"/>
  <c r="R27" i="17" s="1"/>
  <c r="D27" i="17"/>
  <c r="P26" i="17"/>
  <c r="O26" i="17"/>
  <c r="O31" i="17" s="1"/>
  <c r="O32" i="17" s="1"/>
  <c r="N26" i="17"/>
  <c r="N31" i="17" s="1"/>
  <c r="N32" i="17" s="1"/>
  <c r="M26" i="17"/>
  <c r="M31" i="17" s="1"/>
  <c r="M32" i="17" s="1"/>
  <c r="L26" i="17"/>
  <c r="L31" i="17" s="1"/>
  <c r="L32" i="17" s="1"/>
  <c r="K26" i="17"/>
  <c r="K31" i="17" s="1"/>
  <c r="K32" i="17" s="1"/>
  <c r="J26" i="17"/>
  <c r="J31" i="17" s="1"/>
  <c r="J32" i="17" s="1"/>
  <c r="I26" i="17"/>
  <c r="I31" i="17" s="1"/>
  <c r="I32" i="17" s="1"/>
  <c r="H26" i="17"/>
  <c r="H31" i="17" s="1"/>
  <c r="H32" i="17" s="1"/>
  <c r="G26" i="17"/>
  <c r="G31" i="17" s="1"/>
  <c r="G32" i="17" s="1"/>
  <c r="F26" i="17"/>
  <c r="F31" i="17" s="1"/>
  <c r="F32" i="17" s="1"/>
  <c r="E26" i="17"/>
  <c r="R26" i="17" s="1"/>
  <c r="D26" i="17"/>
  <c r="R25" i="17"/>
  <c r="Q25" i="17"/>
  <c r="U25" i="17" s="1"/>
  <c r="D25" i="17"/>
  <c r="P24" i="17"/>
  <c r="O24" i="17"/>
  <c r="O29" i="17" s="1"/>
  <c r="N24" i="17"/>
  <c r="N29" i="17" s="1"/>
  <c r="N33" i="17" s="1"/>
  <c r="N34" i="17" s="1"/>
  <c r="M24" i="17"/>
  <c r="M29" i="17" s="1"/>
  <c r="M33" i="17" s="1"/>
  <c r="M34" i="17" s="1"/>
  <c r="L24" i="17"/>
  <c r="L29" i="17" s="1"/>
  <c r="L33" i="17" s="1"/>
  <c r="L34" i="17" s="1"/>
  <c r="K24" i="17"/>
  <c r="K29" i="17" s="1"/>
  <c r="K33" i="17" s="1"/>
  <c r="K34" i="17" s="1"/>
  <c r="D24" i="17"/>
  <c r="U21" i="17"/>
  <c r="R21" i="17"/>
  <c r="Q21" i="17"/>
  <c r="R20" i="17"/>
  <c r="Q20" i="17"/>
  <c r="U20" i="17" s="1"/>
  <c r="R19" i="17"/>
  <c r="Q19" i="17"/>
  <c r="U19" i="17" s="1"/>
  <c r="R18" i="17"/>
  <c r="Q18" i="17"/>
  <c r="U18" i="17" s="1"/>
  <c r="U17" i="17"/>
  <c r="R17" i="17"/>
  <c r="Q17" i="17"/>
  <c r="R16" i="17"/>
  <c r="Q16" i="17"/>
  <c r="U16" i="17" s="1"/>
  <c r="P14" i="17"/>
  <c r="P28" i="17" s="1"/>
  <c r="P29" i="17" s="1"/>
  <c r="O14" i="17"/>
  <c r="O28" i="17" s="1"/>
  <c r="N14" i="17"/>
  <c r="N28" i="17" s="1"/>
  <c r="M14" i="17"/>
  <c r="M28" i="17" s="1"/>
  <c r="L14" i="17"/>
  <c r="L28" i="17" s="1"/>
  <c r="K14" i="17"/>
  <c r="K28" i="17" s="1"/>
  <c r="J14" i="17"/>
  <c r="I14" i="17"/>
  <c r="H14" i="17"/>
  <c r="G14" i="17"/>
  <c r="F14" i="17"/>
  <c r="E14" i="17"/>
  <c r="R14" i="17" s="1"/>
  <c r="D14" i="17"/>
  <c r="C14" i="17"/>
  <c r="U13" i="17"/>
  <c r="R13" i="17"/>
  <c r="Q13" i="17"/>
  <c r="U12" i="17"/>
  <c r="R12" i="17"/>
  <c r="Q12" i="17"/>
  <c r="U11" i="17"/>
  <c r="R11" i="17"/>
  <c r="Q11" i="17"/>
  <c r="R10" i="17"/>
  <c r="Q10" i="17"/>
  <c r="U10" i="17" s="1"/>
  <c r="R9" i="17"/>
  <c r="Q9" i="17"/>
  <c r="U9" i="17" s="1"/>
  <c r="U8" i="17"/>
  <c r="R8" i="17"/>
  <c r="Q8" i="17"/>
  <c r="U7" i="17"/>
  <c r="R7" i="17"/>
  <c r="Q7" i="17"/>
  <c r="Q14" i="17" s="1"/>
  <c r="U14" i="17" s="1"/>
  <c r="P134" i="16"/>
  <c r="O134" i="16"/>
  <c r="N134" i="16"/>
  <c r="M134" i="16"/>
  <c r="L134" i="16"/>
  <c r="K134" i="16"/>
  <c r="J134" i="16"/>
  <c r="I134" i="16"/>
  <c r="H134" i="16"/>
  <c r="G134" i="16"/>
  <c r="G135" i="16" s="1"/>
  <c r="F134" i="16"/>
  <c r="E134" i="16"/>
  <c r="D134" i="16"/>
  <c r="C134" i="16"/>
  <c r="R133" i="16"/>
  <c r="Q133" i="16"/>
  <c r="U133" i="16" s="1"/>
  <c r="R132" i="16"/>
  <c r="Q132" i="16"/>
  <c r="Q134" i="16" s="1"/>
  <c r="P127" i="16"/>
  <c r="O127" i="16"/>
  <c r="N127" i="16"/>
  <c r="M127" i="16"/>
  <c r="L127" i="16"/>
  <c r="K127" i="16"/>
  <c r="J127" i="16"/>
  <c r="I127" i="16"/>
  <c r="H127" i="16"/>
  <c r="G127" i="16"/>
  <c r="F127" i="16"/>
  <c r="E127" i="16"/>
  <c r="R127" i="16" s="1"/>
  <c r="R126" i="16"/>
  <c r="Q126" i="16"/>
  <c r="U126" i="16" s="1"/>
  <c r="C126" i="16"/>
  <c r="C127" i="16" s="1"/>
  <c r="R124" i="16"/>
  <c r="Q124" i="16"/>
  <c r="P124" i="16"/>
  <c r="O124" i="16"/>
  <c r="N124" i="16"/>
  <c r="M124" i="16"/>
  <c r="L124" i="16"/>
  <c r="K124" i="16"/>
  <c r="J124" i="16"/>
  <c r="I124" i="16"/>
  <c r="H124" i="16"/>
  <c r="G124" i="16"/>
  <c r="F124" i="16"/>
  <c r="F128" i="16" s="1"/>
  <c r="E124" i="16"/>
  <c r="E128" i="16" s="1"/>
  <c r="D124" i="16"/>
  <c r="C124" i="16"/>
  <c r="U123" i="16"/>
  <c r="R123" i="16"/>
  <c r="Q123" i="16"/>
  <c r="H121" i="16"/>
  <c r="H128" i="16" s="1"/>
  <c r="H135" i="16" s="1"/>
  <c r="G121" i="16"/>
  <c r="G128" i="16" s="1"/>
  <c r="R120" i="16"/>
  <c r="Q120" i="16"/>
  <c r="U120" i="16" s="1"/>
  <c r="R119" i="16"/>
  <c r="Q119" i="16"/>
  <c r="U119" i="16" s="1"/>
  <c r="R118" i="16"/>
  <c r="Q118" i="16"/>
  <c r="U118" i="16" s="1"/>
  <c r="R117" i="16"/>
  <c r="Q117" i="16"/>
  <c r="U117" i="16" s="1"/>
  <c r="R116" i="16"/>
  <c r="Q116" i="16"/>
  <c r="U116" i="16" s="1"/>
  <c r="R115" i="16"/>
  <c r="Q115" i="16"/>
  <c r="U115" i="16" s="1"/>
  <c r="R114" i="16"/>
  <c r="Q114" i="16"/>
  <c r="U114" i="16" s="1"/>
  <c r="R113" i="16"/>
  <c r="Q113" i="16"/>
  <c r="U113" i="16" s="1"/>
  <c r="R112" i="16"/>
  <c r="Q112" i="16"/>
  <c r="U112" i="16" s="1"/>
  <c r="R111" i="16"/>
  <c r="Q111" i="16"/>
  <c r="U111" i="16" s="1"/>
  <c r="R110" i="16"/>
  <c r="Q110" i="16"/>
  <c r="U110" i="16" s="1"/>
  <c r="R109" i="16"/>
  <c r="Q109" i="16"/>
  <c r="U109" i="16" s="1"/>
  <c r="R108" i="16"/>
  <c r="Q108" i="16"/>
  <c r="U108" i="16" s="1"/>
  <c r="R107" i="16"/>
  <c r="Q107" i="16"/>
  <c r="U107" i="16" s="1"/>
  <c r="R106" i="16"/>
  <c r="Q106" i="16"/>
  <c r="U106" i="16" s="1"/>
  <c r="R105" i="16"/>
  <c r="Q105" i="16"/>
  <c r="U105" i="16" s="1"/>
  <c r="P104" i="16"/>
  <c r="P121" i="16" s="1"/>
  <c r="O104" i="16"/>
  <c r="O121" i="16" s="1"/>
  <c r="N104" i="16"/>
  <c r="N121" i="16" s="1"/>
  <c r="M104" i="16"/>
  <c r="M121" i="16" s="1"/>
  <c r="L104" i="16"/>
  <c r="L121" i="16" s="1"/>
  <c r="K104" i="16"/>
  <c r="K121" i="16" s="1"/>
  <c r="J104" i="16"/>
  <c r="J121" i="16" s="1"/>
  <c r="I104" i="16"/>
  <c r="I121" i="16" s="1"/>
  <c r="H104" i="16"/>
  <c r="G104" i="16"/>
  <c r="F104" i="16"/>
  <c r="F121" i="16" s="1"/>
  <c r="E104" i="16"/>
  <c r="E121" i="16" s="1"/>
  <c r="D104" i="16"/>
  <c r="R103" i="16"/>
  <c r="Q103" i="16"/>
  <c r="U103" i="16" s="1"/>
  <c r="C103" i="16"/>
  <c r="D103" i="16" s="1"/>
  <c r="R102" i="16"/>
  <c r="Q102" i="16"/>
  <c r="U102" i="16" s="1"/>
  <c r="U101" i="16"/>
  <c r="R101" i="16"/>
  <c r="Q101" i="16"/>
  <c r="D101" i="16"/>
  <c r="D121" i="16" s="1"/>
  <c r="C101" i="16"/>
  <c r="C121" i="16" s="1"/>
  <c r="R100" i="16"/>
  <c r="Q100" i="16"/>
  <c r="U100" i="16" s="1"/>
  <c r="R99" i="16"/>
  <c r="Q99" i="16"/>
  <c r="U99" i="16" s="1"/>
  <c r="U98" i="16"/>
  <c r="R98" i="16"/>
  <c r="Q98" i="16"/>
  <c r="U97" i="16"/>
  <c r="R97" i="16"/>
  <c r="Q97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R95" i="16" s="1"/>
  <c r="R94" i="16"/>
  <c r="Q94" i="16"/>
  <c r="U94" i="16" s="1"/>
  <c r="D94" i="16"/>
  <c r="C94" i="16"/>
  <c r="C95" i="16" s="1"/>
  <c r="U93" i="16"/>
  <c r="R93" i="16"/>
  <c r="Q93" i="16"/>
  <c r="U92" i="16"/>
  <c r="R92" i="16"/>
  <c r="Q92" i="16"/>
  <c r="D92" i="16"/>
  <c r="D95" i="16" s="1"/>
  <c r="P90" i="16"/>
  <c r="O90" i="16"/>
  <c r="N90" i="16"/>
  <c r="M90" i="16"/>
  <c r="L90" i="16"/>
  <c r="K90" i="16"/>
  <c r="J90" i="16"/>
  <c r="I90" i="16"/>
  <c r="H90" i="16"/>
  <c r="G90" i="16"/>
  <c r="F90" i="16"/>
  <c r="E90" i="16"/>
  <c r="R90" i="16" s="1"/>
  <c r="R89" i="16"/>
  <c r="Q89" i="16"/>
  <c r="U89" i="16" s="1"/>
  <c r="R88" i="16"/>
  <c r="Q88" i="16"/>
  <c r="U88" i="16" s="1"/>
  <c r="U87" i="16"/>
  <c r="R87" i="16"/>
  <c r="Q87" i="16"/>
  <c r="R86" i="16"/>
  <c r="Q86" i="16"/>
  <c r="U86" i="16" s="1"/>
  <c r="R85" i="16"/>
  <c r="Q85" i="16"/>
  <c r="U85" i="16" s="1"/>
  <c r="R84" i="16"/>
  <c r="Q84" i="16"/>
  <c r="Q90" i="16" s="1"/>
  <c r="D84" i="16"/>
  <c r="D90" i="16" s="1"/>
  <c r="C84" i="16"/>
  <c r="C90" i="16" s="1"/>
  <c r="P82" i="16"/>
  <c r="O82" i="16"/>
  <c r="N82" i="16"/>
  <c r="M82" i="16"/>
  <c r="L82" i="16"/>
  <c r="K82" i="16"/>
  <c r="J82" i="16"/>
  <c r="I82" i="16"/>
  <c r="H82" i="16"/>
  <c r="G82" i="16"/>
  <c r="F82" i="16"/>
  <c r="E82" i="16"/>
  <c r="R82" i="16" s="1"/>
  <c r="D82" i="16"/>
  <c r="C82" i="16"/>
  <c r="R81" i="16"/>
  <c r="Q81" i="16"/>
  <c r="U81" i="16" s="1"/>
  <c r="R80" i="16"/>
  <c r="Q80" i="16"/>
  <c r="U80" i="16" s="1"/>
  <c r="R79" i="16"/>
  <c r="Q79" i="16"/>
  <c r="U79" i="16" s="1"/>
  <c r="R78" i="16"/>
  <c r="Q78" i="16"/>
  <c r="U78" i="16" s="1"/>
  <c r="P76" i="16"/>
  <c r="O76" i="16"/>
  <c r="N76" i="16"/>
  <c r="M76" i="16"/>
  <c r="L76" i="16"/>
  <c r="K76" i="16"/>
  <c r="H76" i="16"/>
  <c r="G76" i="16"/>
  <c r="F76" i="16"/>
  <c r="E76" i="16"/>
  <c r="R76" i="16" s="1"/>
  <c r="D76" i="16"/>
  <c r="C76" i="16"/>
  <c r="R75" i="16"/>
  <c r="Q75" i="16"/>
  <c r="U75" i="16" s="1"/>
  <c r="P73" i="16"/>
  <c r="O73" i="16"/>
  <c r="N73" i="16"/>
  <c r="M73" i="16"/>
  <c r="L73" i="16"/>
  <c r="K73" i="16"/>
  <c r="J73" i="16"/>
  <c r="I73" i="16"/>
  <c r="H73" i="16"/>
  <c r="G73" i="16"/>
  <c r="F73" i="16"/>
  <c r="E73" i="16"/>
  <c r="R73" i="16" s="1"/>
  <c r="C73" i="16"/>
  <c r="R72" i="16"/>
  <c r="Q72" i="16"/>
  <c r="U72" i="16" s="1"/>
  <c r="U71" i="16"/>
  <c r="R71" i="16"/>
  <c r="Q71" i="16"/>
  <c r="R70" i="16"/>
  <c r="Q70" i="16"/>
  <c r="U70" i="16" s="1"/>
  <c r="R69" i="16"/>
  <c r="Q69" i="16"/>
  <c r="U69" i="16" s="1"/>
  <c r="D69" i="16"/>
  <c r="D73" i="16" s="1"/>
  <c r="R68" i="16"/>
  <c r="Q68" i="16"/>
  <c r="U68" i="16" s="1"/>
  <c r="U67" i="16"/>
  <c r="R67" i="16"/>
  <c r="Q67" i="16"/>
  <c r="R66" i="16"/>
  <c r="Q66" i="16"/>
  <c r="U66" i="16" s="1"/>
  <c r="R65" i="16"/>
  <c r="Q65" i="16"/>
  <c r="U65" i="16" s="1"/>
  <c r="R64" i="16"/>
  <c r="Q64" i="16"/>
  <c r="Q73" i="16" s="1"/>
  <c r="P62" i="16"/>
  <c r="O62" i="16"/>
  <c r="N62" i="16"/>
  <c r="M62" i="16"/>
  <c r="L62" i="16"/>
  <c r="K62" i="16"/>
  <c r="J62" i="16"/>
  <c r="I62" i="16"/>
  <c r="H62" i="16"/>
  <c r="G62" i="16"/>
  <c r="F62" i="16"/>
  <c r="E62" i="16"/>
  <c r="R62" i="16" s="1"/>
  <c r="D62" i="16"/>
  <c r="C62" i="16"/>
  <c r="R61" i="16"/>
  <c r="Q61" i="16"/>
  <c r="U61" i="16" s="1"/>
  <c r="R60" i="16"/>
  <c r="Q60" i="16"/>
  <c r="U60" i="16" s="1"/>
  <c r="R59" i="16"/>
  <c r="Q59" i="16"/>
  <c r="U59" i="16" s="1"/>
  <c r="R58" i="16"/>
  <c r="Q58" i="16"/>
  <c r="U58" i="16" s="1"/>
  <c r="R57" i="16"/>
  <c r="Q57" i="16"/>
  <c r="U57" i="16" s="1"/>
  <c r="R56" i="16"/>
  <c r="Q56" i="16"/>
  <c r="U56" i="16" s="1"/>
  <c r="R55" i="16"/>
  <c r="Q55" i="16"/>
  <c r="U55" i="16" s="1"/>
  <c r="R54" i="16"/>
  <c r="Q54" i="16"/>
  <c r="U54" i="16" s="1"/>
  <c r="R53" i="16"/>
  <c r="Q53" i="16"/>
  <c r="U53" i="16" s="1"/>
  <c r="R52" i="16"/>
  <c r="Q52" i="16"/>
  <c r="U52" i="16" s="1"/>
  <c r="R51" i="16"/>
  <c r="Q51" i="16"/>
  <c r="U51" i="16" s="1"/>
  <c r="R50" i="16"/>
  <c r="Q50" i="16"/>
  <c r="Q62" i="16" s="1"/>
  <c r="P48" i="16"/>
  <c r="O48" i="16"/>
  <c r="N48" i="16"/>
  <c r="M48" i="16"/>
  <c r="L48" i="16"/>
  <c r="K48" i="16"/>
  <c r="J48" i="16"/>
  <c r="I48" i="16"/>
  <c r="H48" i="16"/>
  <c r="G48" i="16"/>
  <c r="F48" i="16"/>
  <c r="E48" i="16"/>
  <c r="R48" i="16" s="1"/>
  <c r="D48" i="16"/>
  <c r="C48" i="16"/>
  <c r="R47" i="16"/>
  <c r="Q47" i="16"/>
  <c r="U47" i="16" s="1"/>
  <c r="R46" i="16"/>
  <c r="Q46" i="16"/>
  <c r="U46" i="16" s="1"/>
  <c r="R45" i="16"/>
  <c r="Q45" i="16"/>
  <c r="U45" i="16" s="1"/>
  <c r="U44" i="16"/>
  <c r="R44" i="16"/>
  <c r="Q44" i="16"/>
  <c r="R43" i="16"/>
  <c r="Q43" i="16"/>
  <c r="U43" i="16" s="1"/>
  <c r="R42" i="16"/>
  <c r="Q42" i="16"/>
  <c r="U42" i="16" s="1"/>
  <c r="R41" i="16"/>
  <c r="Q41" i="16"/>
  <c r="U41" i="16" s="1"/>
  <c r="U40" i="16"/>
  <c r="R40" i="16"/>
  <c r="Q40" i="16"/>
  <c r="R39" i="16"/>
  <c r="Q39" i="16"/>
  <c r="U39" i="16" s="1"/>
  <c r="R38" i="16"/>
  <c r="Q38" i="16"/>
  <c r="U38" i="16" s="1"/>
  <c r="R37" i="16"/>
  <c r="Q37" i="16"/>
  <c r="Q48" i="16" s="1"/>
  <c r="C32" i="16"/>
  <c r="G31" i="16"/>
  <c r="G32" i="16" s="1"/>
  <c r="F31" i="16"/>
  <c r="F32" i="16" s="1"/>
  <c r="D31" i="16"/>
  <c r="D32" i="16" s="1"/>
  <c r="D33" i="16" s="1"/>
  <c r="D34" i="16" s="1"/>
  <c r="G29" i="16"/>
  <c r="G33" i="16" s="1"/>
  <c r="G34" i="16" s="1"/>
  <c r="F29" i="16"/>
  <c r="D29" i="16"/>
  <c r="C29" i="16"/>
  <c r="C33" i="16" s="1"/>
  <c r="C34" i="16" s="1"/>
  <c r="D28" i="16"/>
  <c r="R27" i="16"/>
  <c r="Q27" i="16"/>
  <c r="U27" i="16" s="1"/>
  <c r="P27" i="16"/>
  <c r="O27" i="16"/>
  <c r="N27" i="16"/>
  <c r="M27" i="16"/>
  <c r="L27" i="16"/>
  <c r="K27" i="16"/>
  <c r="D27" i="16"/>
  <c r="P26" i="16"/>
  <c r="P31" i="16" s="1"/>
  <c r="P32" i="16" s="1"/>
  <c r="O26" i="16"/>
  <c r="O31" i="16" s="1"/>
  <c r="O32" i="16" s="1"/>
  <c r="N26" i="16"/>
  <c r="N31" i="16" s="1"/>
  <c r="N32" i="16" s="1"/>
  <c r="M26" i="16"/>
  <c r="M31" i="16" s="1"/>
  <c r="M32" i="16" s="1"/>
  <c r="L26" i="16"/>
  <c r="L31" i="16" s="1"/>
  <c r="L32" i="16" s="1"/>
  <c r="K26" i="16"/>
  <c r="K31" i="16" s="1"/>
  <c r="K32" i="16" s="1"/>
  <c r="J26" i="16"/>
  <c r="J31" i="16" s="1"/>
  <c r="J32" i="16" s="1"/>
  <c r="I26" i="16"/>
  <c r="I31" i="16" s="1"/>
  <c r="I32" i="16" s="1"/>
  <c r="H26" i="16"/>
  <c r="H31" i="16" s="1"/>
  <c r="H32" i="16" s="1"/>
  <c r="G26" i="16"/>
  <c r="F26" i="16"/>
  <c r="E26" i="16"/>
  <c r="E31" i="16" s="1"/>
  <c r="D26" i="16"/>
  <c r="R25" i="16"/>
  <c r="Q25" i="16"/>
  <c r="U25" i="16" s="1"/>
  <c r="D25" i="16"/>
  <c r="P24" i="16"/>
  <c r="P29" i="16" s="1"/>
  <c r="O24" i="16"/>
  <c r="O29" i="16" s="1"/>
  <c r="O33" i="16" s="1"/>
  <c r="O34" i="16" s="1"/>
  <c r="N24" i="16"/>
  <c r="N29" i="16" s="1"/>
  <c r="N33" i="16" s="1"/>
  <c r="N34" i="16" s="1"/>
  <c r="M24" i="16"/>
  <c r="L24" i="16"/>
  <c r="K24" i="16"/>
  <c r="D24" i="16"/>
  <c r="U21" i="16"/>
  <c r="R21" i="16"/>
  <c r="Q21" i="16"/>
  <c r="R20" i="16"/>
  <c r="Q20" i="16"/>
  <c r="U20" i="16" s="1"/>
  <c r="R19" i="16"/>
  <c r="Q19" i="16"/>
  <c r="U19" i="16" s="1"/>
  <c r="R18" i="16"/>
  <c r="Q18" i="16"/>
  <c r="U18" i="16" s="1"/>
  <c r="R17" i="16"/>
  <c r="Q17" i="16"/>
  <c r="U17" i="16" s="1"/>
  <c r="R16" i="16"/>
  <c r="Q16" i="16"/>
  <c r="U16" i="16" s="1"/>
  <c r="P14" i="16"/>
  <c r="P28" i="16" s="1"/>
  <c r="O14" i="16"/>
  <c r="O28" i="16" s="1"/>
  <c r="N14" i="16"/>
  <c r="N28" i="16" s="1"/>
  <c r="M14" i="16"/>
  <c r="M28" i="16" s="1"/>
  <c r="L14" i="16"/>
  <c r="L28" i="16" s="1"/>
  <c r="K14" i="16"/>
  <c r="K28" i="16" s="1"/>
  <c r="J14" i="16"/>
  <c r="I14" i="16"/>
  <c r="H14" i="16"/>
  <c r="G14" i="16"/>
  <c r="F14" i="16"/>
  <c r="E14" i="16"/>
  <c r="R14" i="16" s="1"/>
  <c r="D14" i="16"/>
  <c r="C14" i="16"/>
  <c r="R13" i="16"/>
  <c r="Q13" i="16"/>
  <c r="U13" i="16" s="1"/>
  <c r="R12" i="16"/>
  <c r="Q12" i="16"/>
  <c r="U12" i="16" s="1"/>
  <c r="R11" i="16"/>
  <c r="Q11" i="16"/>
  <c r="U11" i="16" s="1"/>
  <c r="R10" i="16"/>
  <c r="Q10" i="16"/>
  <c r="U10" i="16" s="1"/>
  <c r="U9" i="16"/>
  <c r="R9" i="16"/>
  <c r="Q9" i="16"/>
  <c r="R8" i="16"/>
  <c r="Q8" i="16"/>
  <c r="U8" i="16" s="1"/>
  <c r="R7" i="16"/>
  <c r="Q7" i="16"/>
  <c r="U7" i="16" s="1"/>
  <c r="P134" i="15"/>
  <c r="O134" i="15"/>
  <c r="O135" i="15" s="1"/>
  <c r="N134" i="15"/>
  <c r="M134" i="15"/>
  <c r="L134" i="15"/>
  <c r="K134" i="15"/>
  <c r="K135" i="15" s="1"/>
  <c r="J134" i="15"/>
  <c r="R134" i="15" s="1"/>
  <c r="I134" i="15"/>
  <c r="H134" i="15"/>
  <c r="G134" i="15"/>
  <c r="G135" i="15" s="1"/>
  <c r="F134" i="15"/>
  <c r="E134" i="15"/>
  <c r="E135" i="15" s="1"/>
  <c r="D134" i="15"/>
  <c r="C134" i="15"/>
  <c r="C135" i="15" s="1"/>
  <c r="U133" i="15"/>
  <c r="R133" i="15"/>
  <c r="Q133" i="15"/>
  <c r="R132" i="15"/>
  <c r="Q132" i="15"/>
  <c r="Q134" i="15" s="1"/>
  <c r="G128" i="15"/>
  <c r="Q127" i="15"/>
  <c r="U127" i="15" s="1"/>
  <c r="P127" i="15"/>
  <c r="O127" i="15"/>
  <c r="N127" i="15"/>
  <c r="M127" i="15"/>
  <c r="L127" i="15"/>
  <c r="K127" i="15"/>
  <c r="J127" i="15"/>
  <c r="I127" i="15"/>
  <c r="R127" i="15" s="1"/>
  <c r="H127" i="15"/>
  <c r="G127" i="15"/>
  <c r="F127" i="15"/>
  <c r="E127" i="15"/>
  <c r="D127" i="15"/>
  <c r="C127" i="15"/>
  <c r="R126" i="15"/>
  <c r="Q126" i="15"/>
  <c r="U126" i="15" s="1"/>
  <c r="P124" i="15"/>
  <c r="P128" i="15" s="1"/>
  <c r="P135" i="15" s="1"/>
  <c r="O124" i="15"/>
  <c r="O128" i="15" s="1"/>
  <c r="N124" i="15"/>
  <c r="N128" i="15" s="1"/>
  <c r="M124" i="15"/>
  <c r="M128" i="15" s="1"/>
  <c r="L124" i="15"/>
  <c r="L128" i="15" s="1"/>
  <c r="K124" i="15"/>
  <c r="K128" i="15" s="1"/>
  <c r="J124" i="15"/>
  <c r="I124" i="15"/>
  <c r="H124" i="15"/>
  <c r="G124" i="15"/>
  <c r="F124" i="15"/>
  <c r="F128" i="15" s="1"/>
  <c r="E124" i="15"/>
  <c r="E128" i="15" s="1"/>
  <c r="D124" i="15"/>
  <c r="D128" i="15" s="1"/>
  <c r="C124" i="15"/>
  <c r="C128" i="15" s="1"/>
  <c r="R123" i="15"/>
  <c r="Q123" i="15"/>
  <c r="U123" i="15" s="1"/>
  <c r="P121" i="15"/>
  <c r="O121" i="15"/>
  <c r="N121" i="15"/>
  <c r="M121" i="15"/>
  <c r="L121" i="15"/>
  <c r="K121" i="15"/>
  <c r="J121" i="15"/>
  <c r="J128" i="15" s="1"/>
  <c r="I121" i="15"/>
  <c r="H121" i="15"/>
  <c r="G121" i="15"/>
  <c r="F121" i="15"/>
  <c r="E121" i="15"/>
  <c r="R121" i="15" s="1"/>
  <c r="C121" i="15"/>
  <c r="R120" i="15"/>
  <c r="Q120" i="15"/>
  <c r="U120" i="15" s="1"/>
  <c r="U119" i="15"/>
  <c r="R119" i="15"/>
  <c r="Q119" i="15"/>
  <c r="R118" i="15"/>
  <c r="Q118" i="15"/>
  <c r="U118" i="15" s="1"/>
  <c r="U117" i="15"/>
  <c r="R117" i="15"/>
  <c r="Q117" i="15"/>
  <c r="R116" i="15"/>
  <c r="Q116" i="15"/>
  <c r="U116" i="15" s="1"/>
  <c r="U115" i="15"/>
  <c r="R115" i="15"/>
  <c r="Q115" i="15"/>
  <c r="R114" i="15"/>
  <c r="Q114" i="15"/>
  <c r="U114" i="15" s="1"/>
  <c r="U113" i="15"/>
  <c r="R113" i="15"/>
  <c r="Q113" i="15"/>
  <c r="R112" i="15"/>
  <c r="Q112" i="15"/>
  <c r="U112" i="15" s="1"/>
  <c r="R111" i="15"/>
  <c r="Q111" i="15"/>
  <c r="U111" i="15" s="1"/>
  <c r="R110" i="15"/>
  <c r="Q110" i="15"/>
  <c r="U110" i="15" s="1"/>
  <c r="U109" i="15"/>
  <c r="R109" i="15"/>
  <c r="Q109" i="15"/>
  <c r="R108" i="15"/>
  <c r="Q108" i="15"/>
  <c r="U108" i="15" s="1"/>
  <c r="R107" i="15"/>
  <c r="Q107" i="15"/>
  <c r="U107" i="15" s="1"/>
  <c r="R106" i="15"/>
  <c r="Q106" i="15"/>
  <c r="U106" i="15" s="1"/>
  <c r="U105" i="15"/>
  <c r="R105" i="15"/>
  <c r="Q105" i="15"/>
  <c r="R104" i="15"/>
  <c r="Q104" i="15"/>
  <c r="U104" i="15" s="1"/>
  <c r="R103" i="15"/>
  <c r="Q103" i="15"/>
  <c r="U103" i="15" s="1"/>
  <c r="R102" i="15"/>
  <c r="Q102" i="15"/>
  <c r="U102" i="15" s="1"/>
  <c r="U101" i="15"/>
  <c r="R101" i="15"/>
  <c r="Q101" i="15"/>
  <c r="R100" i="15"/>
  <c r="Q100" i="15"/>
  <c r="U100" i="15" s="1"/>
  <c r="D100" i="15"/>
  <c r="D121" i="15" s="1"/>
  <c r="R99" i="15"/>
  <c r="Q99" i="15"/>
  <c r="U99" i="15" s="1"/>
  <c r="R98" i="15"/>
  <c r="Q98" i="15"/>
  <c r="U98" i="15" s="1"/>
  <c r="U97" i="15"/>
  <c r="R97" i="15"/>
  <c r="Q97" i="15"/>
  <c r="P95" i="15"/>
  <c r="O95" i="15"/>
  <c r="N95" i="15"/>
  <c r="M95" i="15"/>
  <c r="L95" i="15"/>
  <c r="K95" i="15"/>
  <c r="J95" i="15"/>
  <c r="I95" i="15"/>
  <c r="H95" i="15"/>
  <c r="H128" i="15" s="1"/>
  <c r="H135" i="15" s="1"/>
  <c r="G95" i="15"/>
  <c r="F95" i="15"/>
  <c r="E95" i="15"/>
  <c r="R95" i="15" s="1"/>
  <c r="D95" i="15"/>
  <c r="C95" i="15"/>
  <c r="R94" i="15"/>
  <c r="Q94" i="15"/>
  <c r="U94" i="15" s="1"/>
  <c r="R93" i="15"/>
  <c r="Q93" i="15"/>
  <c r="U93" i="15" s="1"/>
  <c r="U92" i="15"/>
  <c r="R92" i="15"/>
  <c r="Q92" i="15"/>
  <c r="Q95" i="15" s="1"/>
  <c r="P90" i="15"/>
  <c r="O90" i="15"/>
  <c r="N90" i="15"/>
  <c r="M90" i="15"/>
  <c r="L90" i="15"/>
  <c r="K90" i="15"/>
  <c r="J90" i="15"/>
  <c r="I90" i="15"/>
  <c r="H90" i="15"/>
  <c r="G90" i="15"/>
  <c r="F90" i="15"/>
  <c r="E90" i="15"/>
  <c r="R90" i="15" s="1"/>
  <c r="D90" i="15"/>
  <c r="C90" i="15"/>
  <c r="R89" i="15"/>
  <c r="Q89" i="15"/>
  <c r="U89" i="15" s="1"/>
  <c r="U88" i="15"/>
  <c r="R88" i="15"/>
  <c r="Q88" i="15"/>
  <c r="R87" i="15"/>
  <c r="Q87" i="15"/>
  <c r="U87" i="15" s="1"/>
  <c r="U86" i="15"/>
  <c r="R86" i="15"/>
  <c r="Q86" i="15"/>
  <c r="R85" i="15"/>
  <c r="Q85" i="15"/>
  <c r="U85" i="15" s="1"/>
  <c r="R84" i="15"/>
  <c r="Q84" i="15"/>
  <c r="Q90" i="15" s="1"/>
  <c r="Q82" i="15"/>
  <c r="U82" i="15" s="1"/>
  <c r="P82" i="15"/>
  <c r="R82" i="15" s="1"/>
  <c r="O82" i="15"/>
  <c r="N82" i="15"/>
  <c r="M82" i="15"/>
  <c r="L82" i="15"/>
  <c r="K82" i="15"/>
  <c r="J82" i="15"/>
  <c r="I82" i="15"/>
  <c r="I128" i="15" s="1"/>
  <c r="I135" i="15" s="1"/>
  <c r="H82" i="15"/>
  <c r="G82" i="15"/>
  <c r="F82" i="15"/>
  <c r="E82" i="15"/>
  <c r="D82" i="15"/>
  <c r="C82" i="15"/>
  <c r="U81" i="15"/>
  <c r="R81" i="15"/>
  <c r="Q81" i="15"/>
  <c r="U80" i="15"/>
  <c r="R80" i="15"/>
  <c r="Q80" i="15"/>
  <c r="U79" i="15"/>
  <c r="R79" i="15"/>
  <c r="Q79" i="15"/>
  <c r="R78" i="15"/>
  <c r="Q78" i="15"/>
  <c r="U78" i="15" s="1"/>
  <c r="R76" i="15"/>
  <c r="P76" i="15"/>
  <c r="O76" i="15"/>
  <c r="N76" i="15"/>
  <c r="M76" i="15"/>
  <c r="L76" i="15"/>
  <c r="K76" i="15"/>
  <c r="H76" i="15"/>
  <c r="G76" i="15"/>
  <c r="F76" i="15"/>
  <c r="E76" i="15"/>
  <c r="D76" i="15"/>
  <c r="C76" i="15"/>
  <c r="U75" i="15"/>
  <c r="R75" i="15"/>
  <c r="Q75" i="15"/>
  <c r="Q76" i="15" s="1"/>
  <c r="P73" i="15"/>
  <c r="O73" i="15"/>
  <c r="N73" i="15"/>
  <c r="M73" i="15"/>
  <c r="L73" i="15"/>
  <c r="K73" i="15"/>
  <c r="J73" i="15"/>
  <c r="I73" i="15"/>
  <c r="H73" i="15"/>
  <c r="G73" i="15"/>
  <c r="F73" i="15"/>
  <c r="E73" i="15"/>
  <c r="R73" i="15" s="1"/>
  <c r="D73" i="15"/>
  <c r="C73" i="15"/>
  <c r="R72" i="15"/>
  <c r="Q72" i="15"/>
  <c r="U72" i="15" s="1"/>
  <c r="R71" i="15"/>
  <c r="Q71" i="15"/>
  <c r="U71" i="15" s="1"/>
  <c r="R70" i="15"/>
  <c r="Q70" i="15"/>
  <c r="U70" i="15" s="1"/>
  <c r="U69" i="15"/>
  <c r="R69" i="15"/>
  <c r="Q69" i="15"/>
  <c r="R68" i="15"/>
  <c r="Q68" i="15"/>
  <c r="U68" i="15" s="1"/>
  <c r="R67" i="15"/>
  <c r="Q67" i="15"/>
  <c r="U67" i="15" s="1"/>
  <c r="R66" i="15"/>
  <c r="Q66" i="15"/>
  <c r="U66" i="15" s="1"/>
  <c r="U65" i="15"/>
  <c r="R65" i="15"/>
  <c r="Q65" i="15"/>
  <c r="R64" i="15"/>
  <c r="Q64" i="15"/>
  <c r="U64" i="15" s="1"/>
  <c r="P62" i="15"/>
  <c r="O62" i="15"/>
  <c r="N62" i="15"/>
  <c r="M62" i="15"/>
  <c r="L62" i="15"/>
  <c r="K62" i="15"/>
  <c r="J62" i="15"/>
  <c r="I62" i="15"/>
  <c r="H62" i="15"/>
  <c r="G62" i="15"/>
  <c r="F62" i="15"/>
  <c r="E62" i="15"/>
  <c r="R62" i="15" s="1"/>
  <c r="D62" i="15"/>
  <c r="C62" i="15"/>
  <c r="U61" i="15"/>
  <c r="R61" i="15"/>
  <c r="Q61" i="15"/>
  <c r="U60" i="15"/>
  <c r="R60" i="15"/>
  <c r="Q60" i="15"/>
  <c r="U59" i="15"/>
  <c r="R59" i="15"/>
  <c r="Q59" i="15"/>
  <c r="U58" i="15"/>
  <c r="R58" i="15"/>
  <c r="Q58" i="15"/>
  <c r="U57" i="15"/>
  <c r="R57" i="15"/>
  <c r="Q57" i="15"/>
  <c r="U56" i="15"/>
  <c r="R56" i="15"/>
  <c r="Q56" i="15"/>
  <c r="U55" i="15"/>
  <c r="R55" i="15"/>
  <c r="Q55" i="15"/>
  <c r="U54" i="15"/>
  <c r="R54" i="15"/>
  <c r="Q54" i="15"/>
  <c r="U53" i="15"/>
  <c r="R53" i="15"/>
  <c r="Q53" i="15"/>
  <c r="U52" i="15"/>
  <c r="R52" i="15"/>
  <c r="Q52" i="15"/>
  <c r="R51" i="15"/>
  <c r="Q51" i="15"/>
  <c r="U51" i="15" s="1"/>
  <c r="U50" i="15"/>
  <c r="R50" i="15"/>
  <c r="Q50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R48" i="15" s="1"/>
  <c r="D48" i="15"/>
  <c r="C48" i="15"/>
  <c r="R47" i="15"/>
  <c r="Q47" i="15"/>
  <c r="U47" i="15" s="1"/>
  <c r="U46" i="15"/>
  <c r="R46" i="15"/>
  <c r="Q46" i="15"/>
  <c r="R45" i="15"/>
  <c r="Q45" i="15"/>
  <c r="U45" i="15" s="1"/>
  <c r="R44" i="15"/>
  <c r="Q44" i="15"/>
  <c r="U44" i="15" s="1"/>
  <c r="R43" i="15"/>
  <c r="Q43" i="15"/>
  <c r="U43" i="15" s="1"/>
  <c r="U42" i="15"/>
  <c r="R42" i="15"/>
  <c r="Q42" i="15"/>
  <c r="R41" i="15"/>
  <c r="Q41" i="15"/>
  <c r="U41" i="15" s="1"/>
  <c r="R40" i="15"/>
  <c r="Q40" i="15"/>
  <c r="U40" i="15" s="1"/>
  <c r="R39" i="15"/>
  <c r="Q39" i="15"/>
  <c r="U39" i="15" s="1"/>
  <c r="U38" i="15"/>
  <c r="R38" i="15"/>
  <c r="Q38" i="15"/>
  <c r="R37" i="15"/>
  <c r="Q37" i="15"/>
  <c r="U37" i="15" s="1"/>
  <c r="C32" i="15"/>
  <c r="O31" i="15"/>
  <c r="O32" i="15" s="1"/>
  <c r="N31" i="15"/>
  <c r="N32" i="15" s="1"/>
  <c r="D31" i="15"/>
  <c r="D32" i="15" s="1"/>
  <c r="C29" i="15"/>
  <c r="C33" i="15" s="1"/>
  <c r="C34" i="15" s="1"/>
  <c r="P28" i="15"/>
  <c r="O28" i="15"/>
  <c r="O29" i="15" s="1"/>
  <c r="D28" i="15"/>
  <c r="P27" i="15"/>
  <c r="O27" i="15"/>
  <c r="N27" i="15"/>
  <c r="M27" i="15"/>
  <c r="L27" i="15"/>
  <c r="K27" i="15"/>
  <c r="R27" i="15" s="1"/>
  <c r="D27" i="15"/>
  <c r="P26" i="15"/>
  <c r="P31" i="15" s="1"/>
  <c r="P32" i="15" s="1"/>
  <c r="O26" i="15"/>
  <c r="N26" i="15"/>
  <c r="M26" i="15"/>
  <c r="M31" i="15" s="1"/>
  <c r="M32" i="15" s="1"/>
  <c r="L26" i="15"/>
  <c r="L31" i="15" s="1"/>
  <c r="L32" i="15" s="1"/>
  <c r="K26" i="15"/>
  <c r="K31" i="15" s="1"/>
  <c r="K32" i="15" s="1"/>
  <c r="J26" i="15"/>
  <c r="J31" i="15" s="1"/>
  <c r="J32" i="15" s="1"/>
  <c r="I26" i="15"/>
  <c r="I31" i="15" s="1"/>
  <c r="I32" i="15" s="1"/>
  <c r="H26" i="15"/>
  <c r="H31" i="15" s="1"/>
  <c r="H32" i="15" s="1"/>
  <c r="G26" i="15"/>
  <c r="G31" i="15" s="1"/>
  <c r="G32" i="15" s="1"/>
  <c r="F26" i="15"/>
  <c r="F31" i="15" s="1"/>
  <c r="F32" i="15" s="1"/>
  <c r="E26" i="15"/>
  <c r="R26" i="15" s="1"/>
  <c r="D26" i="15"/>
  <c r="U25" i="15"/>
  <c r="R25" i="15"/>
  <c r="Q25" i="15"/>
  <c r="D25" i="15"/>
  <c r="P24" i="15"/>
  <c r="P29" i="15" s="1"/>
  <c r="O24" i="15"/>
  <c r="N24" i="15"/>
  <c r="M24" i="15"/>
  <c r="L24" i="15"/>
  <c r="K24" i="15"/>
  <c r="K29" i="15" s="1"/>
  <c r="K33" i="15" s="1"/>
  <c r="K34" i="15" s="1"/>
  <c r="D24" i="15"/>
  <c r="R21" i="15"/>
  <c r="Q21" i="15"/>
  <c r="U21" i="15" s="1"/>
  <c r="R20" i="15"/>
  <c r="Q20" i="15"/>
  <c r="U20" i="15" s="1"/>
  <c r="R19" i="15"/>
  <c r="Q19" i="15"/>
  <c r="U19" i="15" s="1"/>
  <c r="R18" i="15"/>
  <c r="Q18" i="15"/>
  <c r="U18" i="15" s="1"/>
  <c r="R17" i="15"/>
  <c r="Q17" i="15"/>
  <c r="U17" i="15" s="1"/>
  <c r="R16" i="15"/>
  <c r="Q16" i="15"/>
  <c r="U16" i="15" s="1"/>
  <c r="P14" i="15"/>
  <c r="O14" i="15"/>
  <c r="N14" i="15"/>
  <c r="N28" i="15" s="1"/>
  <c r="N29" i="15" s="1"/>
  <c r="N33" i="15" s="1"/>
  <c r="N34" i="15" s="1"/>
  <c r="M14" i="15"/>
  <c r="M28" i="15" s="1"/>
  <c r="L14" i="15"/>
  <c r="L28" i="15" s="1"/>
  <c r="K14" i="15"/>
  <c r="K28" i="15" s="1"/>
  <c r="J14" i="15"/>
  <c r="I14" i="15"/>
  <c r="H14" i="15"/>
  <c r="G14" i="15"/>
  <c r="F14" i="15"/>
  <c r="E14" i="15"/>
  <c r="R14" i="15" s="1"/>
  <c r="D14" i="15"/>
  <c r="C14" i="15"/>
  <c r="R13" i="15"/>
  <c r="Q13" i="15"/>
  <c r="U13" i="15" s="1"/>
  <c r="R12" i="15"/>
  <c r="Q12" i="15"/>
  <c r="U12" i="15" s="1"/>
  <c r="R11" i="15"/>
  <c r="Q11" i="15"/>
  <c r="U11" i="15" s="1"/>
  <c r="R10" i="15"/>
  <c r="Q10" i="15"/>
  <c r="U10" i="15" s="1"/>
  <c r="R9" i="15"/>
  <c r="Q9" i="15"/>
  <c r="U9" i="15" s="1"/>
  <c r="U8" i="15"/>
  <c r="R8" i="15"/>
  <c r="Q8" i="15"/>
  <c r="R7" i="15"/>
  <c r="Q7" i="15"/>
  <c r="Q14" i="15" s="1"/>
  <c r="U14" i="15" s="1"/>
  <c r="P134" i="14"/>
  <c r="O134" i="14"/>
  <c r="N134" i="14"/>
  <c r="M134" i="14"/>
  <c r="L134" i="14"/>
  <c r="K134" i="14"/>
  <c r="J134" i="14"/>
  <c r="R134" i="14" s="1"/>
  <c r="I134" i="14"/>
  <c r="H134" i="14"/>
  <c r="G134" i="14"/>
  <c r="G135" i="14" s="1"/>
  <c r="F134" i="14"/>
  <c r="F135" i="14" s="1"/>
  <c r="E134" i="14"/>
  <c r="D134" i="14"/>
  <c r="C134" i="14"/>
  <c r="R133" i="14"/>
  <c r="Q133" i="14"/>
  <c r="U133" i="14" s="1"/>
  <c r="R132" i="14"/>
  <c r="Q132" i="14"/>
  <c r="Q134" i="14" s="1"/>
  <c r="P127" i="14"/>
  <c r="O127" i="14"/>
  <c r="N127" i="14"/>
  <c r="M127" i="14"/>
  <c r="L127" i="14"/>
  <c r="K127" i="14"/>
  <c r="J127" i="14"/>
  <c r="I127" i="14"/>
  <c r="R127" i="14" s="1"/>
  <c r="H127" i="14"/>
  <c r="G127" i="14"/>
  <c r="F127" i="14"/>
  <c r="E127" i="14"/>
  <c r="D127" i="14"/>
  <c r="C127" i="14"/>
  <c r="R126" i="14"/>
  <c r="Q126" i="14"/>
  <c r="U126" i="14" s="1"/>
  <c r="P124" i="14"/>
  <c r="O124" i="14"/>
  <c r="N124" i="14"/>
  <c r="M124" i="14"/>
  <c r="L124" i="14"/>
  <c r="K124" i="14"/>
  <c r="J124" i="14"/>
  <c r="I124" i="14"/>
  <c r="H124" i="14"/>
  <c r="G124" i="14"/>
  <c r="F124" i="14"/>
  <c r="F128" i="14" s="1"/>
  <c r="E124" i="14"/>
  <c r="E128" i="14" s="1"/>
  <c r="D124" i="14"/>
  <c r="C124" i="14"/>
  <c r="C128" i="14" s="1"/>
  <c r="R123" i="14"/>
  <c r="Q123" i="14"/>
  <c r="Q124" i="14" s="1"/>
  <c r="F121" i="14"/>
  <c r="E121" i="14"/>
  <c r="R120" i="14"/>
  <c r="Q120" i="14"/>
  <c r="U120" i="14" s="1"/>
  <c r="R119" i="14"/>
  <c r="Q119" i="14"/>
  <c r="U119" i="14" s="1"/>
  <c r="R118" i="14"/>
  <c r="Q118" i="14"/>
  <c r="U118" i="14" s="1"/>
  <c r="U117" i="14"/>
  <c r="R117" i="14"/>
  <c r="Q117" i="14"/>
  <c r="R116" i="14"/>
  <c r="Q116" i="14"/>
  <c r="U116" i="14" s="1"/>
  <c r="R115" i="14"/>
  <c r="Q115" i="14"/>
  <c r="U115" i="14" s="1"/>
  <c r="R114" i="14"/>
  <c r="Q114" i="14"/>
  <c r="U114" i="14" s="1"/>
  <c r="U113" i="14"/>
  <c r="R113" i="14"/>
  <c r="Q113" i="14"/>
  <c r="R112" i="14"/>
  <c r="Q112" i="14"/>
  <c r="U112" i="14" s="1"/>
  <c r="R111" i="14"/>
  <c r="Q111" i="14"/>
  <c r="U111" i="14" s="1"/>
  <c r="R110" i="14"/>
  <c r="Q110" i="14"/>
  <c r="U110" i="14" s="1"/>
  <c r="U109" i="14"/>
  <c r="R109" i="14"/>
  <c r="Q109" i="14"/>
  <c r="R108" i="14"/>
  <c r="Q108" i="14"/>
  <c r="U108" i="14" s="1"/>
  <c r="R107" i="14"/>
  <c r="Q107" i="14"/>
  <c r="U107" i="14" s="1"/>
  <c r="R106" i="14"/>
  <c r="Q106" i="14"/>
  <c r="U106" i="14" s="1"/>
  <c r="U105" i="14"/>
  <c r="R105" i="14"/>
  <c r="Q105" i="14"/>
  <c r="P104" i="14"/>
  <c r="P121" i="14" s="1"/>
  <c r="O104" i="14"/>
  <c r="O121" i="14" s="1"/>
  <c r="N104" i="14"/>
  <c r="N121" i="14" s="1"/>
  <c r="N128" i="14" s="1"/>
  <c r="M104" i="14"/>
  <c r="M121" i="14" s="1"/>
  <c r="M128" i="14" s="1"/>
  <c r="L104" i="14"/>
  <c r="L121" i="14" s="1"/>
  <c r="L128" i="14" s="1"/>
  <c r="K104" i="14"/>
  <c r="K121" i="14" s="1"/>
  <c r="K128" i="14" s="1"/>
  <c r="J104" i="14"/>
  <c r="J121" i="14" s="1"/>
  <c r="J128" i="14" s="1"/>
  <c r="I104" i="14"/>
  <c r="I121" i="14" s="1"/>
  <c r="I128" i="14" s="1"/>
  <c r="I135" i="14" s="1"/>
  <c r="H104" i="14"/>
  <c r="H121" i="14" s="1"/>
  <c r="H128" i="14" s="1"/>
  <c r="H135" i="14" s="1"/>
  <c r="G104" i="14"/>
  <c r="G121" i="14" s="1"/>
  <c r="G128" i="14" s="1"/>
  <c r="F104" i="14"/>
  <c r="E104" i="14"/>
  <c r="R104" i="14" s="1"/>
  <c r="D104" i="14"/>
  <c r="R103" i="14"/>
  <c r="Q103" i="14"/>
  <c r="U103" i="14" s="1"/>
  <c r="R102" i="14"/>
  <c r="Q102" i="14"/>
  <c r="U102" i="14" s="1"/>
  <c r="R101" i="14"/>
  <c r="Q101" i="14"/>
  <c r="U101" i="14" s="1"/>
  <c r="D101" i="14"/>
  <c r="D121" i="14" s="1"/>
  <c r="C101" i="14"/>
  <c r="C121" i="14" s="1"/>
  <c r="U100" i="14"/>
  <c r="R100" i="14"/>
  <c r="Q100" i="14"/>
  <c r="R99" i="14"/>
  <c r="Q99" i="14"/>
  <c r="U99" i="14" s="1"/>
  <c r="R98" i="14"/>
  <c r="Q98" i="14"/>
  <c r="U98" i="14" s="1"/>
  <c r="U97" i="14"/>
  <c r="R97" i="14"/>
  <c r="Q97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R95" i="14" s="1"/>
  <c r="D95" i="14"/>
  <c r="C95" i="14"/>
  <c r="R94" i="14"/>
  <c r="Q94" i="14"/>
  <c r="U94" i="14" s="1"/>
  <c r="R93" i="14"/>
  <c r="Q93" i="14"/>
  <c r="U93" i="14" s="1"/>
  <c r="R92" i="14"/>
  <c r="Q92" i="14"/>
  <c r="Q95" i="14" s="1"/>
  <c r="P90" i="14"/>
  <c r="O90" i="14"/>
  <c r="N90" i="14"/>
  <c r="M90" i="14"/>
  <c r="L90" i="14"/>
  <c r="K90" i="14"/>
  <c r="J90" i="14"/>
  <c r="I90" i="14"/>
  <c r="H90" i="14"/>
  <c r="G90" i="14"/>
  <c r="F90" i="14"/>
  <c r="E90" i="14"/>
  <c r="R90" i="14" s="1"/>
  <c r="D90" i="14"/>
  <c r="C90" i="14"/>
  <c r="R89" i="14"/>
  <c r="Q89" i="14"/>
  <c r="U89" i="14" s="1"/>
  <c r="U88" i="14"/>
  <c r="R88" i="14"/>
  <c r="Q88" i="14"/>
  <c r="R87" i="14"/>
  <c r="Q87" i="14"/>
  <c r="U87" i="14" s="1"/>
  <c r="U86" i="14"/>
  <c r="R86" i="14"/>
  <c r="Q86" i="14"/>
  <c r="R85" i="14"/>
  <c r="Q85" i="14"/>
  <c r="U85" i="14" s="1"/>
  <c r="R84" i="14"/>
  <c r="Q84" i="14"/>
  <c r="Q90" i="14" s="1"/>
  <c r="P82" i="14"/>
  <c r="O82" i="14"/>
  <c r="N82" i="14"/>
  <c r="R82" i="14" s="1"/>
  <c r="M82" i="14"/>
  <c r="L82" i="14"/>
  <c r="K82" i="14"/>
  <c r="J82" i="14"/>
  <c r="I82" i="14"/>
  <c r="H82" i="14"/>
  <c r="G82" i="14"/>
  <c r="F82" i="14"/>
  <c r="E82" i="14"/>
  <c r="D82" i="14"/>
  <c r="C82" i="14"/>
  <c r="R81" i="14"/>
  <c r="Q81" i="14"/>
  <c r="U81" i="14" s="1"/>
  <c r="U80" i="14"/>
  <c r="R80" i="14"/>
  <c r="Q80" i="14"/>
  <c r="R79" i="14"/>
  <c r="Q79" i="14"/>
  <c r="U79" i="14" s="1"/>
  <c r="R78" i="14"/>
  <c r="Q78" i="14"/>
  <c r="U78" i="14" s="1"/>
  <c r="P76" i="14"/>
  <c r="R76" i="14" s="1"/>
  <c r="O76" i="14"/>
  <c r="N76" i="14"/>
  <c r="M76" i="14"/>
  <c r="L76" i="14"/>
  <c r="K76" i="14"/>
  <c r="H76" i="14"/>
  <c r="G76" i="14"/>
  <c r="F76" i="14"/>
  <c r="E76" i="14"/>
  <c r="D76" i="14"/>
  <c r="C76" i="14"/>
  <c r="R75" i="14"/>
  <c r="Q75" i="14"/>
  <c r="Q76" i="14" s="1"/>
  <c r="P73" i="14"/>
  <c r="O73" i="14"/>
  <c r="N73" i="14"/>
  <c r="M73" i="14"/>
  <c r="L73" i="14"/>
  <c r="K73" i="14"/>
  <c r="J73" i="14"/>
  <c r="I73" i="14"/>
  <c r="H73" i="14"/>
  <c r="G73" i="14"/>
  <c r="F73" i="14"/>
  <c r="E73" i="14"/>
  <c r="R73" i="14" s="1"/>
  <c r="R72" i="14"/>
  <c r="Q72" i="14"/>
  <c r="U72" i="14" s="1"/>
  <c r="R71" i="14"/>
  <c r="Q71" i="14"/>
  <c r="U71" i="14" s="1"/>
  <c r="R70" i="14"/>
  <c r="Q70" i="14"/>
  <c r="U70" i="14" s="1"/>
  <c r="U69" i="14"/>
  <c r="R69" i="14"/>
  <c r="Q69" i="14"/>
  <c r="C69" i="14"/>
  <c r="C73" i="14" s="1"/>
  <c r="R68" i="14"/>
  <c r="Q68" i="14"/>
  <c r="U68" i="14" s="1"/>
  <c r="R67" i="14"/>
  <c r="Q67" i="14"/>
  <c r="U67" i="14" s="1"/>
  <c r="R66" i="14"/>
  <c r="Q66" i="14"/>
  <c r="U66" i="14" s="1"/>
  <c r="U65" i="14"/>
  <c r="R65" i="14"/>
  <c r="Q65" i="14"/>
  <c r="R64" i="14"/>
  <c r="Q64" i="14"/>
  <c r="Q73" i="14" s="1"/>
  <c r="P62" i="14"/>
  <c r="O62" i="14"/>
  <c r="N62" i="14"/>
  <c r="M62" i="14"/>
  <c r="L62" i="14"/>
  <c r="K62" i="14"/>
  <c r="J62" i="14"/>
  <c r="I62" i="14"/>
  <c r="H62" i="14"/>
  <c r="G62" i="14"/>
  <c r="F62" i="14"/>
  <c r="E62" i="14"/>
  <c r="R62" i="14" s="1"/>
  <c r="D62" i="14"/>
  <c r="C62" i="14"/>
  <c r="R61" i="14"/>
  <c r="Q61" i="14"/>
  <c r="U61" i="14" s="1"/>
  <c r="U60" i="14"/>
  <c r="R60" i="14"/>
  <c r="Q60" i="14"/>
  <c r="R59" i="14"/>
  <c r="Q59" i="14"/>
  <c r="U59" i="14" s="1"/>
  <c r="R58" i="14"/>
  <c r="Q58" i="14"/>
  <c r="U58" i="14" s="1"/>
  <c r="R57" i="14"/>
  <c r="Q57" i="14"/>
  <c r="U57" i="14" s="1"/>
  <c r="U56" i="14"/>
  <c r="R56" i="14"/>
  <c r="Q56" i="14"/>
  <c r="R55" i="14"/>
  <c r="Q55" i="14"/>
  <c r="U55" i="14" s="1"/>
  <c r="R54" i="14"/>
  <c r="Q54" i="14"/>
  <c r="U54" i="14" s="1"/>
  <c r="R53" i="14"/>
  <c r="Q53" i="14"/>
  <c r="U53" i="14" s="1"/>
  <c r="U52" i="14"/>
  <c r="R52" i="14"/>
  <c r="Q52" i="14"/>
  <c r="R51" i="14"/>
  <c r="Q51" i="14"/>
  <c r="U51" i="14" s="1"/>
  <c r="R50" i="14"/>
  <c r="Q50" i="14"/>
  <c r="U50" i="14" s="1"/>
  <c r="P48" i="14"/>
  <c r="O48" i="14"/>
  <c r="N48" i="14"/>
  <c r="R48" i="14" s="1"/>
  <c r="M48" i="14"/>
  <c r="L48" i="14"/>
  <c r="K48" i="14"/>
  <c r="J48" i="14"/>
  <c r="I48" i="14"/>
  <c r="H48" i="14"/>
  <c r="G48" i="14"/>
  <c r="F48" i="14"/>
  <c r="E48" i="14"/>
  <c r="D48" i="14"/>
  <c r="C48" i="14"/>
  <c r="R47" i="14"/>
  <c r="Q47" i="14"/>
  <c r="U47" i="14" s="1"/>
  <c r="U46" i="14"/>
  <c r="R46" i="14"/>
  <c r="Q46" i="14"/>
  <c r="R45" i="14"/>
  <c r="Q45" i="14"/>
  <c r="U45" i="14" s="1"/>
  <c r="R44" i="14"/>
  <c r="Q44" i="14"/>
  <c r="U44" i="14" s="1"/>
  <c r="R43" i="14"/>
  <c r="Q43" i="14"/>
  <c r="U43" i="14" s="1"/>
  <c r="U42" i="14"/>
  <c r="R42" i="14"/>
  <c r="Q42" i="14"/>
  <c r="R41" i="14"/>
  <c r="Q41" i="14"/>
  <c r="U41" i="14" s="1"/>
  <c r="R40" i="14"/>
  <c r="Q40" i="14"/>
  <c r="U40" i="14" s="1"/>
  <c r="R39" i="14"/>
  <c r="Q39" i="14"/>
  <c r="U39" i="14" s="1"/>
  <c r="U38" i="14"/>
  <c r="R38" i="14"/>
  <c r="Q38" i="14"/>
  <c r="R37" i="14"/>
  <c r="Q37" i="14"/>
  <c r="U37" i="14" s="1"/>
  <c r="C32" i="14"/>
  <c r="P31" i="14"/>
  <c r="P32" i="14" s="1"/>
  <c r="O31" i="14"/>
  <c r="O32" i="14" s="1"/>
  <c r="N31" i="14"/>
  <c r="N32" i="14" s="1"/>
  <c r="D31" i="14"/>
  <c r="D32" i="14" s="1"/>
  <c r="C29" i="14"/>
  <c r="C33" i="14" s="1"/>
  <c r="C34" i="14" s="1"/>
  <c r="P28" i="14"/>
  <c r="P29" i="14" s="1"/>
  <c r="O28" i="14"/>
  <c r="O29" i="14" s="1"/>
  <c r="D28" i="14"/>
  <c r="P27" i="14"/>
  <c r="O27" i="14"/>
  <c r="N27" i="14"/>
  <c r="M27" i="14"/>
  <c r="L27" i="14"/>
  <c r="K27" i="14"/>
  <c r="R27" i="14" s="1"/>
  <c r="D27" i="14"/>
  <c r="P26" i="14"/>
  <c r="O26" i="14"/>
  <c r="N26" i="14"/>
  <c r="M26" i="14"/>
  <c r="M31" i="14" s="1"/>
  <c r="M32" i="14" s="1"/>
  <c r="L26" i="14"/>
  <c r="L31" i="14" s="1"/>
  <c r="L32" i="14" s="1"/>
  <c r="K26" i="14"/>
  <c r="K31" i="14" s="1"/>
  <c r="K32" i="14" s="1"/>
  <c r="J26" i="14"/>
  <c r="J31" i="14" s="1"/>
  <c r="J32" i="14" s="1"/>
  <c r="I26" i="14"/>
  <c r="I31" i="14" s="1"/>
  <c r="I32" i="14" s="1"/>
  <c r="H26" i="14"/>
  <c r="H31" i="14" s="1"/>
  <c r="H32" i="14" s="1"/>
  <c r="G26" i="14"/>
  <c r="G31" i="14" s="1"/>
  <c r="G32" i="14" s="1"/>
  <c r="F26" i="14"/>
  <c r="F31" i="14" s="1"/>
  <c r="F32" i="14" s="1"/>
  <c r="E26" i="14"/>
  <c r="R26" i="14" s="1"/>
  <c r="D26" i="14"/>
  <c r="U25" i="14"/>
  <c r="R25" i="14"/>
  <c r="Q25" i="14"/>
  <c r="D25" i="14"/>
  <c r="P24" i="14"/>
  <c r="O24" i="14"/>
  <c r="N24" i="14"/>
  <c r="M24" i="14"/>
  <c r="L24" i="14"/>
  <c r="K24" i="14"/>
  <c r="D24" i="14"/>
  <c r="R21" i="14"/>
  <c r="Q21" i="14"/>
  <c r="U21" i="14" s="1"/>
  <c r="R20" i="14"/>
  <c r="Q20" i="14"/>
  <c r="U20" i="14" s="1"/>
  <c r="R19" i="14"/>
  <c r="Q19" i="14"/>
  <c r="U19" i="14" s="1"/>
  <c r="R18" i="14"/>
  <c r="Q18" i="14"/>
  <c r="U18" i="14" s="1"/>
  <c r="R17" i="14"/>
  <c r="Q17" i="14"/>
  <c r="U17" i="14" s="1"/>
  <c r="R16" i="14"/>
  <c r="Q16" i="14"/>
  <c r="U16" i="14" s="1"/>
  <c r="P14" i="14"/>
  <c r="O14" i="14"/>
  <c r="N14" i="14"/>
  <c r="N28" i="14" s="1"/>
  <c r="N29" i="14" s="1"/>
  <c r="N33" i="14" s="1"/>
  <c r="N34" i="14" s="1"/>
  <c r="M14" i="14"/>
  <c r="M28" i="14" s="1"/>
  <c r="L14" i="14"/>
  <c r="L28" i="14" s="1"/>
  <c r="K14" i="14"/>
  <c r="K28" i="14" s="1"/>
  <c r="J14" i="14"/>
  <c r="I14" i="14"/>
  <c r="H14" i="14"/>
  <c r="G14" i="14"/>
  <c r="F14" i="14"/>
  <c r="E14" i="14"/>
  <c r="R14" i="14" s="1"/>
  <c r="D14" i="14"/>
  <c r="C14" i="14"/>
  <c r="R13" i="14"/>
  <c r="Q13" i="14"/>
  <c r="U13" i="14" s="1"/>
  <c r="R12" i="14"/>
  <c r="Q12" i="14"/>
  <c r="U12" i="14" s="1"/>
  <c r="R11" i="14"/>
  <c r="Q11" i="14"/>
  <c r="U11" i="14" s="1"/>
  <c r="R10" i="14"/>
  <c r="Q10" i="14"/>
  <c r="U10" i="14" s="1"/>
  <c r="U9" i="14"/>
  <c r="R9" i="14"/>
  <c r="Q9" i="14"/>
  <c r="R8" i="14"/>
  <c r="Q8" i="14"/>
  <c r="U8" i="14" s="1"/>
  <c r="R7" i="14"/>
  <c r="Q7" i="14"/>
  <c r="Q14" i="14" s="1"/>
  <c r="U14" i="14" s="1"/>
  <c r="P134" i="13"/>
  <c r="O134" i="13"/>
  <c r="N134" i="13"/>
  <c r="M134" i="13"/>
  <c r="L134" i="13"/>
  <c r="K134" i="13"/>
  <c r="J134" i="13"/>
  <c r="I134" i="13"/>
  <c r="H134" i="13"/>
  <c r="G134" i="13"/>
  <c r="F134" i="13"/>
  <c r="E134" i="13"/>
  <c r="D134" i="13"/>
  <c r="C134" i="13"/>
  <c r="U133" i="13"/>
  <c r="R133" i="13"/>
  <c r="Q133" i="13"/>
  <c r="R132" i="13"/>
  <c r="Q132" i="13"/>
  <c r="Q134" i="13" s="1"/>
  <c r="P127" i="13"/>
  <c r="O127" i="13"/>
  <c r="N127" i="13"/>
  <c r="M127" i="13"/>
  <c r="L127" i="13"/>
  <c r="K127" i="13"/>
  <c r="J127" i="13"/>
  <c r="I127" i="13"/>
  <c r="H127" i="13"/>
  <c r="G127" i="13"/>
  <c r="F127" i="13"/>
  <c r="E127" i="13"/>
  <c r="R127" i="13" s="1"/>
  <c r="D127" i="13"/>
  <c r="C127" i="13"/>
  <c r="R126" i="13"/>
  <c r="Q126" i="13"/>
  <c r="U126" i="13" s="1"/>
  <c r="P124" i="13"/>
  <c r="O124" i="13"/>
  <c r="O128" i="13" s="1"/>
  <c r="O135" i="13" s="1"/>
  <c r="N124" i="13"/>
  <c r="M124" i="13"/>
  <c r="L124" i="13"/>
  <c r="K124" i="13"/>
  <c r="K128" i="13" s="1"/>
  <c r="J124" i="13"/>
  <c r="I124" i="13"/>
  <c r="R124" i="13" s="1"/>
  <c r="H124" i="13"/>
  <c r="G124" i="13"/>
  <c r="F124" i="13"/>
  <c r="F128" i="13" s="1"/>
  <c r="E124" i="13"/>
  <c r="E128" i="13" s="1"/>
  <c r="D124" i="13"/>
  <c r="D128" i="13" s="1"/>
  <c r="C124" i="13"/>
  <c r="R123" i="13"/>
  <c r="Q123" i="13"/>
  <c r="U123" i="13" s="1"/>
  <c r="O121" i="13"/>
  <c r="F121" i="13"/>
  <c r="E121" i="13"/>
  <c r="C121" i="13"/>
  <c r="R120" i="13"/>
  <c r="Q120" i="13"/>
  <c r="U120" i="13" s="1"/>
  <c r="R119" i="13"/>
  <c r="Q119" i="13"/>
  <c r="U119" i="13" s="1"/>
  <c r="R118" i="13"/>
  <c r="Q118" i="13"/>
  <c r="U118" i="13" s="1"/>
  <c r="U117" i="13"/>
  <c r="R117" i="13"/>
  <c r="Q117" i="13"/>
  <c r="R116" i="13"/>
  <c r="Q116" i="13"/>
  <c r="U116" i="13" s="1"/>
  <c r="R115" i="13"/>
  <c r="Q115" i="13"/>
  <c r="U115" i="13" s="1"/>
  <c r="R114" i="13"/>
  <c r="Q114" i="13"/>
  <c r="U114" i="13" s="1"/>
  <c r="U113" i="13"/>
  <c r="R113" i="13"/>
  <c r="Q113" i="13"/>
  <c r="R112" i="13"/>
  <c r="Q112" i="13"/>
  <c r="U112" i="13" s="1"/>
  <c r="R111" i="13"/>
  <c r="Q111" i="13"/>
  <c r="U111" i="13" s="1"/>
  <c r="R110" i="13"/>
  <c r="Q110" i="13"/>
  <c r="U110" i="13" s="1"/>
  <c r="U109" i="13"/>
  <c r="R109" i="13"/>
  <c r="Q109" i="13"/>
  <c r="R108" i="13"/>
  <c r="Q108" i="13"/>
  <c r="U108" i="13" s="1"/>
  <c r="R107" i="13"/>
  <c r="Q107" i="13"/>
  <c r="U107" i="13" s="1"/>
  <c r="R106" i="13"/>
  <c r="Q106" i="13"/>
  <c r="U106" i="13" s="1"/>
  <c r="U105" i="13"/>
  <c r="R105" i="13"/>
  <c r="Q105" i="13"/>
  <c r="P104" i="13"/>
  <c r="P121" i="13" s="1"/>
  <c r="O104" i="13"/>
  <c r="N104" i="13"/>
  <c r="N121" i="13" s="1"/>
  <c r="M104" i="13"/>
  <c r="M121" i="13" s="1"/>
  <c r="M128" i="13" s="1"/>
  <c r="L104" i="13"/>
  <c r="L121" i="13" s="1"/>
  <c r="L128" i="13" s="1"/>
  <c r="K104" i="13"/>
  <c r="K121" i="13" s="1"/>
  <c r="J104" i="13"/>
  <c r="J121" i="13" s="1"/>
  <c r="J128" i="13" s="1"/>
  <c r="I104" i="13"/>
  <c r="I121" i="13" s="1"/>
  <c r="I128" i="13" s="1"/>
  <c r="I135" i="13" s="1"/>
  <c r="H104" i="13"/>
  <c r="H121" i="13" s="1"/>
  <c r="H128" i="13" s="1"/>
  <c r="H135" i="13" s="1"/>
  <c r="G104" i="13"/>
  <c r="Q104" i="13" s="1"/>
  <c r="F104" i="13"/>
  <c r="E104" i="13"/>
  <c r="R104" i="13" s="1"/>
  <c r="R103" i="13"/>
  <c r="Q103" i="13"/>
  <c r="U103" i="13" s="1"/>
  <c r="R102" i="13"/>
  <c r="Q102" i="13"/>
  <c r="U102" i="13" s="1"/>
  <c r="R101" i="13"/>
  <c r="Q101" i="13"/>
  <c r="U101" i="13" s="1"/>
  <c r="U100" i="13"/>
  <c r="R100" i="13"/>
  <c r="Q100" i="13"/>
  <c r="D100" i="13"/>
  <c r="D121" i="13" s="1"/>
  <c r="U99" i="13"/>
  <c r="R99" i="13"/>
  <c r="Q99" i="13"/>
  <c r="U98" i="13"/>
  <c r="R98" i="13"/>
  <c r="Q98" i="13"/>
  <c r="R97" i="13"/>
  <c r="Q97" i="13"/>
  <c r="Q121" i="13" s="1"/>
  <c r="P95" i="13"/>
  <c r="O95" i="13"/>
  <c r="N95" i="13"/>
  <c r="M95" i="13"/>
  <c r="L95" i="13"/>
  <c r="K95" i="13"/>
  <c r="J95" i="13"/>
  <c r="I95" i="13"/>
  <c r="H95" i="13"/>
  <c r="G95" i="13"/>
  <c r="F95" i="13"/>
  <c r="E95" i="13"/>
  <c r="R95" i="13" s="1"/>
  <c r="D95" i="13"/>
  <c r="C95" i="13"/>
  <c r="U94" i="13"/>
  <c r="R94" i="13"/>
  <c r="Q94" i="13"/>
  <c r="U93" i="13"/>
  <c r="R93" i="13"/>
  <c r="Q93" i="13"/>
  <c r="R92" i="13"/>
  <c r="Q92" i="13"/>
  <c r="Q95" i="13" s="1"/>
  <c r="D92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R90" i="13" s="1"/>
  <c r="D90" i="13"/>
  <c r="C90" i="13"/>
  <c r="C128" i="13" s="1"/>
  <c r="R89" i="13"/>
  <c r="Q89" i="13"/>
  <c r="U89" i="13" s="1"/>
  <c r="R88" i="13"/>
  <c r="Q88" i="13"/>
  <c r="U88" i="13" s="1"/>
  <c r="R87" i="13"/>
  <c r="Q87" i="13"/>
  <c r="U87" i="13" s="1"/>
  <c r="R86" i="13"/>
  <c r="Q86" i="13"/>
  <c r="U86" i="13" s="1"/>
  <c r="R85" i="13"/>
  <c r="Q85" i="13"/>
  <c r="U85" i="13" s="1"/>
  <c r="R84" i="13"/>
  <c r="Q84" i="13"/>
  <c r="Q90" i="13" s="1"/>
  <c r="P82" i="13"/>
  <c r="O82" i="13"/>
  <c r="N82" i="13"/>
  <c r="M82" i="13"/>
  <c r="L82" i="13"/>
  <c r="K82" i="13"/>
  <c r="J82" i="13"/>
  <c r="I82" i="13"/>
  <c r="H82" i="13"/>
  <c r="G82" i="13"/>
  <c r="F82" i="13"/>
  <c r="E82" i="13"/>
  <c r="R82" i="13" s="1"/>
  <c r="D82" i="13"/>
  <c r="C82" i="13"/>
  <c r="R81" i="13"/>
  <c r="Q81" i="13"/>
  <c r="U81" i="13" s="1"/>
  <c r="U80" i="13"/>
  <c r="R80" i="13"/>
  <c r="Q80" i="13"/>
  <c r="R79" i="13"/>
  <c r="Q79" i="13"/>
  <c r="U79" i="13" s="1"/>
  <c r="R78" i="13"/>
  <c r="Q78" i="13"/>
  <c r="U78" i="13" s="1"/>
  <c r="P76" i="13"/>
  <c r="O76" i="13"/>
  <c r="R76" i="13" s="1"/>
  <c r="N76" i="13"/>
  <c r="M76" i="13"/>
  <c r="L76" i="13"/>
  <c r="K76" i="13"/>
  <c r="H76" i="13"/>
  <c r="G76" i="13"/>
  <c r="F76" i="13"/>
  <c r="E76" i="13"/>
  <c r="D76" i="13"/>
  <c r="C76" i="13"/>
  <c r="R75" i="13"/>
  <c r="Q75" i="13"/>
  <c r="U75" i="13" s="1"/>
  <c r="P73" i="13"/>
  <c r="O73" i="13"/>
  <c r="N73" i="13"/>
  <c r="M73" i="13"/>
  <c r="L73" i="13"/>
  <c r="K73" i="13"/>
  <c r="J73" i="13"/>
  <c r="I73" i="13"/>
  <c r="H73" i="13"/>
  <c r="G73" i="13"/>
  <c r="F73" i="13"/>
  <c r="E73" i="13"/>
  <c r="R73" i="13" s="1"/>
  <c r="D73" i="13"/>
  <c r="C73" i="13"/>
  <c r="R72" i="13"/>
  <c r="Q72" i="13"/>
  <c r="U72" i="13" s="1"/>
  <c r="R71" i="13"/>
  <c r="Q71" i="13"/>
  <c r="U71" i="13" s="1"/>
  <c r="R70" i="13"/>
  <c r="Q70" i="13"/>
  <c r="U70" i="13" s="1"/>
  <c r="R69" i="13"/>
  <c r="Q69" i="13"/>
  <c r="U69" i="13" s="1"/>
  <c r="R68" i="13"/>
  <c r="Q68" i="13"/>
  <c r="U68" i="13" s="1"/>
  <c r="R67" i="13"/>
  <c r="Q67" i="13"/>
  <c r="U67" i="13" s="1"/>
  <c r="R66" i="13"/>
  <c r="Q66" i="13"/>
  <c r="U66" i="13" s="1"/>
  <c r="R65" i="13"/>
  <c r="Q65" i="13"/>
  <c r="U65" i="13" s="1"/>
  <c r="R64" i="13"/>
  <c r="Q64" i="13"/>
  <c r="U64" i="13" s="1"/>
  <c r="P62" i="13"/>
  <c r="O62" i="13"/>
  <c r="N62" i="13"/>
  <c r="M62" i="13"/>
  <c r="L62" i="13"/>
  <c r="K62" i="13"/>
  <c r="J62" i="13"/>
  <c r="I62" i="13"/>
  <c r="H62" i="13"/>
  <c r="G62" i="13"/>
  <c r="F62" i="13"/>
  <c r="E62" i="13"/>
  <c r="R62" i="13" s="1"/>
  <c r="D62" i="13"/>
  <c r="C62" i="13"/>
  <c r="R61" i="13"/>
  <c r="Q61" i="13"/>
  <c r="U61" i="13" s="1"/>
  <c r="R60" i="13"/>
  <c r="Q60" i="13"/>
  <c r="U60" i="13" s="1"/>
  <c r="U59" i="13"/>
  <c r="R59" i="13"/>
  <c r="Q59" i="13"/>
  <c r="R58" i="13"/>
  <c r="Q58" i="13"/>
  <c r="U58" i="13" s="1"/>
  <c r="R57" i="13"/>
  <c r="Q57" i="13"/>
  <c r="U57" i="13" s="1"/>
  <c r="R56" i="13"/>
  <c r="Q56" i="13"/>
  <c r="U56" i="13" s="1"/>
  <c r="U55" i="13"/>
  <c r="R55" i="13"/>
  <c r="Q55" i="13"/>
  <c r="R54" i="13"/>
  <c r="Q54" i="13"/>
  <c r="U54" i="13" s="1"/>
  <c r="R53" i="13"/>
  <c r="Q53" i="13"/>
  <c r="U53" i="13" s="1"/>
  <c r="R52" i="13"/>
  <c r="Q52" i="13"/>
  <c r="U52" i="13" s="1"/>
  <c r="U51" i="13"/>
  <c r="R51" i="13"/>
  <c r="Q51" i="13"/>
  <c r="R50" i="13"/>
  <c r="Q50" i="13"/>
  <c r="U50" i="13" s="1"/>
  <c r="P48" i="13"/>
  <c r="O48" i="13"/>
  <c r="N48" i="13"/>
  <c r="M48" i="13"/>
  <c r="L48" i="13"/>
  <c r="K48" i="13"/>
  <c r="J48" i="13"/>
  <c r="I48" i="13"/>
  <c r="H48" i="13"/>
  <c r="G48" i="13"/>
  <c r="F48" i="13"/>
  <c r="E48" i="13"/>
  <c r="R48" i="13" s="1"/>
  <c r="D48" i="13"/>
  <c r="C48" i="13"/>
  <c r="R47" i="13"/>
  <c r="Q47" i="13"/>
  <c r="U47" i="13" s="1"/>
  <c r="R46" i="13"/>
  <c r="Q46" i="13"/>
  <c r="U46" i="13" s="1"/>
  <c r="R45" i="13"/>
  <c r="Q45" i="13"/>
  <c r="U45" i="13" s="1"/>
  <c r="R44" i="13"/>
  <c r="Q44" i="13"/>
  <c r="U44" i="13" s="1"/>
  <c r="R43" i="13"/>
  <c r="Q43" i="13"/>
  <c r="U43" i="13" s="1"/>
  <c r="R42" i="13"/>
  <c r="Q42" i="13"/>
  <c r="U42" i="13" s="1"/>
  <c r="R41" i="13"/>
  <c r="Q41" i="13"/>
  <c r="U41" i="13" s="1"/>
  <c r="R40" i="13"/>
  <c r="Q40" i="13"/>
  <c r="U40" i="13" s="1"/>
  <c r="R39" i="13"/>
  <c r="Q39" i="13"/>
  <c r="U39" i="13" s="1"/>
  <c r="R38" i="13"/>
  <c r="Q38" i="13"/>
  <c r="U38" i="13" s="1"/>
  <c r="R37" i="13"/>
  <c r="Q37" i="13"/>
  <c r="U37" i="13" s="1"/>
  <c r="C33" i="13"/>
  <c r="C34" i="13" s="1"/>
  <c r="D32" i="13"/>
  <c r="C32" i="13"/>
  <c r="O31" i="13"/>
  <c r="O32" i="13" s="1"/>
  <c r="N31" i="13"/>
  <c r="N32" i="13" s="1"/>
  <c r="M31" i="13"/>
  <c r="M32" i="13" s="1"/>
  <c r="L31" i="13"/>
  <c r="L32" i="13" s="1"/>
  <c r="K31" i="13"/>
  <c r="K32" i="13" s="1"/>
  <c r="G31" i="13"/>
  <c r="G32" i="13" s="1"/>
  <c r="E31" i="13"/>
  <c r="E32" i="13" s="1"/>
  <c r="D31" i="13"/>
  <c r="G29" i="13"/>
  <c r="G33" i="13" s="1"/>
  <c r="G34" i="13" s="1"/>
  <c r="E29" i="13"/>
  <c r="E33" i="13" s="1"/>
  <c r="C29" i="13"/>
  <c r="D29" i="13" s="1"/>
  <c r="D33" i="13" s="1"/>
  <c r="D34" i="13" s="1"/>
  <c r="O28" i="13"/>
  <c r="O29" i="13" s="1"/>
  <c r="M28" i="13"/>
  <c r="M29" i="13" s="1"/>
  <c r="M33" i="13" s="1"/>
  <c r="M34" i="13" s="1"/>
  <c r="L28" i="13"/>
  <c r="L29" i="13" s="1"/>
  <c r="L33" i="13" s="1"/>
  <c r="L34" i="13" s="1"/>
  <c r="D28" i="13"/>
  <c r="P27" i="13"/>
  <c r="R27" i="13" s="1"/>
  <c r="O27" i="13"/>
  <c r="N27" i="13"/>
  <c r="M27" i="13"/>
  <c r="L27" i="13"/>
  <c r="K27" i="13"/>
  <c r="Q27" i="13" s="1"/>
  <c r="U27" i="13" s="1"/>
  <c r="D27" i="13"/>
  <c r="P26" i="13"/>
  <c r="Q26" i="13" s="1"/>
  <c r="U26" i="13" s="1"/>
  <c r="O26" i="13"/>
  <c r="N26" i="13"/>
  <c r="M26" i="13"/>
  <c r="L26" i="13"/>
  <c r="K26" i="13"/>
  <c r="J26" i="13"/>
  <c r="J31" i="13" s="1"/>
  <c r="J32" i="13" s="1"/>
  <c r="I26" i="13"/>
  <c r="I31" i="13" s="1"/>
  <c r="I32" i="13" s="1"/>
  <c r="H26" i="13"/>
  <c r="H31" i="13" s="1"/>
  <c r="H32" i="13" s="1"/>
  <c r="G26" i="13"/>
  <c r="F26" i="13"/>
  <c r="F31" i="13" s="1"/>
  <c r="F32" i="13" s="1"/>
  <c r="E26" i="13"/>
  <c r="D26" i="13"/>
  <c r="R25" i="13"/>
  <c r="Q25" i="13"/>
  <c r="U25" i="13" s="1"/>
  <c r="D25" i="13"/>
  <c r="P24" i="13"/>
  <c r="O24" i="13"/>
  <c r="N24" i="13"/>
  <c r="M24" i="13"/>
  <c r="L24" i="13"/>
  <c r="K24" i="13"/>
  <c r="R24" i="13" s="1"/>
  <c r="D24" i="13"/>
  <c r="R21" i="13"/>
  <c r="Q21" i="13"/>
  <c r="U21" i="13" s="1"/>
  <c r="R20" i="13"/>
  <c r="Q20" i="13"/>
  <c r="U20" i="13" s="1"/>
  <c r="R19" i="13"/>
  <c r="Q19" i="13"/>
  <c r="U19" i="13" s="1"/>
  <c r="U18" i="13"/>
  <c r="R18" i="13"/>
  <c r="Q18" i="13"/>
  <c r="R17" i="13"/>
  <c r="Q17" i="13"/>
  <c r="U17" i="13" s="1"/>
  <c r="R16" i="13"/>
  <c r="Q16" i="13"/>
  <c r="U16" i="13" s="1"/>
  <c r="P14" i="13"/>
  <c r="P28" i="13" s="1"/>
  <c r="O14" i="13"/>
  <c r="N14" i="13"/>
  <c r="N28" i="13" s="1"/>
  <c r="M14" i="13"/>
  <c r="L14" i="13"/>
  <c r="K14" i="13"/>
  <c r="K28" i="13" s="1"/>
  <c r="J14" i="13"/>
  <c r="I14" i="13"/>
  <c r="H14" i="13"/>
  <c r="G14" i="13"/>
  <c r="F14" i="13"/>
  <c r="E14" i="13"/>
  <c r="R14" i="13" s="1"/>
  <c r="D14" i="13"/>
  <c r="C14" i="13"/>
  <c r="R13" i="13"/>
  <c r="Q13" i="13"/>
  <c r="U13" i="13" s="1"/>
  <c r="R12" i="13"/>
  <c r="Q12" i="13"/>
  <c r="U12" i="13" s="1"/>
  <c r="R11" i="13"/>
  <c r="Q11" i="13"/>
  <c r="U11" i="13" s="1"/>
  <c r="U10" i="13"/>
  <c r="R10" i="13"/>
  <c r="Q10" i="13"/>
  <c r="R9" i="13"/>
  <c r="Q9" i="13"/>
  <c r="U9" i="13" s="1"/>
  <c r="U8" i="13"/>
  <c r="R8" i="13"/>
  <c r="Q8" i="13"/>
  <c r="R7" i="13"/>
  <c r="Q7" i="13"/>
  <c r="Q14" i="13" s="1"/>
  <c r="U14" i="13" s="1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R133" i="12"/>
  <c r="Q133" i="12"/>
  <c r="U133" i="12" s="1"/>
  <c r="R132" i="12"/>
  <c r="Q132" i="12"/>
  <c r="Q134" i="12" s="1"/>
  <c r="P127" i="12"/>
  <c r="O127" i="12"/>
  <c r="N127" i="12"/>
  <c r="M127" i="12"/>
  <c r="L127" i="12"/>
  <c r="K127" i="12"/>
  <c r="J127" i="12"/>
  <c r="I127" i="12"/>
  <c r="R127" i="12" s="1"/>
  <c r="H127" i="12"/>
  <c r="G127" i="12"/>
  <c r="F127" i="12"/>
  <c r="E127" i="12"/>
  <c r="R126" i="12"/>
  <c r="Q126" i="12"/>
  <c r="U126" i="12" s="1"/>
  <c r="C126" i="12"/>
  <c r="C127" i="12" s="1"/>
  <c r="R124" i="12"/>
  <c r="Q124" i="12"/>
  <c r="P124" i="12"/>
  <c r="O124" i="12"/>
  <c r="N124" i="12"/>
  <c r="N128" i="12" s="1"/>
  <c r="M124" i="12"/>
  <c r="L124" i="12"/>
  <c r="K124" i="12"/>
  <c r="J124" i="12"/>
  <c r="I124" i="12"/>
  <c r="H124" i="12"/>
  <c r="G124" i="12"/>
  <c r="F124" i="12"/>
  <c r="F128" i="12" s="1"/>
  <c r="E124" i="12"/>
  <c r="E128" i="12" s="1"/>
  <c r="D124" i="12"/>
  <c r="C124" i="12"/>
  <c r="U123" i="12"/>
  <c r="R123" i="12"/>
  <c r="Q123" i="12"/>
  <c r="H121" i="12"/>
  <c r="G121" i="12"/>
  <c r="G128" i="12" s="1"/>
  <c r="R120" i="12"/>
  <c r="Q120" i="12"/>
  <c r="U120" i="12" s="1"/>
  <c r="R119" i="12"/>
  <c r="Q119" i="12"/>
  <c r="U119" i="12" s="1"/>
  <c r="R118" i="12"/>
  <c r="Q118" i="12"/>
  <c r="U118" i="12" s="1"/>
  <c r="R117" i="12"/>
  <c r="Q117" i="12"/>
  <c r="U117" i="12" s="1"/>
  <c r="R116" i="12"/>
  <c r="Q116" i="12"/>
  <c r="U116" i="12" s="1"/>
  <c r="R115" i="12"/>
  <c r="Q115" i="12"/>
  <c r="U115" i="12" s="1"/>
  <c r="R114" i="12"/>
  <c r="Q114" i="12"/>
  <c r="U114" i="12" s="1"/>
  <c r="R113" i="12"/>
  <c r="Q113" i="12"/>
  <c r="U113" i="12" s="1"/>
  <c r="R112" i="12"/>
  <c r="Q112" i="12"/>
  <c r="U112" i="12" s="1"/>
  <c r="R111" i="12"/>
  <c r="Q111" i="12"/>
  <c r="U111" i="12" s="1"/>
  <c r="R110" i="12"/>
  <c r="Q110" i="12"/>
  <c r="U110" i="12" s="1"/>
  <c r="R109" i="12"/>
  <c r="Q109" i="12"/>
  <c r="U109" i="12" s="1"/>
  <c r="R108" i="12"/>
  <c r="Q108" i="12"/>
  <c r="U108" i="12" s="1"/>
  <c r="R107" i="12"/>
  <c r="Q107" i="12"/>
  <c r="U107" i="12" s="1"/>
  <c r="R106" i="12"/>
  <c r="Q106" i="12"/>
  <c r="U106" i="12" s="1"/>
  <c r="R105" i="12"/>
  <c r="Q105" i="12"/>
  <c r="U105" i="12" s="1"/>
  <c r="P104" i="12"/>
  <c r="P121" i="12" s="1"/>
  <c r="O104" i="12"/>
  <c r="O121" i="12" s="1"/>
  <c r="N104" i="12"/>
  <c r="N121" i="12" s="1"/>
  <c r="M104" i="12"/>
  <c r="M121" i="12" s="1"/>
  <c r="M128" i="12" s="1"/>
  <c r="L104" i="12"/>
  <c r="L121" i="12" s="1"/>
  <c r="L128" i="12" s="1"/>
  <c r="K104" i="12"/>
  <c r="K121" i="12" s="1"/>
  <c r="K128" i="12" s="1"/>
  <c r="J104" i="12"/>
  <c r="J121" i="12" s="1"/>
  <c r="J128" i="12" s="1"/>
  <c r="I104" i="12"/>
  <c r="I121" i="12" s="1"/>
  <c r="I128" i="12" s="1"/>
  <c r="I135" i="12" s="1"/>
  <c r="H104" i="12"/>
  <c r="G104" i="12"/>
  <c r="F104" i="12"/>
  <c r="F121" i="12" s="1"/>
  <c r="E104" i="12"/>
  <c r="E121" i="12" s="1"/>
  <c r="D104" i="12"/>
  <c r="R103" i="12"/>
  <c r="Q103" i="12"/>
  <c r="U103" i="12" s="1"/>
  <c r="R102" i="12"/>
  <c r="Q102" i="12"/>
  <c r="U102" i="12" s="1"/>
  <c r="U101" i="12"/>
  <c r="R101" i="12"/>
  <c r="Q101" i="12"/>
  <c r="C101" i="12"/>
  <c r="D101" i="12" s="1"/>
  <c r="D121" i="12" s="1"/>
  <c r="U100" i="12"/>
  <c r="R100" i="12"/>
  <c r="Q100" i="12"/>
  <c r="R99" i="12"/>
  <c r="Q99" i="12"/>
  <c r="U99" i="12" s="1"/>
  <c r="R98" i="12"/>
  <c r="Q98" i="12"/>
  <c r="U98" i="12" s="1"/>
  <c r="U97" i="12"/>
  <c r="R97" i="12"/>
  <c r="Q97" i="12"/>
  <c r="P95" i="12"/>
  <c r="O95" i="12"/>
  <c r="N95" i="12"/>
  <c r="M95" i="12"/>
  <c r="L95" i="12"/>
  <c r="K95" i="12"/>
  <c r="J95" i="12"/>
  <c r="I95" i="12"/>
  <c r="H95" i="12"/>
  <c r="H128" i="12" s="1"/>
  <c r="H135" i="12" s="1"/>
  <c r="G95" i="12"/>
  <c r="F95" i="12"/>
  <c r="E95" i="12"/>
  <c r="R95" i="12" s="1"/>
  <c r="D95" i="12"/>
  <c r="C95" i="12"/>
  <c r="R94" i="12"/>
  <c r="Q94" i="12"/>
  <c r="U94" i="12" s="1"/>
  <c r="R93" i="12"/>
  <c r="Q93" i="12"/>
  <c r="U93" i="12" s="1"/>
  <c r="U92" i="12"/>
  <c r="R92" i="12"/>
  <c r="Q92" i="12"/>
  <c r="Q95" i="12" s="1"/>
  <c r="P90" i="12"/>
  <c r="O90" i="12"/>
  <c r="N90" i="12"/>
  <c r="M90" i="12"/>
  <c r="L90" i="12"/>
  <c r="K90" i="12"/>
  <c r="J90" i="12"/>
  <c r="I90" i="12"/>
  <c r="H90" i="12"/>
  <c r="G90" i="12"/>
  <c r="F90" i="12"/>
  <c r="R90" i="12" s="1"/>
  <c r="E90" i="12"/>
  <c r="D90" i="12"/>
  <c r="C90" i="12"/>
  <c r="R89" i="12"/>
  <c r="Q89" i="12"/>
  <c r="U89" i="12" s="1"/>
  <c r="U88" i="12"/>
  <c r="R88" i="12"/>
  <c r="Q88" i="12"/>
  <c r="R87" i="12"/>
  <c r="Q87" i="12"/>
  <c r="U87" i="12" s="1"/>
  <c r="U86" i="12"/>
  <c r="R86" i="12"/>
  <c r="Q86" i="12"/>
  <c r="U85" i="12"/>
  <c r="R85" i="12"/>
  <c r="Q85" i="12"/>
  <c r="U84" i="12"/>
  <c r="R84" i="12"/>
  <c r="Q84" i="12"/>
  <c r="Q90" i="12" s="1"/>
  <c r="Q82" i="12"/>
  <c r="U82" i="12" s="1"/>
  <c r="P82" i="12"/>
  <c r="R82" i="12" s="1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U81" i="12"/>
  <c r="R81" i="12"/>
  <c r="Q81" i="12"/>
  <c r="U80" i="12"/>
  <c r="R80" i="12"/>
  <c r="Q80" i="12"/>
  <c r="R79" i="12"/>
  <c r="Q79" i="12"/>
  <c r="U79" i="12" s="1"/>
  <c r="R78" i="12"/>
  <c r="Q78" i="12"/>
  <c r="U78" i="12" s="1"/>
  <c r="R76" i="12"/>
  <c r="P76" i="12"/>
  <c r="O76" i="12"/>
  <c r="N76" i="12"/>
  <c r="M76" i="12"/>
  <c r="L76" i="12"/>
  <c r="K76" i="12"/>
  <c r="H76" i="12"/>
  <c r="G76" i="12"/>
  <c r="F76" i="12"/>
  <c r="E76" i="12"/>
  <c r="D76" i="12"/>
  <c r="C76" i="12"/>
  <c r="U75" i="12"/>
  <c r="R75" i="12"/>
  <c r="Q75" i="12"/>
  <c r="Q76" i="12" s="1"/>
  <c r="P73" i="12"/>
  <c r="O73" i="12"/>
  <c r="N73" i="12"/>
  <c r="M73" i="12"/>
  <c r="L73" i="12"/>
  <c r="K73" i="12"/>
  <c r="J73" i="12"/>
  <c r="I73" i="12"/>
  <c r="H73" i="12"/>
  <c r="G73" i="12"/>
  <c r="F73" i="12"/>
  <c r="E73" i="12"/>
  <c r="R73" i="12" s="1"/>
  <c r="D73" i="12"/>
  <c r="C73" i="12"/>
  <c r="R72" i="12"/>
  <c r="Q72" i="12"/>
  <c r="U72" i="12" s="1"/>
  <c r="R71" i="12"/>
  <c r="Q71" i="12"/>
  <c r="U71" i="12" s="1"/>
  <c r="R70" i="12"/>
  <c r="Q70" i="12"/>
  <c r="U70" i="12" s="1"/>
  <c r="U69" i="12"/>
  <c r="R69" i="12"/>
  <c r="Q69" i="12"/>
  <c r="R68" i="12"/>
  <c r="Q68" i="12"/>
  <c r="U68" i="12" s="1"/>
  <c r="R67" i="12"/>
  <c r="Q67" i="12"/>
  <c r="U67" i="12" s="1"/>
  <c r="R66" i="12"/>
  <c r="Q66" i="12"/>
  <c r="U66" i="12" s="1"/>
  <c r="U65" i="12"/>
  <c r="R65" i="12"/>
  <c r="Q65" i="12"/>
  <c r="R64" i="12"/>
  <c r="Q64" i="12"/>
  <c r="U64" i="12" s="1"/>
  <c r="P62" i="12"/>
  <c r="O62" i="12"/>
  <c r="N62" i="12"/>
  <c r="M62" i="12"/>
  <c r="L62" i="12"/>
  <c r="K62" i="12"/>
  <c r="J62" i="12"/>
  <c r="I62" i="12"/>
  <c r="H62" i="12"/>
  <c r="G62" i="12"/>
  <c r="F62" i="12"/>
  <c r="E62" i="12"/>
  <c r="R62" i="12" s="1"/>
  <c r="D62" i="12"/>
  <c r="C62" i="12"/>
  <c r="R61" i="12"/>
  <c r="Q61" i="12"/>
  <c r="U61" i="12" s="1"/>
  <c r="U60" i="12"/>
  <c r="R60" i="12"/>
  <c r="Q60" i="12"/>
  <c r="R59" i="12"/>
  <c r="Q59" i="12"/>
  <c r="U59" i="12" s="1"/>
  <c r="R58" i="12"/>
  <c r="Q58" i="12"/>
  <c r="U58" i="12" s="1"/>
  <c r="R57" i="12"/>
  <c r="Q57" i="12"/>
  <c r="U57" i="12" s="1"/>
  <c r="U56" i="12"/>
  <c r="R56" i="12"/>
  <c r="Q56" i="12"/>
  <c r="R55" i="12"/>
  <c r="Q55" i="12"/>
  <c r="U55" i="12" s="1"/>
  <c r="R54" i="12"/>
  <c r="Q54" i="12"/>
  <c r="U54" i="12" s="1"/>
  <c r="R53" i="12"/>
  <c r="Q53" i="12"/>
  <c r="U53" i="12" s="1"/>
  <c r="U52" i="12"/>
  <c r="R52" i="12"/>
  <c r="Q52" i="12"/>
  <c r="R51" i="12"/>
  <c r="Q51" i="12"/>
  <c r="U51" i="12" s="1"/>
  <c r="R50" i="12"/>
  <c r="Q50" i="12"/>
  <c r="U50" i="12" s="1"/>
  <c r="P48" i="12"/>
  <c r="O48" i="12"/>
  <c r="N48" i="12"/>
  <c r="M48" i="12"/>
  <c r="L48" i="12"/>
  <c r="K48" i="12"/>
  <c r="J48" i="12"/>
  <c r="I48" i="12"/>
  <c r="H48" i="12"/>
  <c r="G48" i="12"/>
  <c r="F48" i="12"/>
  <c r="E48" i="12"/>
  <c r="R48" i="12" s="1"/>
  <c r="D48" i="12"/>
  <c r="C48" i="12"/>
  <c r="R47" i="12"/>
  <c r="Q47" i="12"/>
  <c r="U47" i="12" s="1"/>
  <c r="U46" i="12"/>
  <c r="R46" i="12"/>
  <c r="Q46" i="12"/>
  <c r="R45" i="12"/>
  <c r="Q45" i="12"/>
  <c r="U45" i="12" s="1"/>
  <c r="R44" i="12"/>
  <c r="Q44" i="12"/>
  <c r="U44" i="12" s="1"/>
  <c r="R43" i="12"/>
  <c r="Q43" i="12"/>
  <c r="U43" i="12" s="1"/>
  <c r="U42" i="12"/>
  <c r="R42" i="12"/>
  <c r="Q42" i="12"/>
  <c r="R41" i="12"/>
  <c r="Q41" i="12"/>
  <c r="U41" i="12" s="1"/>
  <c r="R40" i="12"/>
  <c r="Q40" i="12"/>
  <c r="U40" i="12" s="1"/>
  <c r="R39" i="12"/>
  <c r="Q39" i="12"/>
  <c r="U39" i="12" s="1"/>
  <c r="U38" i="12"/>
  <c r="R38" i="12"/>
  <c r="Q38" i="12"/>
  <c r="R37" i="12"/>
  <c r="Q37" i="12"/>
  <c r="U37" i="12" s="1"/>
  <c r="C32" i="12"/>
  <c r="O31" i="12"/>
  <c r="O32" i="12" s="1"/>
  <c r="N31" i="12"/>
  <c r="N32" i="12" s="1"/>
  <c r="D31" i="12"/>
  <c r="D32" i="12" s="1"/>
  <c r="C29" i="12"/>
  <c r="C33" i="12" s="1"/>
  <c r="C34" i="12" s="1"/>
  <c r="P28" i="12"/>
  <c r="O28" i="12"/>
  <c r="O29" i="12" s="1"/>
  <c r="O33" i="12" s="1"/>
  <c r="O34" i="12" s="1"/>
  <c r="D28" i="12"/>
  <c r="P27" i="12"/>
  <c r="O27" i="12"/>
  <c r="N27" i="12"/>
  <c r="M27" i="12"/>
  <c r="L27" i="12"/>
  <c r="K27" i="12"/>
  <c r="R27" i="12" s="1"/>
  <c r="D27" i="12"/>
  <c r="P26" i="12"/>
  <c r="P31" i="12" s="1"/>
  <c r="P32" i="12" s="1"/>
  <c r="O26" i="12"/>
  <c r="N26" i="12"/>
  <c r="M26" i="12"/>
  <c r="M31" i="12" s="1"/>
  <c r="M32" i="12" s="1"/>
  <c r="L26" i="12"/>
  <c r="L31" i="12" s="1"/>
  <c r="L32" i="12" s="1"/>
  <c r="K26" i="12"/>
  <c r="K31" i="12" s="1"/>
  <c r="K32" i="12" s="1"/>
  <c r="J26" i="12"/>
  <c r="J31" i="12" s="1"/>
  <c r="J32" i="12" s="1"/>
  <c r="I26" i="12"/>
  <c r="I31" i="12" s="1"/>
  <c r="I32" i="12" s="1"/>
  <c r="H26" i="12"/>
  <c r="H31" i="12" s="1"/>
  <c r="H32" i="12" s="1"/>
  <c r="G26" i="12"/>
  <c r="G31" i="12" s="1"/>
  <c r="G32" i="12" s="1"/>
  <c r="F26" i="12"/>
  <c r="F31" i="12" s="1"/>
  <c r="F32" i="12" s="1"/>
  <c r="E26" i="12"/>
  <c r="R26" i="12" s="1"/>
  <c r="D26" i="12"/>
  <c r="U25" i="12"/>
  <c r="R25" i="12"/>
  <c r="Q25" i="12"/>
  <c r="D25" i="12"/>
  <c r="P24" i="12"/>
  <c r="P29" i="12" s="1"/>
  <c r="O24" i="12"/>
  <c r="N24" i="12"/>
  <c r="M24" i="12"/>
  <c r="L24" i="12"/>
  <c r="K24" i="12"/>
  <c r="D24" i="12"/>
  <c r="R21" i="12"/>
  <c r="Q21" i="12"/>
  <c r="U21" i="12" s="1"/>
  <c r="R20" i="12"/>
  <c r="Q20" i="12"/>
  <c r="U20" i="12" s="1"/>
  <c r="R19" i="12"/>
  <c r="Q19" i="12"/>
  <c r="U19" i="12" s="1"/>
  <c r="R18" i="12"/>
  <c r="Q18" i="12"/>
  <c r="U18" i="12" s="1"/>
  <c r="R17" i="12"/>
  <c r="Q17" i="12"/>
  <c r="U17" i="12" s="1"/>
  <c r="R16" i="12"/>
  <c r="Q16" i="12"/>
  <c r="U16" i="12" s="1"/>
  <c r="P14" i="12"/>
  <c r="O14" i="12"/>
  <c r="N14" i="12"/>
  <c r="N28" i="12" s="1"/>
  <c r="N29" i="12" s="1"/>
  <c r="N33" i="12" s="1"/>
  <c r="N34" i="12" s="1"/>
  <c r="M14" i="12"/>
  <c r="M28" i="12" s="1"/>
  <c r="L14" i="12"/>
  <c r="L28" i="12" s="1"/>
  <c r="K14" i="12"/>
  <c r="K28" i="12" s="1"/>
  <c r="J14" i="12"/>
  <c r="I14" i="12"/>
  <c r="H14" i="12"/>
  <c r="G14" i="12"/>
  <c r="F14" i="12"/>
  <c r="E14" i="12"/>
  <c r="R14" i="12" s="1"/>
  <c r="D14" i="12"/>
  <c r="C14" i="12"/>
  <c r="R13" i="12"/>
  <c r="Q13" i="12"/>
  <c r="U13" i="12" s="1"/>
  <c r="R12" i="12"/>
  <c r="Q12" i="12"/>
  <c r="U12" i="12" s="1"/>
  <c r="R11" i="12"/>
  <c r="Q11" i="12"/>
  <c r="U11" i="12" s="1"/>
  <c r="R10" i="12"/>
  <c r="Q10" i="12"/>
  <c r="U10" i="12" s="1"/>
  <c r="U9" i="12"/>
  <c r="R9" i="12"/>
  <c r="Q9" i="12"/>
  <c r="R8" i="12"/>
  <c r="Q8" i="12"/>
  <c r="U8" i="12" s="1"/>
  <c r="R7" i="12"/>
  <c r="Q7" i="12"/>
  <c r="Q14" i="12" s="1"/>
  <c r="U14" i="12" s="1"/>
  <c r="P134" i="11"/>
  <c r="O134" i="11"/>
  <c r="N134" i="11"/>
  <c r="M134" i="11"/>
  <c r="L134" i="11"/>
  <c r="K134" i="11"/>
  <c r="J134" i="11"/>
  <c r="I134" i="11"/>
  <c r="H134" i="11"/>
  <c r="G134" i="11"/>
  <c r="F134" i="11"/>
  <c r="E134" i="11"/>
  <c r="D134" i="11"/>
  <c r="C134" i="11"/>
  <c r="R133" i="11"/>
  <c r="Q133" i="11"/>
  <c r="U133" i="11" s="1"/>
  <c r="R132" i="11"/>
  <c r="Q132" i="11"/>
  <c r="Q134" i="11" s="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R127" i="11" s="1"/>
  <c r="D127" i="11"/>
  <c r="R126" i="11"/>
  <c r="Q126" i="11"/>
  <c r="U126" i="11" s="1"/>
  <c r="C126" i="11"/>
  <c r="C127" i="11" s="1"/>
  <c r="Q124" i="11"/>
  <c r="P124" i="11"/>
  <c r="P128" i="11" s="1"/>
  <c r="O124" i="11"/>
  <c r="N124" i="11"/>
  <c r="N128" i="11" s="1"/>
  <c r="N135" i="11" s="1"/>
  <c r="M124" i="11"/>
  <c r="L124" i="11"/>
  <c r="K124" i="11"/>
  <c r="J124" i="11"/>
  <c r="I124" i="11"/>
  <c r="H124" i="11"/>
  <c r="G124" i="11"/>
  <c r="F124" i="11"/>
  <c r="F128" i="11" s="1"/>
  <c r="E124" i="11"/>
  <c r="E128" i="11" s="1"/>
  <c r="D124" i="11"/>
  <c r="C124" i="11"/>
  <c r="U123" i="11"/>
  <c r="R123" i="11"/>
  <c r="Q123" i="11"/>
  <c r="G121" i="11"/>
  <c r="F121" i="11"/>
  <c r="R120" i="11"/>
  <c r="Q120" i="11"/>
  <c r="U120" i="11" s="1"/>
  <c r="R119" i="11"/>
  <c r="Q119" i="11"/>
  <c r="U119" i="11" s="1"/>
  <c r="R118" i="11"/>
  <c r="Q118" i="11"/>
  <c r="U118" i="11" s="1"/>
  <c r="U117" i="11"/>
  <c r="R117" i="11"/>
  <c r="Q117" i="11"/>
  <c r="R116" i="11"/>
  <c r="Q116" i="11"/>
  <c r="U116" i="11" s="1"/>
  <c r="R115" i="11"/>
  <c r="Q115" i="11"/>
  <c r="U115" i="11" s="1"/>
  <c r="R114" i="11"/>
  <c r="Q114" i="11"/>
  <c r="U114" i="11" s="1"/>
  <c r="U113" i="11"/>
  <c r="R113" i="11"/>
  <c r="Q113" i="11"/>
  <c r="R112" i="11"/>
  <c r="Q112" i="11"/>
  <c r="U112" i="11" s="1"/>
  <c r="R111" i="11"/>
  <c r="Q111" i="11"/>
  <c r="U111" i="11" s="1"/>
  <c r="R110" i="11"/>
  <c r="Q110" i="11"/>
  <c r="U110" i="11" s="1"/>
  <c r="U109" i="11"/>
  <c r="R109" i="11"/>
  <c r="Q109" i="11"/>
  <c r="R108" i="11"/>
  <c r="Q108" i="11"/>
  <c r="U108" i="11" s="1"/>
  <c r="R107" i="11"/>
  <c r="Q107" i="11"/>
  <c r="U107" i="11" s="1"/>
  <c r="R106" i="11"/>
  <c r="Q106" i="11"/>
  <c r="U106" i="11" s="1"/>
  <c r="U105" i="11"/>
  <c r="R105" i="11"/>
  <c r="Q105" i="11"/>
  <c r="P104" i="11"/>
  <c r="P121" i="11" s="1"/>
  <c r="O104" i="11"/>
  <c r="O121" i="11" s="1"/>
  <c r="N104" i="11"/>
  <c r="N121" i="11" s="1"/>
  <c r="M104" i="11"/>
  <c r="M121" i="11" s="1"/>
  <c r="M128" i="11" s="1"/>
  <c r="M135" i="11" s="1"/>
  <c r="L104" i="11"/>
  <c r="L121" i="11" s="1"/>
  <c r="L128" i="11" s="1"/>
  <c r="K104" i="11"/>
  <c r="K121" i="11" s="1"/>
  <c r="J104" i="11"/>
  <c r="J121" i="11" s="1"/>
  <c r="I104" i="11"/>
  <c r="I121" i="11" s="1"/>
  <c r="H104" i="11"/>
  <c r="H121" i="11" s="1"/>
  <c r="H128" i="11" s="1"/>
  <c r="H135" i="11" s="1"/>
  <c r="G104" i="11"/>
  <c r="F104" i="11"/>
  <c r="E104" i="11"/>
  <c r="E121" i="11" s="1"/>
  <c r="D104" i="11"/>
  <c r="R103" i="11"/>
  <c r="Q103" i="11"/>
  <c r="U103" i="11" s="1"/>
  <c r="C103" i="11"/>
  <c r="D103" i="11" s="1"/>
  <c r="U102" i="11"/>
  <c r="R102" i="11"/>
  <c r="Q102" i="11"/>
  <c r="U101" i="11"/>
  <c r="R101" i="11"/>
  <c r="Q101" i="11"/>
  <c r="D101" i="11"/>
  <c r="D121" i="11" s="1"/>
  <c r="C101" i="11"/>
  <c r="C121" i="11" s="1"/>
  <c r="R100" i="11"/>
  <c r="Q100" i="11"/>
  <c r="U100" i="11" s="1"/>
  <c r="R99" i="11"/>
  <c r="Q99" i="11"/>
  <c r="U99" i="11" s="1"/>
  <c r="R98" i="11"/>
  <c r="Q98" i="11"/>
  <c r="U98" i="11" s="1"/>
  <c r="U97" i="11"/>
  <c r="R97" i="11"/>
  <c r="Q97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R95" i="11" s="1"/>
  <c r="D95" i="11"/>
  <c r="C95" i="11"/>
  <c r="R94" i="11"/>
  <c r="Q94" i="11"/>
  <c r="U94" i="11" s="1"/>
  <c r="U93" i="11"/>
  <c r="R93" i="11"/>
  <c r="Q93" i="11"/>
  <c r="U92" i="11"/>
  <c r="R92" i="11"/>
  <c r="Q92" i="11"/>
  <c r="Q95" i="11" s="1"/>
  <c r="P90" i="11"/>
  <c r="O90" i="11"/>
  <c r="N90" i="11"/>
  <c r="M90" i="11"/>
  <c r="L90" i="11"/>
  <c r="K90" i="11"/>
  <c r="J90" i="11"/>
  <c r="I90" i="11"/>
  <c r="H90" i="11"/>
  <c r="G90" i="11"/>
  <c r="G128" i="11" s="1"/>
  <c r="F90" i="11"/>
  <c r="E90" i="11"/>
  <c r="R90" i="11" s="1"/>
  <c r="R89" i="11"/>
  <c r="Q89" i="11"/>
  <c r="U89" i="11" s="1"/>
  <c r="R88" i="11"/>
  <c r="Q88" i="11"/>
  <c r="U88" i="11" s="1"/>
  <c r="R87" i="11"/>
  <c r="Q87" i="11"/>
  <c r="U87" i="11" s="1"/>
  <c r="U86" i="11"/>
  <c r="R86" i="11"/>
  <c r="Q86" i="11"/>
  <c r="R85" i="11"/>
  <c r="Q85" i="11"/>
  <c r="U85" i="11" s="1"/>
  <c r="R84" i="11"/>
  <c r="Q84" i="11"/>
  <c r="Q90" i="11" s="1"/>
  <c r="C84" i="11"/>
  <c r="C90" i="11" s="1"/>
  <c r="P82" i="11"/>
  <c r="O82" i="11"/>
  <c r="N82" i="11"/>
  <c r="M82" i="11"/>
  <c r="L82" i="11"/>
  <c r="K82" i="11"/>
  <c r="J82" i="11"/>
  <c r="I82" i="11"/>
  <c r="H82" i="11"/>
  <c r="G82" i="11"/>
  <c r="F82" i="11"/>
  <c r="E82" i="11"/>
  <c r="R82" i="11" s="1"/>
  <c r="D82" i="11"/>
  <c r="C82" i="11"/>
  <c r="U81" i="11"/>
  <c r="R81" i="11"/>
  <c r="Q81" i="11"/>
  <c r="R80" i="11"/>
  <c r="Q80" i="11"/>
  <c r="U80" i="11" s="1"/>
  <c r="R79" i="11"/>
  <c r="Q79" i="11"/>
  <c r="U79" i="11" s="1"/>
  <c r="R78" i="11"/>
  <c r="Q78" i="11"/>
  <c r="Q82" i="11" s="1"/>
  <c r="D78" i="11"/>
  <c r="C78" i="11"/>
  <c r="P76" i="11"/>
  <c r="O76" i="11"/>
  <c r="N76" i="11"/>
  <c r="M76" i="11"/>
  <c r="L76" i="11"/>
  <c r="K76" i="11"/>
  <c r="H76" i="11"/>
  <c r="G76" i="11"/>
  <c r="F76" i="11"/>
  <c r="E76" i="11"/>
  <c r="R76" i="11" s="1"/>
  <c r="D76" i="11"/>
  <c r="C76" i="11"/>
  <c r="R75" i="11"/>
  <c r="Q75" i="11"/>
  <c r="U75" i="11" s="1"/>
  <c r="P73" i="11"/>
  <c r="O73" i="11"/>
  <c r="N73" i="11"/>
  <c r="M73" i="11"/>
  <c r="L73" i="11"/>
  <c r="K73" i="11"/>
  <c r="J73" i="11"/>
  <c r="I73" i="11"/>
  <c r="H73" i="11"/>
  <c r="G73" i="11"/>
  <c r="F73" i="11"/>
  <c r="E73" i="11"/>
  <c r="R73" i="11" s="1"/>
  <c r="D73" i="11"/>
  <c r="C73" i="11"/>
  <c r="R72" i="11"/>
  <c r="Q72" i="11"/>
  <c r="U72" i="11" s="1"/>
  <c r="R71" i="11"/>
  <c r="Q71" i="11"/>
  <c r="U71" i="11" s="1"/>
  <c r="U70" i="11"/>
  <c r="R70" i="11"/>
  <c r="Q70" i="11"/>
  <c r="R69" i="11"/>
  <c r="Q69" i="11"/>
  <c r="U69" i="11" s="1"/>
  <c r="R68" i="11"/>
  <c r="Q68" i="11"/>
  <c r="U68" i="11" s="1"/>
  <c r="R67" i="11"/>
  <c r="Q67" i="11"/>
  <c r="U67" i="11" s="1"/>
  <c r="U66" i="11"/>
  <c r="R66" i="11"/>
  <c r="Q66" i="11"/>
  <c r="R65" i="11"/>
  <c r="Q65" i="11"/>
  <c r="U65" i="11" s="1"/>
  <c r="R64" i="11"/>
  <c r="Q64" i="11"/>
  <c r="U64" i="11" s="1"/>
  <c r="R62" i="11"/>
  <c r="Q62" i="11"/>
  <c r="U62" i="11" s="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U61" i="11"/>
  <c r="R61" i="11"/>
  <c r="Q61" i="11"/>
  <c r="R60" i="11"/>
  <c r="Q60" i="11"/>
  <c r="U60" i="11" s="1"/>
  <c r="R59" i="11"/>
  <c r="Q59" i="11"/>
  <c r="U59" i="11" s="1"/>
  <c r="U58" i="11"/>
  <c r="R58" i="11"/>
  <c r="Q58" i="11"/>
  <c r="U57" i="11"/>
  <c r="R57" i="11"/>
  <c r="Q57" i="11"/>
  <c r="R56" i="11"/>
  <c r="Q56" i="11"/>
  <c r="U56" i="11" s="1"/>
  <c r="R55" i="11"/>
  <c r="Q55" i="11"/>
  <c r="U55" i="11" s="1"/>
  <c r="U54" i="11"/>
  <c r="R54" i="11"/>
  <c r="Q54" i="11"/>
  <c r="U53" i="11"/>
  <c r="R53" i="11"/>
  <c r="Q53" i="11"/>
  <c r="R52" i="11"/>
  <c r="Q52" i="11"/>
  <c r="U52" i="11" s="1"/>
  <c r="R51" i="11"/>
  <c r="Q51" i="11"/>
  <c r="U51" i="11" s="1"/>
  <c r="U50" i="11"/>
  <c r="R50" i="11"/>
  <c r="Q50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R48" i="11" s="1"/>
  <c r="D48" i="11"/>
  <c r="C48" i="11"/>
  <c r="U47" i="11"/>
  <c r="R47" i="11"/>
  <c r="Q47" i="11"/>
  <c r="R46" i="11"/>
  <c r="Q46" i="11"/>
  <c r="U46" i="11" s="1"/>
  <c r="U45" i="11"/>
  <c r="R45" i="11"/>
  <c r="Q45" i="11"/>
  <c r="R44" i="11"/>
  <c r="Q44" i="11"/>
  <c r="U44" i="11" s="1"/>
  <c r="U43" i="11"/>
  <c r="R43" i="11"/>
  <c r="Q43" i="11"/>
  <c r="R42" i="11"/>
  <c r="Q42" i="11"/>
  <c r="U42" i="11" s="1"/>
  <c r="U41" i="11"/>
  <c r="R41" i="11"/>
  <c r="Q41" i="11"/>
  <c r="R40" i="11"/>
  <c r="Q40" i="11"/>
  <c r="U40" i="11" s="1"/>
  <c r="U39" i="11"/>
  <c r="R39" i="11"/>
  <c r="Q39" i="11"/>
  <c r="R38" i="11"/>
  <c r="Q38" i="11"/>
  <c r="U38" i="11" s="1"/>
  <c r="U37" i="11"/>
  <c r="R37" i="11"/>
  <c r="Q37" i="11"/>
  <c r="Q48" i="11" s="1"/>
  <c r="C32" i="11"/>
  <c r="D31" i="11"/>
  <c r="D32" i="11" s="1"/>
  <c r="C29" i="11"/>
  <c r="D29" i="11" s="1"/>
  <c r="D33" i="11" s="1"/>
  <c r="D34" i="11" s="1"/>
  <c r="D28" i="11"/>
  <c r="P27" i="11"/>
  <c r="O27" i="11"/>
  <c r="N27" i="11"/>
  <c r="M27" i="11"/>
  <c r="L27" i="11"/>
  <c r="K27" i="11"/>
  <c r="R27" i="11" s="1"/>
  <c r="D27" i="11"/>
  <c r="P26" i="11"/>
  <c r="P31" i="11" s="1"/>
  <c r="P32" i="11" s="1"/>
  <c r="O26" i="11"/>
  <c r="O31" i="11" s="1"/>
  <c r="O32" i="11" s="1"/>
  <c r="N26" i="11"/>
  <c r="N31" i="11" s="1"/>
  <c r="N32" i="11" s="1"/>
  <c r="M26" i="11"/>
  <c r="M31" i="11" s="1"/>
  <c r="M32" i="11" s="1"/>
  <c r="L26" i="11"/>
  <c r="L31" i="11" s="1"/>
  <c r="L32" i="11" s="1"/>
  <c r="K26" i="11"/>
  <c r="K31" i="11" s="1"/>
  <c r="K32" i="11" s="1"/>
  <c r="J26" i="11"/>
  <c r="J31" i="11" s="1"/>
  <c r="J32" i="11" s="1"/>
  <c r="I26" i="11"/>
  <c r="I31" i="11" s="1"/>
  <c r="I32" i="11" s="1"/>
  <c r="H26" i="11"/>
  <c r="H31" i="11" s="1"/>
  <c r="H32" i="11" s="1"/>
  <c r="G26" i="11"/>
  <c r="G31" i="11" s="1"/>
  <c r="G32" i="11" s="1"/>
  <c r="F26" i="11"/>
  <c r="F31" i="11" s="1"/>
  <c r="F32" i="11" s="1"/>
  <c r="E26" i="11"/>
  <c r="R26" i="11" s="1"/>
  <c r="D26" i="11"/>
  <c r="R25" i="11"/>
  <c r="Q25" i="11"/>
  <c r="U25" i="11" s="1"/>
  <c r="D25" i="11"/>
  <c r="P24" i="11"/>
  <c r="O24" i="11"/>
  <c r="N24" i="11"/>
  <c r="M24" i="11"/>
  <c r="M29" i="11" s="1"/>
  <c r="M33" i="11" s="1"/>
  <c r="M34" i="11" s="1"/>
  <c r="L24" i="11"/>
  <c r="K24" i="11"/>
  <c r="D24" i="11"/>
  <c r="U21" i="11"/>
  <c r="R21" i="11"/>
  <c r="Q21" i="11"/>
  <c r="R20" i="11"/>
  <c r="Q20" i="11"/>
  <c r="U20" i="11" s="1"/>
  <c r="R19" i="11"/>
  <c r="Q19" i="11"/>
  <c r="U19" i="11" s="1"/>
  <c r="R18" i="11"/>
  <c r="Q18" i="11"/>
  <c r="U18" i="11" s="1"/>
  <c r="U17" i="11"/>
  <c r="R17" i="11"/>
  <c r="Q17" i="11"/>
  <c r="R16" i="11"/>
  <c r="Q16" i="11"/>
  <c r="U16" i="11" s="1"/>
  <c r="Q14" i="11"/>
  <c r="U14" i="11" s="1"/>
  <c r="P14" i="11"/>
  <c r="P28" i="11" s="1"/>
  <c r="O14" i="11"/>
  <c r="O28" i="11" s="1"/>
  <c r="N14" i="11"/>
  <c r="N28" i="11" s="1"/>
  <c r="M14" i="11"/>
  <c r="M28" i="11" s="1"/>
  <c r="L14" i="11"/>
  <c r="L28" i="11" s="1"/>
  <c r="K14" i="11"/>
  <c r="K28" i="11" s="1"/>
  <c r="J14" i="11"/>
  <c r="I14" i="11"/>
  <c r="R14" i="11" s="1"/>
  <c r="H14" i="11"/>
  <c r="G14" i="11"/>
  <c r="F14" i="11"/>
  <c r="E14" i="11"/>
  <c r="D14" i="11"/>
  <c r="C14" i="11"/>
  <c r="R13" i="11"/>
  <c r="Q13" i="11"/>
  <c r="U13" i="11" s="1"/>
  <c r="U12" i="11"/>
  <c r="R12" i="11"/>
  <c r="Q12" i="11"/>
  <c r="U11" i="11"/>
  <c r="R11" i="11"/>
  <c r="Q11" i="11"/>
  <c r="R10" i="11"/>
  <c r="Q10" i="11"/>
  <c r="U10" i="11" s="1"/>
  <c r="R9" i="11"/>
  <c r="Q9" i="11"/>
  <c r="U9" i="11" s="1"/>
  <c r="U8" i="11"/>
  <c r="R8" i="11"/>
  <c r="Q8" i="11"/>
  <c r="U7" i="11"/>
  <c r="R7" i="11"/>
  <c r="Q7" i="11"/>
  <c r="P134" i="10"/>
  <c r="O134" i="10"/>
  <c r="N134" i="10"/>
  <c r="M134" i="10"/>
  <c r="L134" i="10"/>
  <c r="K134" i="10"/>
  <c r="J134" i="10"/>
  <c r="I134" i="10"/>
  <c r="H134" i="10"/>
  <c r="G134" i="10"/>
  <c r="G135" i="10" s="1"/>
  <c r="F134" i="10"/>
  <c r="E134" i="10"/>
  <c r="D134" i="10"/>
  <c r="C134" i="10"/>
  <c r="R133" i="10"/>
  <c r="Q133" i="10"/>
  <c r="U133" i="10" s="1"/>
  <c r="R132" i="10"/>
  <c r="Q132" i="10"/>
  <c r="Q134" i="10" s="1"/>
  <c r="G128" i="10"/>
  <c r="P127" i="10"/>
  <c r="O127" i="10"/>
  <c r="N127" i="10"/>
  <c r="M127" i="10"/>
  <c r="L127" i="10"/>
  <c r="K127" i="10"/>
  <c r="J127" i="10"/>
  <c r="I127" i="10"/>
  <c r="R127" i="10" s="1"/>
  <c r="H127" i="10"/>
  <c r="G127" i="10"/>
  <c r="F127" i="10"/>
  <c r="E127" i="10"/>
  <c r="R126" i="10"/>
  <c r="Q126" i="10"/>
  <c r="U126" i="10" s="1"/>
  <c r="C126" i="10"/>
  <c r="C127" i="10" s="1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F128" i="10" s="1"/>
  <c r="E124" i="10"/>
  <c r="E128" i="10" s="1"/>
  <c r="D124" i="10"/>
  <c r="C124" i="10"/>
  <c r="U123" i="10"/>
  <c r="R123" i="10"/>
  <c r="Q123" i="10"/>
  <c r="H121" i="10"/>
  <c r="H128" i="10" s="1"/>
  <c r="H135" i="10" s="1"/>
  <c r="G121" i="10"/>
  <c r="R120" i="10"/>
  <c r="Q120" i="10"/>
  <c r="U120" i="10" s="1"/>
  <c r="R119" i="10"/>
  <c r="Q119" i="10"/>
  <c r="U119" i="10" s="1"/>
  <c r="R118" i="10"/>
  <c r="Q118" i="10"/>
  <c r="U118" i="10" s="1"/>
  <c r="R117" i="10"/>
  <c r="Q117" i="10"/>
  <c r="U117" i="10" s="1"/>
  <c r="R116" i="10"/>
  <c r="Q116" i="10"/>
  <c r="U116" i="10" s="1"/>
  <c r="R115" i="10"/>
  <c r="Q115" i="10"/>
  <c r="U115" i="10" s="1"/>
  <c r="R114" i="10"/>
  <c r="Q114" i="10"/>
  <c r="U114" i="10" s="1"/>
  <c r="R113" i="10"/>
  <c r="Q113" i="10"/>
  <c r="U113" i="10" s="1"/>
  <c r="R112" i="10"/>
  <c r="Q112" i="10"/>
  <c r="U112" i="10" s="1"/>
  <c r="R111" i="10"/>
  <c r="Q111" i="10"/>
  <c r="U111" i="10" s="1"/>
  <c r="R110" i="10"/>
  <c r="Q110" i="10"/>
  <c r="U110" i="10" s="1"/>
  <c r="R109" i="10"/>
  <c r="Q109" i="10"/>
  <c r="U109" i="10" s="1"/>
  <c r="R108" i="10"/>
  <c r="Q108" i="10"/>
  <c r="U108" i="10" s="1"/>
  <c r="R107" i="10"/>
  <c r="Q107" i="10"/>
  <c r="U107" i="10" s="1"/>
  <c r="R106" i="10"/>
  <c r="Q106" i="10"/>
  <c r="U106" i="10" s="1"/>
  <c r="R105" i="10"/>
  <c r="Q105" i="10"/>
  <c r="U105" i="10" s="1"/>
  <c r="P104" i="10"/>
  <c r="P121" i="10" s="1"/>
  <c r="O104" i="10"/>
  <c r="O121" i="10" s="1"/>
  <c r="N104" i="10"/>
  <c r="N121" i="10" s="1"/>
  <c r="M104" i="10"/>
  <c r="M121" i="10" s="1"/>
  <c r="M128" i="10" s="1"/>
  <c r="L104" i="10"/>
  <c r="L121" i="10" s="1"/>
  <c r="K104" i="10"/>
  <c r="K121" i="10" s="1"/>
  <c r="J104" i="10"/>
  <c r="J121" i="10" s="1"/>
  <c r="I104" i="10"/>
  <c r="I121" i="10" s="1"/>
  <c r="I128" i="10" s="1"/>
  <c r="I135" i="10" s="1"/>
  <c r="H104" i="10"/>
  <c r="G104" i="10"/>
  <c r="F104" i="10"/>
  <c r="F121" i="10" s="1"/>
  <c r="E104" i="10"/>
  <c r="E121" i="10" s="1"/>
  <c r="D104" i="10"/>
  <c r="R103" i="10"/>
  <c r="Q103" i="10"/>
  <c r="U103" i="10" s="1"/>
  <c r="R102" i="10"/>
  <c r="Q102" i="10"/>
  <c r="U102" i="10" s="1"/>
  <c r="U101" i="10"/>
  <c r="R101" i="10"/>
  <c r="Q101" i="10"/>
  <c r="C101" i="10"/>
  <c r="D101" i="10" s="1"/>
  <c r="D121" i="10" s="1"/>
  <c r="U100" i="10"/>
  <c r="R100" i="10"/>
  <c r="Q100" i="10"/>
  <c r="R99" i="10"/>
  <c r="Q99" i="10"/>
  <c r="U99" i="10" s="1"/>
  <c r="R98" i="10"/>
  <c r="Q98" i="10"/>
  <c r="U98" i="10" s="1"/>
  <c r="U97" i="10"/>
  <c r="R97" i="10"/>
  <c r="Q97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R95" i="10" s="1"/>
  <c r="D95" i="10"/>
  <c r="C95" i="10"/>
  <c r="R94" i="10"/>
  <c r="Q94" i="10"/>
  <c r="U94" i="10" s="1"/>
  <c r="U93" i="10"/>
  <c r="R93" i="10"/>
  <c r="Q93" i="10"/>
  <c r="U92" i="10"/>
  <c r="R92" i="10"/>
  <c r="Q92" i="10"/>
  <c r="Q95" i="10" s="1"/>
  <c r="P90" i="10"/>
  <c r="O90" i="10"/>
  <c r="N90" i="10"/>
  <c r="M90" i="10"/>
  <c r="L90" i="10"/>
  <c r="K90" i="10"/>
  <c r="J90" i="10"/>
  <c r="I90" i="10"/>
  <c r="H90" i="10"/>
  <c r="G90" i="10"/>
  <c r="F90" i="10"/>
  <c r="R90" i="10" s="1"/>
  <c r="E90" i="10"/>
  <c r="D90" i="10"/>
  <c r="C90" i="10"/>
  <c r="U89" i="10"/>
  <c r="R89" i="10"/>
  <c r="Q89" i="10"/>
  <c r="U88" i="10"/>
  <c r="R88" i="10"/>
  <c r="Q88" i="10"/>
  <c r="R87" i="10"/>
  <c r="Q87" i="10"/>
  <c r="U87" i="10" s="1"/>
  <c r="U86" i="10"/>
  <c r="R86" i="10"/>
  <c r="Q86" i="10"/>
  <c r="U85" i="10"/>
  <c r="R85" i="10"/>
  <c r="Q85" i="10"/>
  <c r="U84" i="10"/>
  <c r="R84" i="10"/>
  <c r="Q84" i="10"/>
  <c r="Q90" i="10" s="1"/>
  <c r="Q82" i="10"/>
  <c r="U82" i="10" s="1"/>
  <c r="P82" i="10"/>
  <c r="R82" i="10" s="1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U81" i="10"/>
  <c r="R81" i="10"/>
  <c r="Q81" i="10"/>
  <c r="R80" i="10"/>
  <c r="Q80" i="10"/>
  <c r="U80" i="10" s="1"/>
  <c r="R79" i="10"/>
  <c r="Q79" i="10"/>
  <c r="U79" i="10" s="1"/>
  <c r="U78" i="10"/>
  <c r="R78" i="10"/>
  <c r="Q78" i="10"/>
  <c r="R76" i="10"/>
  <c r="P76" i="10"/>
  <c r="O76" i="10"/>
  <c r="N76" i="10"/>
  <c r="M76" i="10"/>
  <c r="L76" i="10"/>
  <c r="K76" i="10"/>
  <c r="H76" i="10"/>
  <c r="G76" i="10"/>
  <c r="F76" i="10"/>
  <c r="E76" i="10"/>
  <c r="D76" i="10"/>
  <c r="C76" i="10"/>
  <c r="R75" i="10"/>
  <c r="Q75" i="10"/>
  <c r="Q76" i="10" s="1"/>
  <c r="P73" i="10"/>
  <c r="O73" i="10"/>
  <c r="N73" i="10"/>
  <c r="M73" i="10"/>
  <c r="L73" i="10"/>
  <c r="K73" i="10"/>
  <c r="J73" i="10"/>
  <c r="I73" i="10"/>
  <c r="H73" i="10"/>
  <c r="G73" i="10"/>
  <c r="F73" i="10"/>
  <c r="E73" i="10"/>
  <c r="R73" i="10" s="1"/>
  <c r="D73" i="10"/>
  <c r="C73" i="10"/>
  <c r="R72" i="10"/>
  <c r="Q72" i="10"/>
  <c r="U72" i="10" s="1"/>
  <c r="R71" i="10"/>
  <c r="Q71" i="10"/>
  <c r="U71" i="10" s="1"/>
  <c r="R70" i="10"/>
  <c r="Q70" i="10"/>
  <c r="U70" i="10" s="1"/>
  <c r="U69" i="10"/>
  <c r="R69" i="10"/>
  <c r="Q69" i="10"/>
  <c r="R68" i="10"/>
  <c r="Q68" i="10"/>
  <c r="U68" i="10" s="1"/>
  <c r="R67" i="10"/>
  <c r="Q67" i="10"/>
  <c r="U67" i="10" s="1"/>
  <c r="R66" i="10"/>
  <c r="Q66" i="10"/>
  <c r="U66" i="10" s="1"/>
  <c r="U65" i="10"/>
  <c r="R65" i="10"/>
  <c r="Q65" i="10"/>
  <c r="R64" i="10"/>
  <c r="Q64" i="10"/>
  <c r="U64" i="10" s="1"/>
  <c r="P62" i="10"/>
  <c r="O62" i="10"/>
  <c r="N62" i="10"/>
  <c r="M62" i="10"/>
  <c r="L62" i="10"/>
  <c r="K62" i="10"/>
  <c r="J62" i="10"/>
  <c r="I62" i="10"/>
  <c r="H62" i="10"/>
  <c r="G62" i="10"/>
  <c r="F62" i="10"/>
  <c r="E62" i="10"/>
  <c r="R62" i="10" s="1"/>
  <c r="D62" i="10"/>
  <c r="C62" i="10"/>
  <c r="R61" i="10"/>
  <c r="Q61" i="10"/>
  <c r="U61" i="10" s="1"/>
  <c r="R60" i="10"/>
  <c r="Q60" i="10"/>
  <c r="U60" i="10" s="1"/>
  <c r="R59" i="10"/>
  <c r="Q59" i="10"/>
  <c r="U59" i="10" s="1"/>
  <c r="R58" i="10"/>
  <c r="Q58" i="10"/>
  <c r="U58" i="10" s="1"/>
  <c r="R57" i="10"/>
  <c r="Q57" i="10"/>
  <c r="U57" i="10" s="1"/>
  <c r="R56" i="10"/>
  <c r="Q56" i="10"/>
  <c r="U56" i="10" s="1"/>
  <c r="R55" i="10"/>
  <c r="Q55" i="10"/>
  <c r="U55" i="10" s="1"/>
  <c r="R54" i="10"/>
  <c r="Q54" i="10"/>
  <c r="U54" i="10" s="1"/>
  <c r="R53" i="10"/>
  <c r="Q53" i="10"/>
  <c r="U53" i="10" s="1"/>
  <c r="R52" i="10"/>
  <c r="Q52" i="10"/>
  <c r="U52" i="10" s="1"/>
  <c r="R51" i="10"/>
  <c r="Q51" i="10"/>
  <c r="U51" i="10" s="1"/>
  <c r="R50" i="10"/>
  <c r="Q50" i="10"/>
  <c r="U50" i="10" s="1"/>
  <c r="P48" i="10"/>
  <c r="O48" i="10"/>
  <c r="N48" i="10"/>
  <c r="M48" i="10"/>
  <c r="L48" i="10"/>
  <c r="K48" i="10"/>
  <c r="J48" i="10"/>
  <c r="I48" i="10"/>
  <c r="H48" i="10"/>
  <c r="G48" i="10"/>
  <c r="F48" i="10"/>
  <c r="E48" i="10"/>
  <c r="R48" i="10" s="1"/>
  <c r="D48" i="10"/>
  <c r="C48" i="10"/>
  <c r="R47" i="10"/>
  <c r="Q47" i="10"/>
  <c r="U47" i="10" s="1"/>
  <c r="U46" i="10"/>
  <c r="R46" i="10"/>
  <c r="Q46" i="10"/>
  <c r="U45" i="10"/>
  <c r="R45" i="10"/>
  <c r="Q45" i="10"/>
  <c r="R44" i="10"/>
  <c r="Q44" i="10"/>
  <c r="U44" i="10" s="1"/>
  <c r="R43" i="10"/>
  <c r="Q43" i="10"/>
  <c r="U43" i="10" s="1"/>
  <c r="U42" i="10"/>
  <c r="R42" i="10"/>
  <c r="Q42" i="10"/>
  <c r="U41" i="10"/>
  <c r="R41" i="10"/>
  <c r="Q41" i="10"/>
  <c r="R40" i="10"/>
  <c r="Q40" i="10"/>
  <c r="U40" i="10" s="1"/>
  <c r="R39" i="10"/>
  <c r="Q39" i="10"/>
  <c r="U39" i="10" s="1"/>
  <c r="U38" i="10"/>
  <c r="R38" i="10"/>
  <c r="Q38" i="10"/>
  <c r="R37" i="10"/>
  <c r="Q37" i="10"/>
  <c r="U37" i="10" s="1"/>
  <c r="C32" i="10"/>
  <c r="O31" i="10"/>
  <c r="O32" i="10" s="1"/>
  <c r="N31" i="10"/>
  <c r="N32" i="10" s="1"/>
  <c r="D31" i="10"/>
  <c r="D32" i="10" s="1"/>
  <c r="C29" i="10"/>
  <c r="C33" i="10" s="1"/>
  <c r="C34" i="10" s="1"/>
  <c r="P28" i="10"/>
  <c r="O28" i="10"/>
  <c r="O29" i="10" s="1"/>
  <c r="O33" i="10" s="1"/>
  <c r="O34" i="10" s="1"/>
  <c r="D28" i="10"/>
  <c r="P27" i="10"/>
  <c r="O27" i="10"/>
  <c r="N27" i="10"/>
  <c r="M27" i="10"/>
  <c r="L27" i="10"/>
  <c r="K27" i="10"/>
  <c r="R27" i="10" s="1"/>
  <c r="D27" i="10"/>
  <c r="P26" i="10"/>
  <c r="P31" i="10" s="1"/>
  <c r="P32" i="10" s="1"/>
  <c r="O26" i="10"/>
  <c r="N26" i="10"/>
  <c r="M26" i="10"/>
  <c r="M31" i="10" s="1"/>
  <c r="M32" i="10" s="1"/>
  <c r="L26" i="10"/>
  <c r="L31" i="10" s="1"/>
  <c r="L32" i="10" s="1"/>
  <c r="K26" i="10"/>
  <c r="K31" i="10" s="1"/>
  <c r="K32" i="10" s="1"/>
  <c r="J26" i="10"/>
  <c r="J31" i="10" s="1"/>
  <c r="J32" i="10" s="1"/>
  <c r="I26" i="10"/>
  <c r="I31" i="10" s="1"/>
  <c r="I32" i="10" s="1"/>
  <c r="H26" i="10"/>
  <c r="H31" i="10" s="1"/>
  <c r="H32" i="10" s="1"/>
  <c r="G26" i="10"/>
  <c r="G31" i="10" s="1"/>
  <c r="G32" i="10" s="1"/>
  <c r="F26" i="10"/>
  <c r="F31" i="10" s="1"/>
  <c r="F32" i="10" s="1"/>
  <c r="E26" i="10"/>
  <c r="R26" i="10" s="1"/>
  <c r="D26" i="10"/>
  <c r="U25" i="10"/>
  <c r="R25" i="10"/>
  <c r="Q25" i="10"/>
  <c r="D25" i="10"/>
  <c r="P24" i="10"/>
  <c r="P29" i="10" s="1"/>
  <c r="P33" i="10" s="1"/>
  <c r="P34" i="10" s="1"/>
  <c r="O24" i="10"/>
  <c r="N24" i="10"/>
  <c r="M24" i="10"/>
  <c r="L24" i="10"/>
  <c r="K24" i="10"/>
  <c r="K29" i="10" s="1"/>
  <c r="K33" i="10" s="1"/>
  <c r="K34" i="10" s="1"/>
  <c r="D24" i="10"/>
  <c r="R21" i="10"/>
  <c r="Q21" i="10"/>
  <c r="U21" i="10" s="1"/>
  <c r="R20" i="10"/>
  <c r="Q20" i="10"/>
  <c r="U20" i="10" s="1"/>
  <c r="R19" i="10"/>
  <c r="Q19" i="10"/>
  <c r="U19" i="10" s="1"/>
  <c r="R18" i="10"/>
  <c r="Q18" i="10"/>
  <c r="U18" i="10" s="1"/>
  <c r="R17" i="10"/>
  <c r="Q17" i="10"/>
  <c r="U17" i="10" s="1"/>
  <c r="R16" i="10"/>
  <c r="Q16" i="10"/>
  <c r="U16" i="10" s="1"/>
  <c r="P14" i="10"/>
  <c r="O14" i="10"/>
  <c r="N14" i="10"/>
  <c r="N28" i="10" s="1"/>
  <c r="N29" i="10" s="1"/>
  <c r="N33" i="10" s="1"/>
  <c r="N34" i="10" s="1"/>
  <c r="M14" i="10"/>
  <c r="M28" i="10" s="1"/>
  <c r="L14" i="10"/>
  <c r="L28" i="10" s="1"/>
  <c r="K14" i="10"/>
  <c r="K28" i="10" s="1"/>
  <c r="J14" i="10"/>
  <c r="I14" i="10"/>
  <c r="H14" i="10"/>
  <c r="G14" i="10"/>
  <c r="F14" i="10"/>
  <c r="E14" i="10"/>
  <c r="R14" i="10" s="1"/>
  <c r="D14" i="10"/>
  <c r="C14" i="10"/>
  <c r="R13" i="10"/>
  <c r="Q13" i="10"/>
  <c r="U13" i="10" s="1"/>
  <c r="R12" i="10"/>
  <c r="Q12" i="10"/>
  <c r="U12" i="10" s="1"/>
  <c r="R11" i="10"/>
  <c r="Q11" i="10"/>
  <c r="U11" i="10" s="1"/>
  <c r="R10" i="10"/>
  <c r="Q10" i="10"/>
  <c r="U10" i="10" s="1"/>
  <c r="R9" i="10"/>
  <c r="Q9" i="10"/>
  <c r="U9" i="10" s="1"/>
  <c r="R8" i="10"/>
  <c r="Q8" i="10"/>
  <c r="U8" i="10" s="1"/>
  <c r="R7" i="10"/>
  <c r="Q7" i="10"/>
  <c r="Q14" i="10" s="1"/>
  <c r="U14" i="10" s="1"/>
  <c r="P134" i="9"/>
  <c r="O134" i="9"/>
  <c r="N134" i="9"/>
  <c r="N135" i="9" s="1"/>
  <c r="M134" i="9"/>
  <c r="L134" i="9"/>
  <c r="K134" i="9"/>
  <c r="J134" i="9"/>
  <c r="I134" i="9"/>
  <c r="H134" i="9"/>
  <c r="G134" i="9"/>
  <c r="F134" i="9"/>
  <c r="R134" i="9" s="1"/>
  <c r="E134" i="9"/>
  <c r="E135" i="9" s="1"/>
  <c r="D134" i="9"/>
  <c r="C134" i="9"/>
  <c r="C135" i="9" s="1"/>
  <c r="R133" i="9"/>
  <c r="Q133" i="9"/>
  <c r="U133" i="9" s="1"/>
  <c r="R132" i="9"/>
  <c r="Q132" i="9"/>
  <c r="Q134" i="9" s="1"/>
  <c r="P127" i="9"/>
  <c r="O127" i="9"/>
  <c r="N127" i="9"/>
  <c r="M127" i="9"/>
  <c r="L127" i="9"/>
  <c r="K127" i="9"/>
  <c r="J127" i="9"/>
  <c r="I127" i="9"/>
  <c r="H127" i="9"/>
  <c r="G127" i="9"/>
  <c r="F127" i="9"/>
  <c r="E127" i="9"/>
  <c r="R127" i="9" s="1"/>
  <c r="C127" i="9"/>
  <c r="R126" i="9"/>
  <c r="Q126" i="9"/>
  <c r="U126" i="9" s="1"/>
  <c r="D126" i="9"/>
  <c r="D127" i="9" s="1"/>
  <c r="C126" i="9"/>
  <c r="R124" i="9"/>
  <c r="Q124" i="9"/>
  <c r="P124" i="9"/>
  <c r="O124" i="9"/>
  <c r="O128" i="9" s="1"/>
  <c r="N124" i="9"/>
  <c r="M124" i="9"/>
  <c r="L124" i="9"/>
  <c r="K124" i="9"/>
  <c r="K128" i="9" s="1"/>
  <c r="J124" i="9"/>
  <c r="I124" i="9"/>
  <c r="H124" i="9"/>
  <c r="G124" i="9"/>
  <c r="F124" i="9"/>
  <c r="F128" i="9" s="1"/>
  <c r="F135" i="9" s="1"/>
  <c r="E124" i="9"/>
  <c r="D124" i="9"/>
  <c r="C124" i="9"/>
  <c r="U123" i="9"/>
  <c r="R123" i="9"/>
  <c r="Q123" i="9"/>
  <c r="L121" i="9"/>
  <c r="L128" i="9" s="1"/>
  <c r="H121" i="9"/>
  <c r="H128" i="9" s="1"/>
  <c r="H135" i="9" s="1"/>
  <c r="G121" i="9"/>
  <c r="G128" i="9" s="1"/>
  <c r="G135" i="9" s="1"/>
  <c r="E121" i="9"/>
  <c r="E128" i="9" s="1"/>
  <c r="R120" i="9"/>
  <c r="Q120" i="9"/>
  <c r="U120" i="9" s="1"/>
  <c r="U119" i="9"/>
  <c r="R119" i="9"/>
  <c r="Q119" i="9"/>
  <c r="R118" i="9"/>
  <c r="Q118" i="9"/>
  <c r="U118" i="9" s="1"/>
  <c r="U117" i="9"/>
  <c r="R117" i="9"/>
  <c r="Q117" i="9"/>
  <c r="R116" i="9"/>
  <c r="Q116" i="9"/>
  <c r="U116" i="9" s="1"/>
  <c r="U115" i="9"/>
  <c r="R115" i="9"/>
  <c r="Q115" i="9"/>
  <c r="R114" i="9"/>
  <c r="Q114" i="9"/>
  <c r="U114" i="9" s="1"/>
  <c r="U113" i="9"/>
  <c r="R113" i="9"/>
  <c r="Q113" i="9"/>
  <c r="R112" i="9"/>
  <c r="Q112" i="9"/>
  <c r="U112" i="9" s="1"/>
  <c r="U111" i="9"/>
  <c r="R111" i="9"/>
  <c r="Q111" i="9"/>
  <c r="R110" i="9"/>
  <c r="Q110" i="9"/>
  <c r="U110" i="9" s="1"/>
  <c r="U109" i="9"/>
  <c r="R109" i="9"/>
  <c r="Q109" i="9"/>
  <c r="R108" i="9"/>
  <c r="Q108" i="9"/>
  <c r="U108" i="9" s="1"/>
  <c r="U107" i="9"/>
  <c r="R107" i="9"/>
  <c r="Q107" i="9"/>
  <c r="R106" i="9"/>
  <c r="Q106" i="9"/>
  <c r="U106" i="9" s="1"/>
  <c r="U105" i="9"/>
  <c r="R105" i="9"/>
  <c r="Q105" i="9"/>
  <c r="P104" i="9"/>
  <c r="P121" i="9" s="1"/>
  <c r="O104" i="9"/>
  <c r="O121" i="9" s="1"/>
  <c r="N104" i="9"/>
  <c r="N121" i="9" s="1"/>
  <c r="N128" i="9" s="1"/>
  <c r="M104" i="9"/>
  <c r="M121" i="9" s="1"/>
  <c r="L104" i="9"/>
  <c r="K104" i="9"/>
  <c r="K121" i="9" s="1"/>
  <c r="J104" i="9"/>
  <c r="J121" i="9" s="1"/>
  <c r="I104" i="9"/>
  <c r="I121" i="9" s="1"/>
  <c r="H104" i="9"/>
  <c r="G104" i="9"/>
  <c r="F104" i="9"/>
  <c r="F121" i="9" s="1"/>
  <c r="E104" i="9"/>
  <c r="R104" i="9" s="1"/>
  <c r="D104" i="9"/>
  <c r="R103" i="9"/>
  <c r="Q103" i="9"/>
  <c r="U103" i="9" s="1"/>
  <c r="C103" i="9"/>
  <c r="D103" i="9" s="1"/>
  <c r="R102" i="9"/>
  <c r="Q102" i="9"/>
  <c r="U102" i="9" s="1"/>
  <c r="U101" i="9"/>
  <c r="R101" i="9"/>
  <c r="Q101" i="9"/>
  <c r="D101" i="9"/>
  <c r="D121" i="9" s="1"/>
  <c r="C101" i="9"/>
  <c r="C121" i="9" s="1"/>
  <c r="C128" i="9" s="1"/>
  <c r="R100" i="9"/>
  <c r="Q100" i="9"/>
  <c r="U100" i="9" s="1"/>
  <c r="R99" i="9"/>
  <c r="Q99" i="9"/>
  <c r="U99" i="9" s="1"/>
  <c r="R98" i="9"/>
  <c r="Q98" i="9"/>
  <c r="U98" i="9" s="1"/>
  <c r="U97" i="9"/>
  <c r="R97" i="9"/>
  <c r="Q97" i="9"/>
  <c r="P95" i="9"/>
  <c r="O95" i="9"/>
  <c r="N95" i="9"/>
  <c r="M95" i="9"/>
  <c r="L95" i="9"/>
  <c r="K95" i="9"/>
  <c r="J95" i="9"/>
  <c r="I95" i="9"/>
  <c r="H95" i="9"/>
  <c r="G95" i="9"/>
  <c r="F95" i="9"/>
  <c r="E95" i="9"/>
  <c r="R95" i="9" s="1"/>
  <c r="D95" i="9"/>
  <c r="C95" i="9"/>
  <c r="R94" i="9"/>
  <c r="Q94" i="9"/>
  <c r="U94" i="9" s="1"/>
  <c r="R93" i="9"/>
  <c r="Q93" i="9"/>
  <c r="Q95" i="9" s="1"/>
  <c r="U92" i="9"/>
  <c r="R92" i="9"/>
  <c r="Q92" i="9"/>
  <c r="P90" i="9"/>
  <c r="O90" i="9"/>
  <c r="N90" i="9"/>
  <c r="M90" i="9"/>
  <c r="L90" i="9"/>
  <c r="K90" i="9"/>
  <c r="J90" i="9"/>
  <c r="I90" i="9"/>
  <c r="H90" i="9"/>
  <c r="G90" i="9"/>
  <c r="F90" i="9"/>
  <c r="E90" i="9"/>
  <c r="R90" i="9" s="1"/>
  <c r="D90" i="9"/>
  <c r="C90" i="9"/>
  <c r="R89" i="9"/>
  <c r="Q89" i="9"/>
  <c r="U89" i="9" s="1"/>
  <c r="U88" i="9"/>
  <c r="R88" i="9"/>
  <c r="Q88" i="9"/>
  <c r="R87" i="9"/>
  <c r="Q87" i="9"/>
  <c r="U87" i="9" s="1"/>
  <c r="U86" i="9"/>
  <c r="R86" i="9"/>
  <c r="Q86" i="9"/>
  <c r="R85" i="9"/>
  <c r="Q85" i="9"/>
  <c r="U85" i="9" s="1"/>
  <c r="U84" i="9"/>
  <c r="R84" i="9"/>
  <c r="Q84" i="9"/>
  <c r="Q90" i="9" s="1"/>
  <c r="R82" i="9"/>
  <c r="P82" i="9"/>
  <c r="O82" i="9"/>
  <c r="N82" i="9"/>
  <c r="M82" i="9"/>
  <c r="L82" i="9"/>
  <c r="K82" i="9"/>
  <c r="J82" i="9"/>
  <c r="I82" i="9"/>
  <c r="H82" i="9"/>
  <c r="G82" i="9"/>
  <c r="F82" i="9"/>
  <c r="E82" i="9"/>
  <c r="C82" i="9"/>
  <c r="U81" i="9"/>
  <c r="R81" i="9"/>
  <c r="Q81" i="9"/>
  <c r="U80" i="9"/>
  <c r="R80" i="9"/>
  <c r="Q80" i="9"/>
  <c r="R79" i="9"/>
  <c r="Q79" i="9"/>
  <c r="U79" i="9" s="1"/>
  <c r="R78" i="9"/>
  <c r="Q78" i="9"/>
  <c r="Q82" i="9" s="1"/>
  <c r="D78" i="9"/>
  <c r="D82" i="9" s="1"/>
  <c r="C78" i="9"/>
  <c r="P76" i="9"/>
  <c r="O76" i="9"/>
  <c r="N76" i="9"/>
  <c r="M76" i="9"/>
  <c r="L76" i="9"/>
  <c r="K76" i="9"/>
  <c r="H76" i="9"/>
  <c r="G76" i="9"/>
  <c r="F76" i="9"/>
  <c r="E76" i="9"/>
  <c r="R76" i="9" s="1"/>
  <c r="D76" i="9"/>
  <c r="C76" i="9"/>
  <c r="U75" i="9"/>
  <c r="R75" i="9"/>
  <c r="Q75" i="9"/>
  <c r="P73" i="9"/>
  <c r="O73" i="9"/>
  <c r="N73" i="9"/>
  <c r="M73" i="9"/>
  <c r="L73" i="9"/>
  <c r="K73" i="9"/>
  <c r="J73" i="9"/>
  <c r="I73" i="9"/>
  <c r="H73" i="9"/>
  <c r="G73" i="9"/>
  <c r="F73" i="9"/>
  <c r="E73" i="9"/>
  <c r="R73" i="9" s="1"/>
  <c r="D73" i="9"/>
  <c r="C73" i="9"/>
  <c r="R72" i="9"/>
  <c r="Q72" i="9"/>
  <c r="U72" i="9" s="1"/>
  <c r="R71" i="9"/>
  <c r="Q71" i="9"/>
  <c r="U71" i="9" s="1"/>
  <c r="U70" i="9"/>
  <c r="R70" i="9"/>
  <c r="Q70" i="9"/>
  <c r="U69" i="9"/>
  <c r="R69" i="9"/>
  <c r="Q69" i="9"/>
  <c r="R68" i="9"/>
  <c r="Q68" i="9"/>
  <c r="U68" i="9" s="1"/>
  <c r="R67" i="9"/>
  <c r="Q67" i="9"/>
  <c r="U67" i="9" s="1"/>
  <c r="U66" i="9"/>
  <c r="R66" i="9"/>
  <c r="Q66" i="9"/>
  <c r="U65" i="9"/>
  <c r="R65" i="9"/>
  <c r="Q65" i="9"/>
  <c r="R64" i="9"/>
  <c r="Q64" i="9"/>
  <c r="U64" i="9" s="1"/>
  <c r="Q62" i="9"/>
  <c r="U62" i="9" s="1"/>
  <c r="P62" i="9"/>
  <c r="O62" i="9"/>
  <c r="N62" i="9"/>
  <c r="M62" i="9"/>
  <c r="L62" i="9"/>
  <c r="K62" i="9"/>
  <c r="J62" i="9"/>
  <c r="I62" i="9"/>
  <c r="H62" i="9"/>
  <c r="G62" i="9"/>
  <c r="F62" i="9"/>
  <c r="E62" i="9"/>
  <c r="R62" i="9" s="1"/>
  <c r="D62" i="9"/>
  <c r="C62" i="9"/>
  <c r="R61" i="9"/>
  <c r="Q61" i="9"/>
  <c r="U61" i="9" s="1"/>
  <c r="U60" i="9"/>
  <c r="R60" i="9"/>
  <c r="Q60" i="9"/>
  <c r="R59" i="9"/>
  <c r="Q59" i="9"/>
  <c r="U59" i="9" s="1"/>
  <c r="U58" i="9"/>
  <c r="R58" i="9"/>
  <c r="Q58" i="9"/>
  <c r="R57" i="9"/>
  <c r="Q57" i="9"/>
  <c r="U57" i="9" s="1"/>
  <c r="U56" i="9"/>
  <c r="R56" i="9"/>
  <c r="Q56" i="9"/>
  <c r="R55" i="9"/>
  <c r="Q55" i="9"/>
  <c r="U55" i="9" s="1"/>
  <c r="U54" i="9"/>
  <c r="R54" i="9"/>
  <c r="Q54" i="9"/>
  <c r="R53" i="9"/>
  <c r="Q53" i="9"/>
  <c r="U53" i="9" s="1"/>
  <c r="U52" i="9"/>
  <c r="R52" i="9"/>
  <c r="Q52" i="9"/>
  <c r="R51" i="9"/>
  <c r="Q51" i="9"/>
  <c r="U51" i="9" s="1"/>
  <c r="U50" i="9"/>
  <c r="R50" i="9"/>
  <c r="Q50" i="9"/>
  <c r="R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U47" i="9"/>
  <c r="R47" i="9"/>
  <c r="Q47" i="9"/>
  <c r="U46" i="9"/>
  <c r="R46" i="9"/>
  <c r="Q46" i="9"/>
  <c r="R45" i="9"/>
  <c r="Q45" i="9"/>
  <c r="U45" i="9" s="1"/>
  <c r="R44" i="9"/>
  <c r="Q44" i="9"/>
  <c r="U44" i="9" s="1"/>
  <c r="U43" i="9"/>
  <c r="R43" i="9"/>
  <c r="Q43" i="9"/>
  <c r="U42" i="9"/>
  <c r="R42" i="9"/>
  <c r="Q42" i="9"/>
  <c r="R41" i="9"/>
  <c r="Q41" i="9"/>
  <c r="U41" i="9" s="1"/>
  <c r="R40" i="9"/>
  <c r="Q40" i="9"/>
  <c r="U40" i="9" s="1"/>
  <c r="U39" i="9"/>
  <c r="R39" i="9"/>
  <c r="Q39" i="9"/>
  <c r="U38" i="9"/>
  <c r="R38" i="9"/>
  <c r="Q38" i="9"/>
  <c r="R37" i="9"/>
  <c r="Q37" i="9"/>
  <c r="Q48" i="9" s="1"/>
  <c r="C32" i="9"/>
  <c r="P31" i="9"/>
  <c r="P32" i="9" s="1"/>
  <c r="M31" i="9"/>
  <c r="M32" i="9" s="1"/>
  <c r="D31" i="9"/>
  <c r="D32" i="9" s="1"/>
  <c r="C29" i="9"/>
  <c r="C33" i="9" s="1"/>
  <c r="C34" i="9" s="1"/>
  <c r="N28" i="9"/>
  <c r="D28" i="9"/>
  <c r="P27" i="9"/>
  <c r="O27" i="9"/>
  <c r="N27" i="9"/>
  <c r="M27" i="9"/>
  <c r="L27" i="9"/>
  <c r="K27" i="9"/>
  <c r="R27" i="9" s="1"/>
  <c r="D27" i="9"/>
  <c r="P26" i="9"/>
  <c r="O26" i="9"/>
  <c r="O31" i="9" s="1"/>
  <c r="O32" i="9" s="1"/>
  <c r="N26" i="9"/>
  <c r="N31" i="9" s="1"/>
  <c r="N32" i="9" s="1"/>
  <c r="M26" i="9"/>
  <c r="L26" i="9"/>
  <c r="L31" i="9" s="1"/>
  <c r="L32" i="9" s="1"/>
  <c r="K26" i="9"/>
  <c r="K31" i="9" s="1"/>
  <c r="K32" i="9" s="1"/>
  <c r="J26" i="9"/>
  <c r="J31" i="9" s="1"/>
  <c r="J32" i="9" s="1"/>
  <c r="I26" i="9"/>
  <c r="I31" i="9" s="1"/>
  <c r="I32" i="9" s="1"/>
  <c r="H26" i="9"/>
  <c r="H31" i="9" s="1"/>
  <c r="H32" i="9" s="1"/>
  <c r="G26" i="9"/>
  <c r="G31" i="9" s="1"/>
  <c r="G32" i="9" s="1"/>
  <c r="F26" i="9"/>
  <c r="F31" i="9" s="1"/>
  <c r="F32" i="9" s="1"/>
  <c r="E26" i="9"/>
  <c r="R26" i="9" s="1"/>
  <c r="D26" i="9"/>
  <c r="R25" i="9"/>
  <c r="Q25" i="9"/>
  <c r="U25" i="9" s="1"/>
  <c r="D25" i="9"/>
  <c r="P24" i="9"/>
  <c r="O24" i="9"/>
  <c r="O29" i="9" s="1"/>
  <c r="O33" i="9" s="1"/>
  <c r="O34" i="9" s="1"/>
  <c r="N24" i="9"/>
  <c r="N29" i="9" s="1"/>
  <c r="N33" i="9" s="1"/>
  <c r="N34" i="9" s="1"/>
  <c r="M24" i="9"/>
  <c r="L24" i="9"/>
  <c r="L29" i="9" s="1"/>
  <c r="L33" i="9" s="1"/>
  <c r="L34" i="9" s="1"/>
  <c r="K24" i="9"/>
  <c r="K29" i="9" s="1"/>
  <c r="K33" i="9" s="1"/>
  <c r="K34" i="9" s="1"/>
  <c r="D24" i="9"/>
  <c r="U21" i="9"/>
  <c r="R21" i="9"/>
  <c r="Q21" i="9"/>
  <c r="U20" i="9"/>
  <c r="R20" i="9"/>
  <c r="Q20" i="9"/>
  <c r="R19" i="9"/>
  <c r="Q19" i="9"/>
  <c r="U19" i="9" s="1"/>
  <c r="R18" i="9"/>
  <c r="Q18" i="9"/>
  <c r="U18" i="9" s="1"/>
  <c r="U17" i="9"/>
  <c r="R17" i="9"/>
  <c r="Q17" i="9"/>
  <c r="U16" i="9"/>
  <c r="R16" i="9"/>
  <c r="Q16" i="9"/>
  <c r="P14" i="9"/>
  <c r="P28" i="9" s="1"/>
  <c r="P29" i="9" s="1"/>
  <c r="P33" i="9" s="1"/>
  <c r="P34" i="9" s="1"/>
  <c r="O14" i="9"/>
  <c r="O28" i="9" s="1"/>
  <c r="N14" i="9"/>
  <c r="M14" i="9"/>
  <c r="M28" i="9" s="1"/>
  <c r="L14" i="9"/>
  <c r="L28" i="9" s="1"/>
  <c r="K14" i="9"/>
  <c r="K28" i="9" s="1"/>
  <c r="J14" i="9"/>
  <c r="I14" i="9"/>
  <c r="H14" i="9"/>
  <c r="G14" i="9"/>
  <c r="F14" i="9"/>
  <c r="R14" i="9" s="1"/>
  <c r="E14" i="9"/>
  <c r="D14" i="9"/>
  <c r="C14" i="9"/>
  <c r="R13" i="9"/>
  <c r="Q13" i="9"/>
  <c r="U13" i="9" s="1"/>
  <c r="R12" i="9"/>
  <c r="Q12" i="9"/>
  <c r="U12" i="9" s="1"/>
  <c r="U11" i="9"/>
  <c r="R11" i="9"/>
  <c r="Q11" i="9"/>
  <c r="R10" i="9"/>
  <c r="Q10" i="9"/>
  <c r="U10" i="9" s="1"/>
  <c r="U9" i="9"/>
  <c r="R9" i="9"/>
  <c r="Q9" i="9"/>
  <c r="R8" i="9"/>
  <c r="Q8" i="9"/>
  <c r="Q14" i="9" s="1"/>
  <c r="U14" i="9" s="1"/>
  <c r="U7" i="9"/>
  <c r="R7" i="9"/>
  <c r="Q7" i="9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C135" i="8" s="1"/>
  <c r="R133" i="8"/>
  <c r="Q133" i="8"/>
  <c r="U133" i="8" s="1"/>
  <c r="R132" i="8"/>
  <c r="Q132" i="8"/>
  <c r="Q134" i="8" s="1"/>
  <c r="P127" i="8"/>
  <c r="O127" i="8"/>
  <c r="N127" i="8"/>
  <c r="M127" i="8"/>
  <c r="L127" i="8"/>
  <c r="K127" i="8"/>
  <c r="J127" i="8"/>
  <c r="I127" i="8"/>
  <c r="H127" i="8"/>
  <c r="G127" i="8"/>
  <c r="F127" i="8"/>
  <c r="E127" i="8"/>
  <c r="R127" i="8" s="1"/>
  <c r="D127" i="8"/>
  <c r="C127" i="8"/>
  <c r="R126" i="8"/>
  <c r="Q126" i="8"/>
  <c r="U126" i="8" s="1"/>
  <c r="P124" i="8"/>
  <c r="O124" i="8"/>
  <c r="N124" i="8"/>
  <c r="M124" i="8"/>
  <c r="M128" i="8" s="1"/>
  <c r="M135" i="8" s="1"/>
  <c r="L124" i="8"/>
  <c r="K124" i="8"/>
  <c r="K128" i="8" s="1"/>
  <c r="J124" i="8"/>
  <c r="J128" i="8" s="1"/>
  <c r="I124" i="8"/>
  <c r="H124" i="8"/>
  <c r="G124" i="8"/>
  <c r="F124" i="8"/>
  <c r="F128" i="8" s="1"/>
  <c r="E124" i="8"/>
  <c r="E128" i="8" s="1"/>
  <c r="D124" i="8"/>
  <c r="C124" i="8"/>
  <c r="R123" i="8"/>
  <c r="Q123" i="8"/>
  <c r="U123" i="8" s="1"/>
  <c r="J121" i="8"/>
  <c r="F121" i="8"/>
  <c r="E121" i="8"/>
  <c r="R120" i="8"/>
  <c r="Q120" i="8"/>
  <c r="U120" i="8" s="1"/>
  <c r="R119" i="8"/>
  <c r="Q119" i="8"/>
  <c r="U119" i="8" s="1"/>
  <c r="U118" i="8"/>
  <c r="R118" i="8"/>
  <c r="Q118" i="8"/>
  <c r="U117" i="8"/>
  <c r="R117" i="8"/>
  <c r="Q117" i="8"/>
  <c r="R116" i="8"/>
  <c r="Q116" i="8"/>
  <c r="U116" i="8" s="1"/>
  <c r="R115" i="8"/>
  <c r="Q115" i="8"/>
  <c r="U115" i="8" s="1"/>
  <c r="U114" i="8"/>
  <c r="R114" i="8"/>
  <c r="Q114" i="8"/>
  <c r="U113" i="8"/>
  <c r="R113" i="8"/>
  <c r="Q113" i="8"/>
  <c r="R112" i="8"/>
  <c r="Q112" i="8"/>
  <c r="U112" i="8" s="1"/>
  <c r="R111" i="8"/>
  <c r="Q111" i="8"/>
  <c r="U111" i="8" s="1"/>
  <c r="U110" i="8"/>
  <c r="R110" i="8"/>
  <c r="Q110" i="8"/>
  <c r="U109" i="8"/>
  <c r="R109" i="8"/>
  <c r="Q109" i="8"/>
  <c r="R108" i="8"/>
  <c r="Q108" i="8"/>
  <c r="U108" i="8" s="1"/>
  <c r="R107" i="8"/>
  <c r="Q107" i="8"/>
  <c r="U107" i="8" s="1"/>
  <c r="U106" i="8"/>
  <c r="R106" i="8"/>
  <c r="Q106" i="8"/>
  <c r="U105" i="8"/>
  <c r="R105" i="8"/>
  <c r="Q105" i="8"/>
  <c r="P104" i="8"/>
  <c r="P121" i="8" s="1"/>
  <c r="O104" i="8"/>
  <c r="O121" i="8" s="1"/>
  <c r="N104" i="8"/>
  <c r="N121" i="8" s="1"/>
  <c r="M104" i="8"/>
  <c r="M121" i="8" s="1"/>
  <c r="L104" i="8"/>
  <c r="L121" i="8" s="1"/>
  <c r="L128" i="8" s="1"/>
  <c r="K104" i="8"/>
  <c r="K121" i="8" s="1"/>
  <c r="J104" i="8"/>
  <c r="I104" i="8"/>
  <c r="I121" i="8" s="1"/>
  <c r="I128" i="8" s="1"/>
  <c r="I135" i="8" s="1"/>
  <c r="H104" i="8"/>
  <c r="H121" i="8" s="1"/>
  <c r="H128" i="8" s="1"/>
  <c r="H135" i="8" s="1"/>
  <c r="G104" i="8"/>
  <c r="G121" i="8" s="1"/>
  <c r="G128" i="8" s="1"/>
  <c r="F104" i="8"/>
  <c r="E104" i="8"/>
  <c r="R104" i="8" s="1"/>
  <c r="R103" i="8"/>
  <c r="Q103" i="8"/>
  <c r="U103" i="8" s="1"/>
  <c r="R102" i="8"/>
  <c r="Q102" i="8"/>
  <c r="U102" i="8" s="1"/>
  <c r="R101" i="8"/>
  <c r="Q101" i="8"/>
  <c r="C101" i="8"/>
  <c r="U101" i="8" s="1"/>
  <c r="U100" i="8"/>
  <c r="R100" i="8"/>
  <c r="Q100" i="8"/>
  <c r="D100" i="8"/>
  <c r="C100" i="8"/>
  <c r="C121" i="8" s="1"/>
  <c r="C128" i="8" s="1"/>
  <c r="R99" i="8"/>
  <c r="Q99" i="8"/>
  <c r="U99" i="8" s="1"/>
  <c r="U98" i="8"/>
  <c r="R98" i="8"/>
  <c r="Q98" i="8"/>
  <c r="U97" i="8"/>
  <c r="R97" i="8"/>
  <c r="Q97" i="8"/>
  <c r="P95" i="8"/>
  <c r="O95" i="8"/>
  <c r="N95" i="8"/>
  <c r="M95" i="8"/>
  <c r="L95" i="8"/>
  <c r="K95" i="8"/>
  <c r="J95" i="8"/>
  <c r="I95" i="8"/>
  <c r="H95" i="8"/>
  <c r="G95" i="8"/>
  <c r="F95" i="8"/>
  <c r="E95" i="8"/>
  <c r="R95" i="8" s="1"/>
  <c r="D95" i="8"/>
  <c r="C95" i="8"/>
  <c r="R94" i="8"/>
  <c r="Q94" i="8"/>
  <c r="U94" i="8" s="1"/>
  <c r="R93" i="8"/>
  <c r="Q93" i="8"/>
  <c r="U93" i="8" s="1"/>
  <c r="R92" i="8"/>
  <c r="Q92" i="8"/>
  <c r="Q95" i="8" s="1"/>
  <c r="P90" i="8"/>
  <c r="O90" i="8"/>
  <c r="N90" i="8"/>
  <c r="M90" i="8"/>
  <c r="L90" i="8"/>
  <c r="K90" i="8"/>
  <c r="J90" i="8"/>
  <c r="I90" i="8"/>
  <c r="H90" i="8"/>
  <c r="G90" i="8"/>
  <c r="F90" i="8"/>
  <c r="E90" i="8"/>
  <c r="R90" i="8" s="1"/>
  <c r="D90" i="8"/>
  <c r="C90" i="8"/>
  <c r="R89" i="8"/>
  <c r="Q89" i="8"/>
  <c r="U89" i="8" s="1"/>
  <c r="U88" i="8"/>
  <c r="R88" i="8"/>
  <c r="Q88" i="8"/>
  <c r="U87" i="8"/>
  <c r="R87" i="8"/>
  <c r="Q87" i="8"/>
  <c r="U86" i="8"/>
  <c r="R86" i="8"/>
  <c r="Q86" i="8"/>
  <c r="R85" i="8"/>
  <c r="Q85" i="8"/>
  <c r="U85" i="8" s="1"/>
  <c r="U84" i="8"/>
  <c r="R84" i="8"/>
  <c r="Q84" i="8"/>
  <c r="Q90" i="8" s="1"/>
  <c r="P82" i="8"/>
  <c r="O82" i="8"/>
  <c r="N82" i="8"/>
  <c r="M82" i="8"/>
  <c r="L82" i="8"/>
  <c r="K82" i="8"/>
  <c r="J82" i="8"/>
  <c r="I82" i="8"/>
  <c r="H82" i="8"/>
  <c r="G82" i="8"/>
  <c r="F82" i="8"/>
  <c r="E82" i="8"/>
  <c r="R82" i="8" s="1"/>
  <c r="D82" i="8"/>
  <c r="C82" i="8"/>
  <c r="R81" i="8"/>
  <c r="Q81" i="8"/>
  <c r="U81" i="8" s="1"/>
  <c r="U80" i="8"/>
  <c r="R80" i="8"/>
  <c r="Q80" i="8"/>
  <c r="R79" i="8"/>
  <c r="Q79" i="8"/>
  <c r="U79" i="8" s="1"/>
  <c r="U78" i="8"/>
  <c r="R78" i="8"/>
  <c r="Q78" i="8"/>
  <c r="R76" i="8"/>
  <c r="P76" i="8"/>
  <c r="O76" i="8"/>
  <c r="N76" i="8"/>
  <c r="M76" i="8"/>
  <c r="L76" i="8"/>
  <c r="K76" i="8"/>
  <c r="H76" i="8"/>
  <c r="G76" i="8"/>
  <c r="F76" i="8"/>
  <c r="E76" i="8"/>
  <c r="D76" i="8"/>
  <c r="C76" i="8"/>
  <c r="R75" i="8"/>
  <c r="Q75" i="8"/>
  <c r="Q76" i="8" s="1"/>
  <c r="P73" i="8"/>
  <c r="O73" i="8"/>
  <c r="N73" i="8"/>
  <c r="M73" i="8"/>
  <c r="L73" i="8"/>
  <c r="K73" i="8"/>
  <c r="J73" i="8"/>
  <c r="I73" i="8"/>
  <c r="H73" i="8"/>
  <c r="G73" i="8"/>
  <c r="F73" i="8"/>
  <c r="E73" i="8"/>
  <c r="R73" i="8" s="1"/>
  <c r="D73" i="8"/>
  <c r="C73" i="8"/>
  <c r="R72" i="8"/>
  <c r="Q72" i="8"/>
  <c r="U72" i="8" s="1"/>
  <c r="U71" i="8"/>
  <c r="R71" i="8"/>
  <c r="Q71" i="8"/>
  <c r="U70" i="8"/>
  <c r="R70" i="8"/>
  <c r="Q70" i="8"/>
  <c r="U69" i="8"/>
  <c r="R69" i="8"/>
  <c r="Q69" i="8"/>
  <c r="R68" i="8"/>
  <c r="Q68" i="8"/>
  <c r="U68" i="8" s="1"/>
  <c r="U67" i="8"/>
  <c r="R67" i="8"/>
  <c r="Q67" i="8"/>
  <c r="U66" i="8"/>
  <c r="R66" i="8"/>
  <c r="Q66" i="8"/>
  <c r="U65" i="8"/>
  <c r="R65" i="8"/>
  <c r="Q65" i="8"/>
  <c r="R64" i="8"/>
  <c r="Q64" i="8"/>
  <c r="U64" i="8" s="1"/>
  <c r="P62" i="8"/>
  <c r="O62" i="8"/>
  <c r="N62" i="8"/>
  <c r="M62" i="8"/>
  <c r="L62" i="8"/>
  <c r="K62" i="8"/>
  <c r="J62" i="8"/>
  <c r="R62" i="8" s="1"/>
  <c r="I62" i="8"/>
  <c r="H62" i="8"/>
  <c r="G62" i="8"/>
  <c r="F62" i="8"/>
  <c r="E62" i="8"/>
  <c r="D62" i="8"/>
  <c r="C62" i="8"/>
  <c r="U61" i="8"/>
  <c r="R61" i="8"/>
  <c r="Q61" i="8"/>
  <c r="R60" i="8"/>
  <c r="Q60" i="8"/>
  <c r="U60" i="8" s="1"/>
  <c r="U59" i="8"/>
  <c r="R59" i="8"/>
  <c r="Q59" i="8"/>
  <c r="R58" i="8"/>
  <c r="Q58" i="8"/>
  <c r="U58" i="8" s="1"/>
  <c r="U57" i="8"/>
  <c r="R57" i="8"/>
  <c r="Q57" i="8"/>
  <c r="R56" i="8"/>
  <c r="Q56" i="8"/>
  <c r="U56" i="8" s="1"/>
  <c r="U55" i="8"/>
  <c r="R55" i="8"/>
  <c r="Q55" i="8"/>
  <c r="R54" i="8"/>
  <c r="Q54" i="8"/>
  <c r="U54" i="8" s="1"/>
  <c r="U53" i="8"/>
  <c r="R53" i="8"/>
  <c r="Q53" i="8"/>
  <c r="R52" i="8"/>
  <c r="Q52" i="8"/>
  <c r="U52" i="8" s="1"/>
  <c r="U51" i="8"/>
  <c r="R51" i="8"/>
  <c r="Q51" i="8"/>
  <c r="R50" i="8"/>
  <c r="Q50" i="8"/>
  <c r="U50" i="8" s="1"/>
  <c r="P48" i="8"/>
  <c r="O48" i="8"/>
  <c r="N48" i="8"/>
  <c r="M48" i="8"/>
  <c r="R48" i="8" s="1"/>
  <c r="L48" i="8"/>
  <c r="K48" i="8"/>
  <c r="J48" i="8"/>
  <c r="I48" i="8"/>
  <c r="H48" i="8"/>
  <c r="G48" i="8"/>
  <c r="F48" i="8"/>
  <c r="E48" i="8"/>
  <c r="D48" i="8"/>
  <c r="C48" i="8"/>
  <c r="U47" i="8"/>
  <c r="R47" i="8"/>
  <c r="Q47" i="8"/>
  <c r="U46" i="8"/>
  <c r="R46" i="8"/>
  <c r="Q46" i="8"/>
  <c r="R45" i="8"/>
  <c r="Q45" i="8"/>
  <c r="U45" i="8" s="1"/>
  <c r="U44" i="8"/>
  <c r="R44" i="8"/>
  <c r="Q44" i="8"/>
  <c r="U43" i="8"/>
  <c r="R43" i="8"/>
  <c r="Q43" i="8"/>
  <c r="U42" i="8"/>
  <c r="R42" i="8"/>
  <c r="Q42" i="8"/>
  <c r="R41" i="8"/>
  <c r="Q41" i="8"/>
  <c r="U41" i="8" s="1"/>
  <c r="U40" i="8"/>
  <c r="R40" i="8"/>
  <c r="Q40" i="8"/>
  <c r="U39" i="8"/>
  <c r="R39" i="8"/>
  <c r="Q39" i="8"/>
  <c r="U38" i="8"/>
  <c r="R38" i="8"/>
  <c r="Q38" i="8"/>
  <c r="R37" i="8"/>
  <c r="Q37" i="8"/>
  <c r="U37" i="8" s="1"/>
  <c r="C32" i="8"/>
  <c r="N31" i="8"/>
  <c r="N32" i="8" s="1"/>
  <c r="M31" i="8"/>
  <c r="M32" i="8" s="1"/>
  <c r="D31" i="8"/>
  <c r="D32" i="8" s="1"/>
  <c r="D29" i="8"/>
  <c r="D33" i="8" s="1"/>
  <c r="D34" i="8" s="1"/>
  <c r="C29" i="8"/>
  <c r="C33" i="8" s="1"/>
  <c r="C34" i="8" s="1"/>
  <c r="O28" i="8"/>
  <c r="N28" i="8"/>
  <c r="N29" i="8" s="1"/>
  <c r="N33" i="8" s="1"/>
  <c r="N34" i="8" s="1"/>
  <c r="D28" i="8"/>
  <c r="P27" i="8"/>
  <c r="O27" i="8"/>
  <c r="N27" i="8"/>
  <c r="M27" i="8"/>
  <c r="L27" i="8"/>
  <c r="Q27" i="8" s="1"/>
  <c r="U27" i="8" s="1"/>
  <c r="K27" i="8"/>
  <c r="R27" i="8" s="1"/>
  <c r="D27" i="8"/>
  <c r="R26" i="8"/>
  <c r="P26" i="8"/>
  <c r="P31" i="8" s="1"/>
  <c r="P32" i="8" s="1"/>
  <c r="O26" i="8"/>
  <c r="O31" i="8" s="1"/>
  <c r="O32" i="8" s="1"/>
  <c r="N26" i="8"/>
  <c r="M26" i="8"/>
  <c r="L26" i="8"/>
  <c r="L31" i="8" s="1"/>
  <c r="L32" i="8" s="1"/>
  <c r="K26" i="8"/>
  <c r="K31" i="8" s="1"/>
  <c r="K32" i="8" s="1"/>
  <c r="J26" i="8"/>
  <c r="J31" i="8" s="1"/>
  <c r="J32" i="8" s="1"/>
  <c r="I26" i="8"/>
  <c r="I31" i="8" s="1"/>
  <c r="I32" i="8" s="1"/>
  <c r="H26" i="8"/>
  <c r="H31" i="8" s="1"/>
  <c r="H32" i="8" s="1"/>
  <c r="G26" i="8"/>
  <c r="G31" i="8" s="1"/>
  <c r="G32" i="8" s="1"/>
  <c r="F26" i="8"/>
  <c r="F31" i="8" s="1"/>
  <c r="F32" i="8" s="1"/>
  <c r="E26" i="8"/>
  <c r="Q26" i="8" s="1"/>
  <c r="U26" i="8" s="1"/>
  <c r="D26" i="8"/>
  <c r="U25" i="8"/>
  <c r="R25" i="8"/>
  <c r="Q25" i="8"/>
  <c r="D25" i="8"/>
  <c r="P24" i="8"/>
  <c r="O24" i="8"/>
  <c r="O29" i="8" s="1"/>
  <c r="O33" i="8" s="1"/>
  <c r="O34" i="8" s="1"/>
  <c r="N24" i="8"/>
  <c r="M24" i="8"/>
  <c r="L24" i="8"/>
  <c r="L29" i="8" s="1"/>
  <c r="L33" i="8" s="1"/>
  <c r="L34" i="8" s="1"/>
  <c r="K24" i="8"/>
  <c r="K29" i="8" s="1"/>
  <c r="D24" i="8"/>
  <c r="R21" i="8"/>
  <c r="Q21" i="8"/>
  <c r="U21" i="8" s="1"/>
  <c r="U20" i="8"/>
  <c r="R20" i="8"/>
  <c r="Q20" i="8"/>
  <c r="R19" i="8"/>
  <c r="Q19" i="8"/>
  <c r="U19" i="8" s="1"/>
  <c r="R18" i="8"/>
  <c r="Q18" i="8"/>
  <c r="U18" i="8" s="1"/>
  <c r="R17" i="8"/>
  <c r="Q17" i="8"/>
  <c r="U17" i="8" s="1"/>
  <c r="U16" i="8"/>
  <c r="R16" i="8"/>
  <c r="Q16" i="8"/>
  <c r="P14" i="8"/>
  <c r="P28" i="8" s="1"/>
  <c r="O14" i="8"/>
  <c r="N14" i="8"/>
  <c r="M14" i="8"/>
  <c r="M28" i="8" s="1"/>
  <c r="M29" i="8" s="1"/>
  <c r="L14" i="8"/>
  <c r="L28" i="8" s="1"/>
  <c r="K14" i="8"/>
  <c r="K28" i="8" s="1"/>
  <c r="J14" i="8"/>
  <c r="I14" i="8"/>
  <c r="H14" i="8"/>
  <c r="G14" i="8"/>
  <c r="F14" i="8"/>
  <c r="E14" i="8"/>
  <c r="R14" i="8" s="1"/>
  <c r="D14" i="8"/>
  <c r="C14" i="8"/>
  <c r="R13" i="8"/>
  <c r="Q13" i="8"/>
  <c r="U13" i="8" s="1"/>
  <c r="R12" i="8"/>
  <c r="Q12" i="8"/>
  <c r="U12" i="8" s="1"/>
  <c r="R11" i="8"/>
  <c r="Q11" i="8"/>
  <c r="U11" i="8" s="1"/>
  <c r="R10" i="8"/>
  <c r="Q10" i="8"/>
  <c r="U10" i="8" s="1"/>
  <c r="U9" i="8"/>
  <c r="R9" i="8"/>
  <c r="Q9" i="8"/>
  <c r="U8" i="8"/>
  <c r="R8" i="8"/>
  <c r="Q8" i="8"/>
  <c r="R7" i="8"/>
  <c r="Q7" i="8"/>
  <c r="Q14" i="8" s="1"/>
  <c r="U14" i="8" s="1"/>
  <c r="P134" i="7"/>
  <c r="O134" i="7"/>
  <c r="N134" i="7"/>
  <c r="M134" i="7"/>
  <c r="L134" i="7"/>
  <c r="K134" i="7"/>
  <c r="J134" i="7"/>
  <c r="I134" i="7"/>
  <c r="H134" i="7"/>
  <c r="G134" i="7"/>
  <c r="F134" i="7"/>
  <c r="R134" i="7" s="1"/>
  <c r="E134" i="7"/>
  <c r="E135" i="7" s="1"/>
  <c r="D134" i="7"/>
  <c r="C134" i="7"/>
  <c r="U133" i="7"/>
  <c r="R133" i="7"/>
  <c r="Q133" i="7"/>
  <c r="R132" i="7"/>
  <c r="Q132" i="7"/>
  <c r="Q134" i="7" s="1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R127" i="7" s="1"/>
  <c r="R126" i="7"/>
  <c r="Q126" i="7"/>
  <c r="U126" i="7" s="1"/>
  <c r="C126" i="7"/>
  <c r="C127" i="7" s="1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E128" i="7" s="1"/>
  <c r="D124" i="7"/>
  <c r="C124" i="7"/>
  <c r="U123" i="7"/>
  <c r="R123" i="7"/>
  <c r="Q123" i="7"/>
  <c r="H121" i="7"/>
  <c r="G121" i="7"/>
  <c r="G128" i="7" s="1"/>
  <c r="G135" i="7" s="1"/>
  <c r="R120" i="7"/>
  <c r="Q120" i="7"/>
  <c r="U120" i="7" s="1"/>
  <c r="R119" i="7"/>
  <c r="Q119" i="7"/>
  <c r="U119" i="7" s="1"/>
  <c r="R118" i="7"/>
  <c r="Q118" i="7"/>
  <c r="U118" i="7" s="1"/>
  <c r="R117" i="7"/>
  <c r="Q117" i="7"/>
  <c r="U117" i="7" s="1"/>
  <c r="R116" i="7"/>
  <c r="Q116" i="7"/>
  <c r="U116" i="7" s="1"/>
  <c r="R115" i="7"/>
  <c r="Q115" i="7"/>
  <c r="U115" i="7" s="1"/>
  <c r="R114" i="7"/>
  <c r="Q114" i="7"/>
  <c r="U114" i="7" s="1"/>
  <c r="R113" i="7"/>
  <c r="Q113" i="7"/>
  <c r="U113" i="7" s="1"/>
  <c r="R112" i="7"/>
  <c r="Q112" i="7"/>
  <c r="U112" i="7" s="1"/>
  <c r="R111" i="7"/>
  <c r="Q111" i="7"/>
  <c r="U111" i="7" s="1"/>
  <c r="D111" i="7"/>
  <c r="R110" i="7"/>
  <c r="Q110" i="7"/>
  <c r="U110" i="7" s="1"/>
  <c r="U109" i="7"/>
  <c r="R109" i="7"/>
  <c r="Q109" i="7"/>
  <c r="R108" i="7"/>
  <c r="Q108" i="7"/>
  <c r="U108" i="7" s="1"/>
  <c r="R107" i="7"/>
  <c r="Q107" i="7"/>
  <c r="U107" i="7" s="1"/>
  <c r="R106" i="7"/>
  <c r="Q106" i="7"/>
  <c r="U106" i="7" s="1"/>
  <c r="U105" i="7"/>
  <c r="R105" i="7"/>
  <c r="Q105" i="7"/>
  <c r="P104" i="7"/>
  <c r="P121" i="7" s="1"/>
  <c r="O104" i="7"/>
  <c r="O121" i="7" s="1"/>
  <c r="N104" i="7"/>
  <c r="N121" i="7" s="1"/>
  <c r="M104" i="7"/>
  <c r="M121" i="7" s="1"/>
  <c r="L104" i="7"/>
  <c r="L121" i="7" s="1"/>
  <c r="K104" i="7"/>
  <c r="K121" i="7" s="1"/>
  <c r="K128" i="7" s="1"/>
  <c r="J104" i="7"/>
  <c r="J121" i="7" s="1"/>
  <c r="J128" i="7" s="1"/>
  <c r="I104" i="7"/>
  <c r="I121" i="7" s="1"/>
  <c r="H104" i="7"/>
  <c r="G104" i="7"/>
  <c r="F104" i="7"/>
  <c r="F121" i="7" s="1"/>
  <c r="F128" i="7" s="1"/>
  <c r="F135" i="7" s="1"/>
  <c r="E104" i="7"/>
  <c r="E121" i="7" s="1"/>
  <c r="D104" i="7"/>
  <c r="R103" i="7"/>
  <c r="Q103" i="7"/>
  <c r="U103" i="7" s="1"/>
  <c r="R102" i="7"/>
  <c r="Q102" i="7"/>
  <c r="U102" i="7" s="1"/>
  <c r="U101" i="7"/>
  <c r="R101" i="7"/>
  <c r="Q101" i="7"/>
  <c r="C101" i="7"/>
  <c r="D101" i="7" s="1"/>
  <c r="R100" i="7"/>
  <c r="Q100" i="7"/>
  <c r="U100" i="7" s="1"/>
  <c r="R99" i="7"/>
  <c r="Q99" i="7"/>
  <c r="U99" i="7" s="1"/>
  <c r="D99" i="7"/>
  <c r="R98" i="7"/>
  <c r="Q98" i="7"/>
  <c r="U98" i="7" s="1"/>
  <c r="U97" i="7"/>
  <c r="R97" i="7"/>
  <c r="Q97" i="7"/>
  <c r="P95" i="7"/>
  <c r="O95" i="7"/>
  <c r="N95" i="7"/>
  <c r="M95" i="7"/>
  <c r="L95" i="7"/>
  <c r="K95" i="7"/>
  <c r="J95" i="7"/>
  <c r="I95" i="7"/>
  <c r="H95" i="7"/>
  <c r="G95" i="7"/>
  <c r="F95" i="7"/>
  <c r="E95" i="7"/>
  <c r="R95" i="7" s="1"/>
  <c r="R94" i="7"/>
  <c r="Q94" i="7"/>
  <c r="U94" i="7" s="1"/>
  <c r="D94" i="7"/>
  <c r="R93" i="7"/>
  <c r="Q93" i="7"/>
  <c r="U93" i="7" s="1"/>
  <c r="D93" i="7"/>
  <c r="U92" i="7"/>
  <c r="R92" i="7"/>
  <c r="Q92" i="7"/>
  <c r="C92" i="7"/>
  <c r="D92" i="7" s="1"/>
  <c r="D95" i="7" s="1"/>
  <c r="P90" i="7"/>
  <c r="O90" i="7"/>
  <c r="N90" i="7"/>
  <c r="M90" i="7"/>
  <c r="L90" i="7"/>
  <c r="K90" i="7"/>
  <c r="J90" i="7"/>
  <c r="I90" i="7"/>
  <c r="H90" i="7"/>
  <c r="G90" i="7"/>
  <c r="R90" i="7" s="1"/>
  <c r="F90" i="7"/>
  <c r="E90" i="7"/>
  <c r="D90" i="7"/>
  <c r="C90" i="7"/>
  <c r="R89" i="7"/>
  <c r="Q89" i="7"/>
  <c r="U89" i="7" s="1"/>
  <c r="R88" i="7"/>
  <c r="Q88" i="7"/>
  <c r="U88" i="7" s="1"/>
  <c r="U87" i="7"/>
  <c r="R87" i="7"/>
  <c r="Q87" i="7"/>
  <c r="R86" i="7"/>
  <c r="Q86" i="7"/>
  <c r="U86" i="7" s="1"/>
  <c r="R85" i="7"/>
  <c r="Q85" i="7"/>
  <c r="U85" i="7" s="1"/>
  <c r="R84" i="7"/>
  <c r="Q84" i="7"/>
  <c r="Q90" i="7" s="1"/>
  <c r="P82" i="7"/>
  <c r="O82" i="7"/>
  <c r="N82" i="7"/>
  <c r="M82" i="7"/>
  <c r="L82" i="7"/>
  <c r="K82" i="7"/>
  <c r="J82" i="7"/>
  <c r="I82" i="7"/>
  <c r="H82" i="7"/>
  <c r="G82" i="7"/>
  <c r="F82" i="7"/>
  <c r="R82" i="7" s="1"/>
  <c r="E82" i="7"/>
  <c r="D82" i="7"/>
  <c r="C82" i="7"/>
  <c r="U81" i="7"/>
  <c r="R81" i="7"/>
  <c r="Q81" i="7"/>
  <c r="U80" i="7"/>
  <c r="R80" i="7"/>
  <c r="Q80" i="7"/>
  <c r="R79" i="7"/>
  <c r="Q79" i="7"/>
  <c r="U79" i="7" s="1"/>
  <c r="U78" i="7"/>
  <c r="R78" i="7"/>
  <c r="Q78" i="7"/>
  <c r="P76" i="7"/>
  <c r="O76" i="7"/>
  <c r="N76" i="7"/>
  <c r="M76" i="7"/>
  <c r="L76" i="7"/>
  <c r="K76" i="7"/>
  <c r="J76" i="7"/>
  <c r="I76" i="7"/>
  <c r="H76" i="7"/>
  <c r="H128" i="7" s="1"/>
  <c r="H135" i="7" s="1"/>
  <c r="G76" i="7"/>
  <c r="F76" i="7"/>
  <c r="E76" i="7"/>
  <c r="R76" i="7" s="1"/>
  <c r="D76" i="7"/>
  <c r="C76" i="7"/>
  <c r="U75" i="7"/>
  <c r="R75" i="7"/>
  <c r="Q75" i="7"/>
  <c r="Q76" i="7" s="1"/>
  <c r="P73" i="7"/>
  <c r="O73" i="7"/>
  <c r="N73" i="7"/>
  <c r="M73" i="7"/>
  <c r="L73" i="7"/>
  <c r="R73" i="7" s="1"/>
  <c r="K73" i="7"/>
  <c r="J73" i="7"/>
  <c r="I73" i="7"/>
  <c r="H73" i="7"/>
  <c r="G73" i="7"/>
  <c r="F73" i="7"/>
  <c r="E73" i="7"/>
  <c r="C73" i="7"/>
  <c r="R72" i="7"/>
  <c r="Q72" i="7"/>
  <c r="U72" i="7" s="1"/>
  <c r="U71" i="7"/>
  <c r="R71" i="7"/>
  <c r="Q71" i="7"/>
  <c r="U70" i="7"/>
  <c r="R70" i="7"/>
  <c r="Q70" i="7"/>
  <c r="U69" i="7"/>
  <c r="R69" i="7"/>
  <c r="Q69" i="7"/>
  <c r="D69" i="7"/>
  <c r="D73" i="7" s="1"/>
  <c r="R68" i="7"/>
  <c r="Q68" i="7"/>
  <c r="U68" i="7" s="1"/>
  <c r="R67" i="7"/>
  <c r="Q67" i="7"/>
  <c r="U67" i="7" s="1"/>
  <c r="R66" i="7"/>
  <c r="Q66" i="7"/>
  <c r="U66" i="7" s="1"/>
  <c r="R65" i="7"/>
  <c r="Q65" i="7"/>
  <c r="U65" i="7" s="1"/>
  <c r="R64" i="7"/>
  <c r="Q64" i="7"/>
  <c r="Q73" i="7" s="1"/>
  <c r="P62" i="7"/>
  <c r="O62" i="7"/>
  <c r="N62" i="7"/>
  <c r="M62" i="7"/>
  <c r="L62" i="7"/>
  <c r="K62" i="7"/>
  <c r="J62" i="7"/>
  <c r="I62" i="7"/>
  <c r="H62" i="7"/>
  <c r="G62" i="7"/>
  <c r="F62" i="7"/>
  <c r="E62" i="7"/>
  <c r="R62" i="7" s="1"/>
  <c r="R61" i="7"/>
  <c r="Q61" i="7"/>
  <c r="U61" i="7" s="1"/>
  <c r="R60" i="7"/>
  <c r="Q60" i="7"/>
  <c r="U60" i="7" s="1"/>
  <c r="R59" i="7"/>
  <c r="Q59" i="7"/>
  <c r="U59" i="7" s="1"/>
  <c r="C59" i="7"/>
  <c r="C62" i="7" s="1"/>
  <c r="R58" i="7"/>
  <c r="Q58" i="7"/>
  <c r="U58" i="7" s="1"/>
  <c r="R57" i="7"/>
  <c r="Q57" i="7"/>
  <c r="U57" i="7" s="1"/>
  <c r="R56" i="7"/>
  <c r="Q56" i="7"/>
  <c r="U56" i="7" s="1"/>
  <c r="R55" i="7"/>
  <c r="Q55" i="7"/>
  <c r="U55" i="7" s="1"/>
  <c r="R54" i="7"/>
  <c r="Q54" i="7"/>
  <c r="U54" i="7" s="1"/>
  <c r="D54" i="7"/>
  <c r="U53" i="7"/>
  <c r="R53" i="7"/>
  <c r="Q53" i="7"/>
  <c r="R52" i="7"/>
  <c r="Q52" i="7"/>
  <c r="Q62" i="7" s="1"/>
  <c r="R51" i="7"/>
  <c r="Q51" i="7"/>
  <c r="U51" i="7" s="1"/>
  <c r="U50" i="7"/>
  <c r="R50" i="7"/>
  <c r="Q50" i="7"/>
  <c r="P48" i="7"/>
  <c r="O48" i="7"/>
  <c r="N48" i="7"/>
  <c r="M48" i="7"/>
  <c r="L48" i="7"/>
  <c r="K48" i="7"/>
  <c r="J48" i="7"/>
  <c r="I48" i="7"/>
  <c r="H48" i="7"/>
  <c r="G48" i="7"/>
  <c r="F48" i="7"/>
  <c r="R48" i="7" s="1"/>
  <c r="E48" i="7"/>
  <c r="U47" i="7"/>
  <c r="R47" i="7"/>
  <c r="Q47" i="7"/>
  <c r="D47" i="7"/>
  <c r="R46" i="7"/>
  <c r="Q46" i="7"/>
  <c r="U46" i="7" s="1"/>
  <c r="D46" i="7"/>
  <c r="U45" i="7"/>
  <c r="R45" i="7"/>
  <c r="Q45" i="7"/>
  <c r="D45" i="7"/>
  <c r="R44" i="7"/>
  <c r="Q44" i="7"/>
  <c r="U44" i="7" s="1"/>
  <c r="D44" i="7"/>
  <c r="R43" i="7"/>
  <c r="Q43" i="7"/>
  <c r="U43" i="7" s="1"/>
  <c r="D43" i="7"/>
  <c r="C43" i="7"/>
  <c r="U42" i="7"/>
  <c r="R42" i="7"/>
  <c r="Q42" i="7"/>
  <c r="D42" i="7"/>
  <c r="R41" i="7"/>
  <c r="Q41" i="7"/>
  <c r="U41" i="7" s="1"/>
  <c r="D41" i="7"/>
  <c r="R40" i="7"/>
  <c r="Q40" i="7"/>
  <c r="U40" i="7" s="1"/>
  <c r="D40" i="7"/>
  <c r="C40" i="7"/>
  <c r="U39" i="7"/>
  <c r="R39" i="7"/>
  <c r="Q39" i="7"/>
  <c r="D39" i="7"/>
  <c r="R38" i="7"/>
  <c r="Q38" i="7"/>
  <c r="U38" i="7" s="1"/>
  <c r="D38" i="7"/>
  <c r="R37" i="7"/>
  <c r="Q37" i="7"/>
  <c r="Q48" i="7" s="1"/>
  <c r="D37" i="7"/>
  <c r="D48" i="7" s="1"/>
  <c r="C37" i="7"/>
  <c r="C48" i="7" s="1"/>
  <c r="C32" i="7"/>
  <c r="M31" i="7"/>
  <c r="M32" i="7" s="1"/>
  <c r="I31" i="7"/>
  <c r="I32" i="7" s="1"/>
  <c r="H31" i="7"/>
  <c r="H32" i="7" s="1"/>
  <c r="D31" i="7"/>
  <c r="D32" i="7" s="1"/>
  <c r="M29" i="7"/>
  <c r="M33" i="7" s="1"/>
  <c r="M34" i="7" s="1"/>
  <c r="I29" i="7"/>
  <c r="I33" i="7" s="1"/>
  <c r="I34" i="7" s="1"/>
  <c r="H29" i="7"/>
  <c r="H33" i="7" s="1"/>
  <c r="H34" i="7" s="1"/>
  <c r="C29" i="7"/>
  <c r="C33" i="7" s="1"/>
  <c r="C34" i="7" s="1"/>
  <c r="R28" i="7"/>
  <c r="Q28" i="7"/>
  <c r="U28" i="7" s="1"/>
  <c r="D28" i="7"/>
  <c r="R27" i="7"/>
  <c r="Q27" i="7"/>
  <c r="U27" i="7" s="1"/>
  <c r="D27" i="7"/>
  <c r="U26" i="7"/>
  <c r="R26" i="7"/>
  <c r="Q26" i="7"/>
  <c r="U25" i="7" s="1"/>
  <c r="P26" i="7"/>
  <c r="P31" i="7" s="1"/>
  <c r="P32" i="7" s="1"/>
  <c r="O26" i="7"/>
  <c r="O31" i="7" s="1"/>
  <c r="O32" i="7" s="1"/>
  <c r="N26" i="7"/>
  <c r="N31" i="7" s="1"/>
  <c r="N32" i="7" s="1"/>
  <c r="M26" i="7"/>
  <c r="L26" i="7"/>
  <c r="L31" i="7" s="1"/>
  <c r="L32" i="7" s="1"/>
  <c r="K26" i="7"/>
  <c r="K31" i="7" s="1"/>
  <c r="K32" i="7" s="1"/>
  <c r="J26" i="7"/>
  <c r="J31" i="7" s="1"/>
  <c r="J32" i="7" s="1"/>
  <c r="I26" i="7"/>
  <c r="H26" i="7"/>
  <c r="G26" i="7"/>
  <c r="G31" i="7" s="1"/>
  <c r="G32" i="7" s="1"/>
  <c r="F26" i="7"/>
  <c r="F31" i="7" s="1"/>
  <c r="F32" i="7" s="1"/>
  <c r="E26" i="7"/>
  <c r="E31" i="7" s="1"/>
  <c r="D26" i="7"/>
  <c r="R25" i="7"/>
  <c r="Q25" i="7"/>
  <c r="D25" i="7"/>
  <c r="U24" i="7"/>
  <c r="R24" i="7"/>
  <c r="Q24" i="7"/>
  <c r="Q29" i="7" s="1"/>
  <c r="D24" i="7"/>
  <c r="R21" i="7"/>
  <c r="Q21" i="7"/>
  <c r="U21" i="7" s="1"/>
  <c r="R20" i="7"/>
  <c r="Q20" i="7"/>
  <c r="U20" i="7" s="1"/>
  <c r="R19" i="7"/>
  <c r="Q19" i="7"/>
  <c r="U19" i="7" s="1"/>
  <c r="R18" i="7"/>
  <c r="Q18" i="7"/>
  <c r="U18" i="7" s="1"/>
  <c r="U17" i="7"/>
  <c r="R17" i="7"/>
  <c r="Q17" i="7"/>
  <c r="R16" i="7"/>
  <c r="Q16" i="7"/>
  <c r="U16" i="7" s="1"/>
  <c r="P14" i="7"/>
  <c r="O14" i="7"/>
  <c r="N14" i="7"/>
  <c r="M14" i="7"/>
  <c r="L14" i="7"/>
  <c r="K14" i="7"/>
  <c r="J14" i="7"/>
  <c r="I14" i="7"/>
  <c r="H14" i="7"/>
  <c r="G14" i="7"/>
  <c r="F14" i="7"/>
  <c r="E14" i="7"/>
  <c r="R14" i="7" s="1"/>
  <c r="D14" i="7"/>
  <c r="C14" i="7"/>
  <c r="R13" i="7"/>
  <c r="Q13" i="7"/>
  <c r="U13" i="7" s="1"/>
  <c r="U12" i="7"/>
  <c r="R12" i="7"/>
  <c r="Q12" i="7"/>
  <c r="U11" i="7"/>
  <c r="R11" i="7"/>
  <c r="Q11" i="7"/>
  <c r="U10" i="7"/>
  <c r="R10" i="7"/>
  <c r="Q10" i="7"/>
  <c r="R9" i="7"/>
  <c r="Q9" i="7"/>
  <c r="U9" i="7" s="1"/>
  <c r="U8" i="7"/>
  <c r="R8" i="7"/>
  <c r="Q8" i="7"/>
  <c r="U7" i="7"/>
  <c r="R7" i="7"/>
  <c r="Q7" i="7"/>
  <c r="Q14" i="7" s="1"/>
  <c r="U14" i="7" s="1"/>
  <c r="P134" i="6"/>
  <c r="O134" i="6"/>
  <c r="N134" i="6"/>
  <c r="M134" i="6"/>
  <c r="L134" i="6"/>
  <c r="K134" i="6"/>
  <c r="J134" i="6"/>
  <c r="I134" i="6"/>
  <c r="I135" i="6" s="1"/>
  <c r="H134" i="6"/>
  <c r="G134" i="6"/>
  <c r="F134" i="6"/>
  <c r="F135" i="6" s="1"/>
  <c r="E134" i="6"/>
  <c r="D134" i="6"/>
  <c r="C134" i="6"/>
  <c r="U133" i="6"/>
  <c r="R133" i="6"/>
  <c r="Q133" i="6"/>
  <c r="U132" i="6"/>
  <c r="R132" i="6"/>
  <c r="Q132" i="6"/>
  <c r="Q134" i="6" s="1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R127" i="6" s="1"/>
  <c r="R126" i="6"/>
  <c r="Q126" i="6"/>
  <c r="U126" i="6" s="1"/>
  <c r="C126" i="6"/>
  <c r="C127" i="6" s="1"/>
  <c r="Q124" i="6"/>
  <c r="P124" i="6"/>
  <c r="P128" i="6" s="1"/>
  <c r="O124" i="6"/>
  <c r="N124" i="6"/>
  <c r="M124" i="6"/>
  <c r="L124" i="6"/>
  <c r="K124" i="6"/>
  <c r="K128" i="6" s="1"/>
  <c r="J124" i="6"/>
  <c r="I124" i="6"/>
  <c r="H124" i="6"/>
  <c r="H128" i="6" s="1"/>
  <c r="H135" i="6" s="1"/>
  <c r="G124" i="6"/>
  <c r="F124" i="6"/>
  <c r="E124" i="6"/>
  <c r="D124" i="6"/>
  <c r="C124" i="6"/>
  <c r="U123" i="6"/>
  <c r="R123" i="6"/>
  <c r="Q123" i="6"/>
  <c r="G121" i="6"/>
  <c r="G128" i="6" s="1"/>
  <c r="G135" i="6" s="1"/>
  <c r="F121" i="6"/>
  <c r="F128" i="6" s="1"/>
  <c r="R120" i="6"/>
  <c r="Q120" i="6"/>
  <c r="U120" i="6" s="1"/>
  <c r="R119" i="6"/>
  <c r="Q119" i="6"/>
  <c r="U119" i="6" s="1"/>
  <c r="R118" i="6"/>
  <c r="Q118" i="6"/>
  <c r="U117" i="6"/>
  <c r="R117" i="6"/>
  <c r="Q117" i="6"/>
  <c r="R116" i="6"/>
  <c r="Q116" i="6"/>
  <c r="U116" i="6" s="1"/>
  <c r="R115" i="6"/>
  <c r="Q115" i="6"/>
  <c r="U115" i="6" s="1"/>
  <c r="R114" i="6"/>
  <c r="Q114" i="6"/>
  <c r="U113" i="6"/>
  <c r="R113" i="6"/>
  <c r="Q113" i="6"/>
  <c r="R112" i="6"/>
  <c r="Q112" i="6"/>
  <c r="U112" i="6" s="1"/>
  <c r="R111" i="6"/>
  <c r="Q111" i="6"/>
  <c r="U111" i="6" s="1"/>
  <c r="R110" i="6"/>
  <c r="Q110" i="6"/>
  <c r="U109" i="6"/>
  <c r="R109" i="6"/>
  <c r="Q109" i="6"/>
  <c r="R108" i="6"/>
  <c r="Q108" i="6"/>
  <c r="U108" i="6" s="1"/>
  <c r="R107" i="6"/>
  <c r="Q107" i="6"/>
  <c r="U107" i="6" s="1"/>
  <c r="R106" i="6"/>
  <c r="Q106" i="6"/>
  <c r="U105" i="6"/>
  <c r="R105" i="6"/>
  <c r="Q105" i="6"/>
  <c r="P104" i="6"/>
  <c r="P121" i="6" s="1"/>
  <c r="O104" i="6"/>
  <c r="O121" i="6" s="1"/>
  <c r="O128" i="6" s="1"/>
  <c r="N104" i="6"/>
  <c r="N121" i="6" s="1"/>
  <c r="M104" i="6"/>
  <c r="M121" i="6" s="1"/>
  <c r="L104" i="6"/>
  <c r="L121" i="6" s="1"/>
  <c r="K104" i="6"/>
  <c r="K121" i="6" s="1"/>
  <c r="J104" i="6"/>
  <c r="J121" i="6" s="1"/>
  <c r="I104" i="6"/>
  <c r="I121" i="6" s="1"/>
  <c r="I128" i="6" s="1"/>
  <c r="H104" i="6"/>
  <c r="H121" i="6" s="1"/>
  <c r="G104" i="6"/>
  <c r="F104" i="6"/>
  <c r="E104" i="6"/>
  <c r="E121" i="6" s="1"/>
  <c r="D104" i="6"/>
  <c r="R103" i="6"/>
  <c r="Q103" i="6"/>
  <c r="U103" i="6" s="1"/>
  <c r="R102" i="6"/>
  <c r="Q102" i="6"/>
  <c r="U102" i="6" s="1"/>
  <c r="R101" i="6"/>
  <c r="Q101" i="6"/>
  <c r="U101" i="6" s="1"/>
  <c r="C101" i="6"/>
  <c r="D101" i="6" s="1"/>
  <c r="D121" i="6" s="1"/>
  <c r="U100" i="6"/>
  <c r="R100" i="6"/>
  <c r="Q100" i="6"/>
  <c r="R99" i="6"/>
  <c r="Q99" i="6"/>
  <c r="U99" i="6" s="1"/>
  <c r="U98" i="6"/>
  <c r="R98" i="6"/>
  <c r="Q98" i="6"/>
  <c r="U97" i="6"/>
  <c r="R97" i="6"/>
  <c r="Q97" i="6"/>
  <c r="P95" i="6"/>
  <c r="O95" i="6"/>
  <c r="N95" i="6"/>
  <c r="M95" i="6"/>
  <c r="L95" i="6"/>
  <c r="K95" i="6"/>
  <c r="J95" i="6"/>
  <c r="I95" i="6"/>
  <c r="H95" i="6"/>
  <c r="G95" i="6"/>
  <c r="F95" i="6"/>
  <c r="E95" i="6"/>
  <c r="R95" i="6" s="1"/>
  <c r="D95" i="6"/>
  <c r="C95" i="6"/>
  <c r="R94" i="6"/>
  <c r="Q94" i="6"/>
  <c r="U94" i="6" s="1"/>
  <c r="R93" i="6"/>
  <c r="Q93" i="6"/>
  <c r="U93" i="6" s="1"/>
  <c r="R92" i="6"/>
  <c r="Q92" i="6"/>
  <c r="U92" i="6" s="1"/>
  <c r="P90" i="6"/>
  <c r="O90" i="6"/>
  <c r="N90" i="6"/>
  <c r="M90" i="6"/>
  <c r="L90" i="6"/>
  <c r="K90" i="6"/>
  <c r="J90" i="6"/>
  <c r="I90" i="6"/>
  <c r="H90" i="6"/>
  <c r="G90" i="6"/>
  <c r="F90" i="6"/>
  <c r="E90" i="6"/>
  <c r="R90" i="6" s="1"/>
  <c r="D90" i="6"/>
  <c r="C90" i="6"/>
  <c r="U89" i="6"/>
  <c r="R89" i="6"/>
  <c r="Q89" i="6"/>
  <c r="R88" i="6"/>
  <c r="Q88" i="6"/>
  <c r="U88" i="6" s="1"/>
  <c r="U87" i="6"/>
  <c r="R87" i="6"/>
  <c r="Q87" i="6"/>
  <c r="U86" i="6"/>
  <c r="R86" i="6"/>
  <c r="Q86" i="6"/>
  <c r="U85" i="6"/>
  <c r="R85" i="6"/>
  <c r="Q85" i="6"/>
  <c r="R84" i="6"/>
  <c r="Q84" i="6"/>
  <c r="Q90" i="6" s="1"/>
  <c r="P82" i="6"/>
  <c r="O82" i="6"/>
  <c r="R82" i="6" s="1"/>
  <c r="N82" i="6"/>
  <c r="M82" i="6"/>
  <c r="L82" i="6"/>
  <c r="K82" i="6"/>
  <c r="J82" i="6"/>
  <c r="I82" i="6"/>
  <c r="H82" i="6"/>
  <c r="G82" i="6"/>
  <c r="F82" i="6"/>
  <c r="E82" i="6"/>
  <c r="D82" i="6"/>
  <c r="C82" i="6"/>
  <c r="R81" i="6"/>
  <c r="Q81" i="6"/>
  <c r="U81" i="6" s="1"/>
  <c r="R80" i="6"/>
  <c r="Q80" i="6"/>
  <c r="U80" i="6" s="1"/>
  <c r="R79" i="6"/>
  <c r="Q79" i="6"/>
  <c r="U79" i="6" s="1"/>
  <c r="R78" i="6"/>
  <c r="Q78" i="6"/>
  <c r="U78" i="6" s="1"/>
  <c r="R76" i="6"/>
  <c r="P76" i="6"/>
  <c r="O76" i="6"/>
  <c r="N76" i="6"/>
  <c r="M76" i="6"/>
  <c r="L76" i="6"/>
  <c r="K76" i="6"/>
  <c r="H76" i="6"/>
  <c r="G76" i="6"/>
  <c r="F76" i="6"/>
  <c r="E76" i="6"/>
  <c r="D76" i="6"/>
  <c r="C76" i="6"/>
  <c r="R75" i="6"/>
  <c r="Q75" i="6"/>
  <c r="U75" i="6" s="1"/>
  <c r="P73" i="6"/>
  <c r="O73" i="6"/>
  <c r="N73" i="6"/>
  <c r="M73" i="6"/>
  <c r="L73" i="6"/>
  <c r="K73" i="6"/>
  <c r="J73" i="6"/>
  <c r="I73" i="6"/>
  <c r="H73" i="6"/>
  <c r="G73" i="6"/>
  <c r="F73" i="6"/>
  <c r="E73" i="6"/>
  <c r="R73" i="6" s="1"/>
  <c r="D73" i="6"/>
  <c r="C73" i="6"/>
  <c r="U72" i="6"/>
  <c r="R72" i="6"/>
  <c r="Q72" i="6"/>
  <c r="R71" i="6"/>
  <c r="Q71" i="6"/>
  <c r="U71" i="6" s="1"/>
  <c r="U70" i="6"/>
  <c r="R70" i="6"/>
  <c r="Q70" i="6"/>
  <c r="U69" i="6"/>
  <c r="R69" i="6"/>
  <c r="Q69" i="6"/>
  <c r="U68" i="6"/>
  <c r="R68" i="6"/>
  <c r="Q68" i="6"/>
  <c r="R67" i="6"/>
  <c r="Q67" i="6"/>
  <c r="U67" i="6" s="1"/>
  <c r="U66" i="6"/>
  <c r="R66" i="6"/>
  <c r="Q66" i="6"/>
  <c r="U65" i="6"/>
  <c r="R65" i="6"/>
  <c r="Q65" i="6"/>
  <c r="U64" i="6"/>
  <c r="R64" i="6"/>
  <c r="Q64" i="6"/>
  <c r="Q73" i="6" s="1"/>
  <c r="P62" i="6"/>
  <c r="O62" i="6"/>
  <c r="N62" i="6"/>
  <c r="M62" i="6"/>
  <c r="L62" i="6"/>
  <c r="K62" i="6"/>
  <c r="J62" i="6"/>
  <c r="I62" i="6"/>
  <c r="H62" i="6"/>
  <c r="G62" i="6"/>
  <c r="F62" i="6"/>
  <c r="E62" i="6"/>
  <c r="R62" i="6" s="1"/>
  <c r="D62" i="6"/>
  <c r="C62" i="6"/>
  <c r="R61" i="6"/>
  <c r="Q61" i="6"/>
  <c r="U61" i="6" s="1"/>
  <c r="R60" i="6"/>
  <c r="Q60" i="6"/>
  <c r="U60" i="6" s="1"/>
  <c r="R59" i="6"/>
  <c r="Q59" i="6"/>
  <c r="U59" i="6" s="1"/>
  <c r="U58" i="6"/>
  <c r="R58" i="6"/>
  <c r="Q58" i="6"/>
  <c r="R57" i="6"/>
  <c r="Q57" i="6"/>
  <c r="U57" i="6" s="1"/>
  <c r="R56" i="6"/>
  <c r="Q56" i="6"/>
  <c r="U56" i="6" s="1"/>
  <c r="R55" i="6"/>
  <c r="Q55" i="6"/>
  <c r="U55" i="6" s="1"/>
  <c r="U54" i="6"/>
  <c r="R54" i="6"/>
  <c r="Q54" i="6"/>
  <c r="R53" i="6"/>
  <c r="Q53" i="6"/>
  <c r="U53" i="6" s="1"/>
  <c r="R52" i="6"/>
  <c r="Q52" i="6"/>
  <c r="U52" i="6" s="1"/>
  <c r="R51" i="6"/>
  <c r="Q51" i="6"/>
  <c r="U51" i="6" s="1"/>
  <c r="U50" i="6"/>
  <c r="R50" i="6"/>
  <c r="Q50" i="6"/>
  <c r="P48" i="6"/>
  <c r="O48" i="6"/>
  <c r="N48" i="6"/>
  <c r="M48" i="6"/>
  <c r="L48" i="6"/>
  <c r="K48" i="6"/>
  <c r="J48" i="6"/>
  <c r="R48" i="6" s="1"/>
  <c r="I48" i="6"/>
  <c r="H48" i="6"/>
  <c r="G48" i="6"/>
  <c r="F48" i="6"/>
  <c r="E48" i="6"/>
  <c r="D48" i="6"/>
  <c r="C48" i="6"/>
  <c r="U47" i="6"/>
  <c r="R47" i="6"/>
  <c r="Q47" i="6"/>
  <c r="U46" i="6"/>
  <c r="R46" i="6"/>
  <c r="Q46" i="6"/>
  <c r="U45" i="6"/>
  <c r="R45" i="6"/>
  <c r="Q45" i="6"/>
  <c r="R44" i="6"/>
  <c r="Q44" i="6"/>
  <c r="U44" i="6" s="1"/>
  <c r="U43" i="6"/>
  <c r="R43" i="6"/>
  <c r="Q43" i="6"/>
  <c r="U42" i="6"/>
  <c r="R42" i="6"/>
  <c r="Q42" i="6"/>
  <c r="U41" i="6"/>
  <c r="R41" i="6"/>
  <c r="Q41" i="6"/>
  <c r="R40" i="6"/>
  <c r="Q40" i="6"/>
  <c r="U40" i="6" s="1"/>
  <c r="U39" i="6"/>
  <c r="R39" i="6"/>
  <c r="Q39" i="6"/>
  <c r="U38" i="6"/>
  <c r="R38" i="6"/>
  <c r="Q38" i="6"/>
  <c r="U37" i="6"/>
  <c r="R37" i="6"/>
  <c r="Q37" i="6"/>
  <c r="C32" i="6"/>
  <c r="P31" i="6"/>
  <c r="P32" i="6" s="1"/>
  <c r="N31" i="6"/>
  <c r="N32" i="6" s="1"/>
  <c r="M31" i="6"/>
  <c r="M32" i="6" s="1"/>
  <c r="D31" i="6"/>
  <c r="D32" i="6" s="1"/>
  <c r="C29" i="6"/>
  <c r="C33" i="6" s="1"/>
  <c r="C34" i="6" s="1"/>
  <c r="O28" i="6"/>
  <c r="N28" i="6"/>
  <c r="N29" i="6" s="1"/>
  <c r="N33" i="6" s="1"/>
  <c r="N34" i="6" s="1"/>
  <c r="D28" i="6"/>
  <c r="P27" i="6"/>
  <c r="O27" i="6"/>
  <c r="N27" i="6"/>
  <c r="M27" i="6"/>
  <c r="L27" i="6"/>
  <c r="K27" i="6"/>
  <c r="R27" i="6" s="1"/>
  <c r="D27" i="6"/>
  <c r="R26" i="6"/>
  <c r="P26" i="6"/>
  <c r="O26" i="6"/>
  <c r="O31" i="6" s="1"/>
  <c r="O32" i="6" s="1"/>
  <c r="N26" i="6"/>
  <c r="M26" i="6"/>
  <c r="L26" i="6"/>
  <c r="L31" i="6" s="1"/>
  <c r="L32" i="6" s="1"/>
  <c r="K26" i="6"/>
  <c r="K31" i="6" s="1"/>
  <c r="K32" i="6" s="1"/>
  <c r="J26" i="6"/>
  <c r="J31" i="6" s="1"/>
  <c r="J32" i="6" s="1"/>
  <c r="I26" i="6"/>
  <c r="I31" i="6" s="1"/>
  <c r="I32" i="6" s="1"/>
  <c r="H26" i="6"/>
  <c r="H31" i="6" s="1"/>
  <c r="H32" i="6" s="1"/>
  <c r="G26" i="6"/>
  <c r="G31" i="6" s="1"/>
  <c r="G32" i="6" s="1"/>
  <c r="F26" i="6"/>
  <c r="F31" i="6" s="1"/>
  <c r="F32" i="6" s="1"/>
  <c r="E26" i="6"/>
  <c r="Q26" i="6" s="1"/>
  <c r="U26" i="6" s="1"/>
  <c r="D26" i="6"/>
  <c r="U25" i="6"/>
  <c r="R25" i="6"/>
  <c r="Q25" i="6"/>
  <c r="D25" i="6"/>
  <c r="P24" i="6"/>
  <c r="O24" i="6"/>
  <c r="O29" i="6" s="1"/>
  <c r="O33" i="6" s="1"/>
  <c r="O34" i="6" s="1"/>
  <c r="N24" i="6"/>
  <c r="M24" i="6"/>
  <c r="L24" i="6"/>
  <c r="K24" i="6"/>
  <c r="D24" i="6"/>
  <c r="R21" i="6"/>
  <c r="Q21" i="6"/>
  <c r="U21" i="6" s="1"/>
  <c r="R20" i="6"/>
  <c r="Q20" i="6"/>
  <c r="U20" i="6" s="1"/>
  <c r="R19" i="6"/>
  <c r="Q19" i="6"/>
  <c r="U19" i="6" s="1"/>
  <c r="R18" i="6"/>
  <c r="Q18" i="6"/>
  <c r="U18" i="6" s="1"/>
  <c r="R17" i="6"/>
  <c r="Q17" i="6"/>
  <c r="U17" i="6" s="1"/>
  <c r="U16" i="6"/>
  <c r="R16" i="6"/>
  <c r="Q16" i="6"/>
  <c r="P14" i="6"/>
  <c r="P28" i="6" s="1"/>
  <c r="P29" i="6" s="1"/>
  <c r="O14" i="6"/>
  <c r="N14" i="6"/>
  <c r="M14" i="6"/>
  <c r="M28" i="6" s="1"/>
  <c r="M29" i="6" s="1"/>
  <c r="L14" i="6"/>
  <c r="L28" i="6" s="1"/>
  <c r="K14" i="6"/>
  <c r="K28" i="6" s="1"/>
  <c r="J14" i="6"/>
  <c r="I14" i="6"/>
  <c r="H14" i="6"/>
  <c r="G14" i="6"/>
  <c r="F14" i="6"/>
  <c r="R14" i="6" s="1"/>
  <c r="E14" i="6"/>
  <c r="D14" i="6"/>
  <c r="C14" i="6"/>
  <c r="R13" i="6"/>
  <c r="Q13" i="6"/>
  <c r="U13" i="6" s="1"/>
  <c r="R12" i="6"/>
  <c r="Q12" i="6"/>
  <c r="U12" i="6" s="1"/>
  <c r="R11" i="6"/>
  <c r="Q11" i="6"/>
  <c r="U11" i="6" s="1"/>
  <c r="U10" i="6"/>
  <c r="R10" i="6"/>
  <c r="Q10" i="6"/>
  <c r="R9" i="6"/>
  <c r="Q9" i="6"/>
  <c r="U9" i="6" s="1"/>
  <c r="R8" i="6"/>
  <c r="Q8" i="6"/>
  <c r="U8" i="6" s="1"/>
  <c r="U7" i="6"/>
  <c r="R7" i="6"/>
  <c r="Q7" i="6"/>
  <c r="Q14" i="6" s="1"/>
  <c r="U14" i="6" s="1"/>
  <c r="P134" i="5"/>
  <c r="O134" i="5"/>
  <c r="N134" i="5"/>
  <c r="M134" i="5"/>
  <c r="L134" i="5"/>
  <c r="K134" i="5"/>
  <c r="J134" i="5"/>
  <c r="I134" i="5"/>
  <c r="H134" i="5"/>
  <c r="G134" i="5"/>
  <c r="F134" i="5"/>
  <c r="F135" i="5" s="1"/>
  <c r="E134" i="5"/>
  <c r="D134" i="5"/>
  <c r="C134" i="5"/>
  <c r="R133" i="5"/>
  <c r="Q133" i="5"/>
  <c r="U133" i="5" s="1"/>
  <c r="R132" i="5"/>
  <c r="Q132" i="5"/>
  <c r="Q134" i="5" s="1"/>
  <c r="P127" i="5"/>
  <c r="O127" i="5"/>
  <c r="N127" i="5"/>
  <c r="M127" i="5"/>
  <c r="L127" i="5"/>
  <c r="K127" i="5"/>
  <c r="J127" i="5"/>
  <c r="I127" i="5"/>
  <c r="H127" i="5"/>
  <c r="G127" i="5"/>
  <c r="F127" i="5"/>
  <c r="E127" i="5"/>
  <c r="R127" i="5" s="1"/>
  <c r="R126" i="5"/>
  <c r="Q126" i="5"/>
  <c r="U126" i="5" s="1"/>
  <c r="C126" i="5"/>
  <c r="C127" i="5" s="1"/>
  <c r="R124" i="5"/>
  <c r="Q124" i="5"/>
  <c r="P124" i="5"/>
  <c r="O124" i="5"/>
  <c r="N124" i="5"/>
  <c r="M124" i="5"/>
  <c r="L124" i="5"/>
  <c r="K124" i="5"/>
  <c r="K128" i="5" s="1"/>
  <c r="J124" i="5"/>
  <c r="J128" i="5" s="1"/>
  <c r="I124" i="5"/>
  <c r="H124" i="5"/>
  <c r="G124" i="5"/>
  <c r="F124" i="5"/>
  <c r="E124" i="5"/>
  <c r="E128" i="5" s="1"/>
  <c r="D124" i="5"/>
  <c r="C124" i="5"/>
  <c r="U123" i="5"/>
  <c r="R123" i="5"/>
  <c r="Q123" i="5"/>
  <c r="I121" i="5"/>
  <c r="H121" i="5"/>
  <c r="H128" i="5" s="1"/>
  <c r="H135" i="5" s="1"/>
  <c r="G121" i="5"/>
  <c r="G128" i="5" s="1"/>
  <c r="G135" i="5" s="1"/>
  <c r="F121" i="5"/>
  <c r="F128" i="5" s="1"/>
  <c r="R120" i="5"/>
  <c r="Q120" i="5"/>
  <c r="U120" i="5" s="1"/>
  <c r="R119" i="5"/>
  <c r="Q119" i="5"/>
  <c r="U119" i="5" s="1"/>
  <c r="R118" i="5"/>
  <c r="Q118" i="5"/>
  <c r="U117" i="5"/>
  <c r="R117" i="5"/>
  <c r="Q117" i="5"/>
  <c r="R116" i="5"/>
  <c r="Q116" i="5"/>
  <c r="U116" i="5" s="1"/>
  <c r="R115" i="5"/>
  <c r="Q115" i="5"/>
  <c r="U115" i="5" s="1"/>
  <c r="R114" i="5"/>
  <c r="Q114" i="5"/>
  <c r="U113" i="5"/>
  <c r="R113" i="5"/>
  <c r="Q113" i="5"/>
  <c r="R112" i="5"/>
  <c r="Q112" i="5"/>
  <c r="U112" i="5" s="1"/>
  <c r="R111" i="5"/>
  <c r="Q111" i="5"/>
  <c r="U111" i="5" s="1"/>
  <c r="R110" i="5"/>
  <c r="Q110" i="5"/>
  <c r="U109" i="5"/>
  <c r="R109" i="5"/>
  <c r="Q109" i="5"/>
  <c r="R108" i="5"/>
  <c r="Q108" i="5"/>
  <c r="U108" i="5" s="1"/>
  <c r="R107" i="5"/>
  <c r="Q107" i="5"/>
  <c r="U107" i="5" s="1"/>
  <c r="R106" i="5"/>
  <c r="Q106" i="5"/>
  <c r="D106" i="5"/>
  <c r="C106" i="5"/>
  <c r="R105" i="5"/>
  <c r="Q105" i="5"/>
  <c r="U105" i="5" s="1"/>
  <c r="P104" i="5"/>
  <c r="P121" i="5" s="1"/>
  <c r="O104" i="5"/>
  <c r="O121" i="5" s="1"/>
  <c r="N104" i="5"/>
  <c r="N121" i="5" s="1"/>
  <c r="M104" i="5"/>
  <c r="M121" i="5" s="1"/>
  <c r="L104" i="5"/>
  <c r="L121" i="5" s="1"/>
  <c r="K104" i="5"/>
  <c r="K121" i="5" s="1"/>
  <c r="J104" i="5"/>
  <c r="J121" i="5" s="1"/>
  <c r="I104" i="5"/>
  <c r="H104" i="5"/>
  <c r="G104" i="5"/>
  <c r="F104" i="5"/>
  <c r="E104" i="5"/>
  <c r="E121" i="5" s="1"/>
  <c r="D104" i="5"/>
  <c r="R103" i="5"/>
  <c r="Q103" i="5"/>
  <c r="U103" i="5" s="1"/>
  <c r="R102" i="5"/>
  <c r="Q102" i="5"/>
  <c r="U102" i="5" s="1"/>
  <c r="U101" i="5"/>
  <c r="R101" i="5"/>
  <c r="Q101" i="5"/>
  <c r="C101" i="5"/>
  <c r="C121" i="5" s="1"/>
  <c r="U100" i="5"/>
  <c r="R100" i="5"/>
  <c r="Q100" i="5"/>
  <c r="R99" i="5"/>
  <c r="Q99" i="5"/>
  <c r="U99" i="5" s="1"/>
  <c r="U98" i="5"/>
  <c r="R98" i="5"/>
  <c r="Q98" i="5"/>
  <c r="R97" i="5"/>
  <c r="Q97" i="5"/>
  <c r="U97" i="5" s="1"/>
  <c r="P95" i="5"/>
  <c r="O95" i="5"/>
  <c r="N95" i="5"/>
  <c r="M95" i="5"/>
  <c r="L95" i="5"/>
  <c r="K95" i="5"/>
  <c r="J95" i="5"/>
  <c r="I95" i="5"/>
  <c r="H95" i="5"/>
  <c r="G95" i="5"/>
  <c r="F95" i="5"/>
  <c r="E95" i="5"/>
  <c r="R95" i="5" s="1"/>
  <c r="D95" i="5"/>
  <c r="C95" i="5"/>
  <c r="R94" i="5"/>
  <c r="Q94" i="5"/>
  <c r="U94" i="5" s="1"/>
  <c r="R93" i="5"/>
  <c r="Q93" i="5"/>
  <c r="U93" i="5" s="1"/>
  <c r="U92" i="5"/>
  <c r="R92" i="5"/>
  <c r="Q92" i="5"/>
  <c r="Q95" i="5" s="1"/>
  <c r="P90" i="5"/>
  <c r="O90" i="5"/>
  <c r="N90" i="5"/>
  <c r="M90" i="5"/>
  <c r="L90" i="5"/>
  <c r="K90" i="5"/>
  <c r="J90" i="5"/>
  <c r="I90" i="5"/>
  <c r="I128" i="5" s="1"/>
  <c r="I135" i="5" s="1"/>
  <c r="H90" i="5"/>
  <c r="G90" i="5"/>
  <c r="R90" i="5" s="1"/>
  <c r="F90" i="5"/>
  <c r="E90" i="5"/>
  <c r="U89" i="5"/>
  <c r="R89" i="5"/>
  <c r="Q89" i="5"/>
  <c r="R88" i="5"/>
  <c r="Q88" i="5"/>
  <c r="U88" i="5" s="1"/>
  <c r="U87" i="5"/>
  <c r="R87" i="5"/>
  <c r="Q87" i="5"/>
  <c r="R86" i="5"/>
  <c r="Q86" i="5"/>
  <c r="U86" i="5" s="1"/>
  <c r="U85" i="5"/>
  <c r="R85" i="5"/>
  <c r="Q85" i="5"/>
  <c r="R84" i="5"/>
  <c r="Q84" i="5"/>
  <c r="Q90" i="5" s="1"/>
  <c r="C84" i="5"/>
  <c r="C90" i="5" s="1"/>
  <c r="P82" i="5"/>
  <c r="O82" i="5"/>
  <c r="N82" i="5"/>
  <c r="M82" i="5"/>
  <c r="L82" i="5"/>
  <c r="K82" i="5"/>
  <c r="J82" i="5"/>
  <c r="I82" i="5"/>
  <c r="H82" i="5"/>
  <c r="G82" i="5"/>
  <c r="F82" i="5"/>
  <c r="E82" i="5"/>
  <c r="R82" i="5" s="1"/>
  <c r="D82" i="5"/>
  <c r="C82" i="5"/>
  <c r="R81" i="5"/>
  <c r="Q81" i="5"/>
  <c r="U81" i="5" s="1"/>
  <c r="U80" i="5"/>
  <c r="R80" i="5"/>
  <c r="Q80" i="5"/>
  <c r="R79" i="5"/>
  <c r="Q79" i="5"/>
  <c r="U79" i="5" s="1"/>
  <c r="U78" i="5"/>
  <c r="R78" i="5"/>
  <c r="Q78" i="5"/>
  <c r="Q82" i="5" s="1"/>
  <c r="P76" i="5"/>
  <c r="O76" i="5"/>
  <c r="N76" i="5"/>
  <c r="M76" i="5"/>
  <c r="L76" i="5"/>
  <c r="K76" i="5"/>
  <c r="H76" i="5"/>
  <c r="G76" i="5"/>
  <c r="F76" i="5"/>
  <c r="E76" i="5"/>
  <c r="R76" i="5" s="1"/>
  <c r="D76" i="5"/>
  <c r="C76" i="5"/>
  <c r="R75" i="5"/>
  <c r="Q75" i="5"/>
  <c r="U75" i="5" s="1"/>
  <c r="P73" i="5"/>
  <c r="O73" i="5"/>
  <c r="N73" i="5"/>
  <c r="M73" i="5"/>
  <c r="L73" i="5"/>
  <c r="K73" i="5"/>
  <c r="J73" i="5"/>
  <c r="I73" i="5"/>
  <c r="H73" i="5"/>
  <c r="G73" i="5"/>
  <c r="F73" i="5"/>
  <c r="E73" i="5"/>
  <c r="R73" i="5" s="1"/>
  <c r="D73" i="5"/>
  <c r="C73" i="5"/>
  <c r="R72" i="5"/>
  <c r="Q72" i="5"/>
  <c r="U72" i="5" s="1"/>
  <c r="R71" i="5"/>
  <c r="Q71" i="5"/>
  <c r="U71" i="5" s="1"/>
  <c r="U70" i="5"/>
  <c r="R70" i="5"/>
  <c r="Q70" i="5"/>
  <c r="U69" i="5"/>
  <c r="R69" i="5"/>
  <c r="Q69" i="5"/>
  <c r="R68" i="5"/>
  <c r="Q68" i="5"/>
  <c r="U68" i="5" s="1"/>
  <c r="R67" i="5"/>
  <c r="Q67" i="5"/>
  <c r="U67" i="5" s="1"/>
  <c r="U66" i="5"/>
  <c r="R66" i="5"/>
  <c r="Q66" i="5"/>
  <c r="U65" i="5"/>
  <c r="R65" i="5"/>
  <c r="Q65" i="5"/>
  <c r="R64" i="5"/>
  <c r="Q64" i="5"/>
  <c r="U64" i="5" s="1"/>
  <c r="Q62" i="5"/>
  <c r="U62" i="5" s="1"/>
  <c r="P62" i="5"/>
  <c r="R62" i="5" s="1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U61" i="5"/>
  <c r="R61" i="5"/>
  <c r="Q61" i="5"/>
  <c r="R60" i="5"/>
  <c r="Q60" i="5"/>
  <c r="U60" i="5" s="1"/>
  <c r="R59" i="5"/>
  <c r="Q59" i="5"/>
  <c r="U59" i="5" s="1"/>
  <c r="R58" i="5"/>
  <c r="Q58" i="5"/>
  <c r="U58" i="5" s="1"/>
  <c r="U57" i="5"/>
  <c r="R57" i="5"/>
  <c r="Q57" i="5"/>
  <c r="R56" i="5"/>
  <c r="Q56" i="5"/>
  <c r="U56" i="5" s="1"/>
  <c r="R55" i="5"/>
  <c r="Q55" i="5"/>
  <c r="U55" i="5" s="1"/>
  <c r="R54" i="5"/>
  <c r="Q54" i="5"/>
  <c r="U54" i="5" s="1"/>
  <c r="U53" i="5"/>
  <c r="R53" i="5"/>
  <c r="Q53" i="5"/>
  <c r="R52" i="5"/>
  <c r="Q52" i="5"/>
  <c r="U52" i="5" s="1"/>
  <c r="R51" i="5"/>
  <c r="Q51" i="5"/>
  <c r="U51" i="5" s="1"/>
  <c r="R50" i="5"/>
  <c r="Q50" i="5"/>
  <c r="U50" i="5" s="1"/>
  <c r="R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R47" i="5"/>
  <c r="Q47" i="5"/>
  <c r="R46" i="5"/>
  <c r="Q46" i="5"/>
  <c r="U46" i="5" s="1"/>
  <c r="U45" i="5"/>
  <c r="R45" i="5"/>
  <c r="Q45" i="5"/>
  <c r="R44" i="5"/>
  <c r="Q44" i="5"/>
  <c r="U44" i="5" s="1"/>
  <c r="U43" i="5"/>
  <c r="R43" i="5"/>
  <c r="Q43" i="5"/>
  <c r="R42" i="5"/>
  <c r="Q42" i="5"/>
  <c r="U42" i="5" s="1"/>
  <c r="U41" i="5"/>
  <c r="R41" i="5"/>
  <c r="Q41" i="5"/>
  <c r="R40" i="5"/>
  <c r="Q40" i="5"/>
  <c r="Q48" i="5" s="1"/>
  <c r="U39" i="5"/>
  <c r="R39" i="5"/>
  <c r="Q39" i="5"/>
  <c r="R38" i="5"/>
  <c r="Q38" i="5"/>
  <c r="U38" i="5" s="1"/>
  <c r="U37" i="5"/>
  <c r="R37" i="5"/>
  <c r="Q37" i="5"/>
  <c r="C32" i="5"/>
  <c r="D31" i="5"/>
  <c r="D32" i="5" s="1"/>
  <c r="C29" i="5"/>
  <c r="D29" i="5" s="1"/>
  <c r="D33" i="5" s="1"/>
  <c r="D34" i="5" s="1"/>
  <c r="U28" i="5"/>
  <c r="R28" i="5"/>
  <c r="Q28" i="5"/>
  <c r="D28" i="5"/>
  <c r="P27" i="5"/>
  <c r="O27" i="5"/>
  <c r="N27" i="5"/>
  <c r="M27" i="5"/>
  <c r="L27" i="5"/>
  <c r="K27" i="5"/>
  <c r="R27" i="5" s="1"/>
  <c r="D27" i="5"/>
  <c r="R26" i="5"/>
  <c r="Q26" i="5"/>
  <c r="U26" i="5" s="1"/>
  <c r="P26" i="5"/>
  <c r="P31" i="5" s="1"/>
  <c r="P32" i="5" s="1"/>
  <c r="O26" i="5"/>
  <c r="O31" i="5" s="1"/>
  <c r="O32" i="5" s="1"/>
  <c r="N26" i="5"/>
  <c r="N31" i="5" s="1"/>
  <c r="N32" i="5" s="1"/>
  <c r="M26" i="5"/>
  <c r="M31" i="5" s="1"/>
  <c r="M32" i="5" s="1"/>
  <c r="L26" i="5"/>
  <c r="L31" i="5" s="1"/>
  <c r="L32" i="5" s="1"/>
  <c r="K26" i="5"/>
  <c r="K31" i="5" s="1"/>
  <c r="K32" i="5" s="1"/>
  <c r="J26" i="5"/>
  <c r="J31" i="5" s="1"/>
  <c r="J32" i="5" s="1"/>
  <c r="I26" i="5"/>
  <c r="I31" i="5" s="1"/>
  <c r="I32" i="5" s="1"/>
  <c r="H26" i="5"/>
  <c r="H31" i="5" s="1"/>
  <c r="H32" i="5" s="1"/>
  <c r="G26" i="5"/>
  <c r="G31" i="5" s="1"/>
  <c r="G32" i="5" s="1"/>
  <c r="F26" i="5"/>
  <c r="F31" i="5" s="1"/>
  <c r="F32" i="5" s="1"/>
  <c r="E26" i="5"/>
  <c r="E31" i="5" s="1"/>
  <c r="D26" i="5"/>
  <c r="R25" i="5"/>
  <c r="Q25" i="5"/>
  <c r="U25" i="5" s="1"/>
  <c r="D25" i="5"/>
  <c r="P24" i="5"/>
  <c r="O24" i="5"/>
  <c r="N24" i="5"/>
  <c r="N29" i="5" s="1"/>
  <c r="M24" i="5"/>
  <c r="M29" i="5" s="1"/>
  <c r="M33" i="5" s="1"/>
  <c r="M34" i="5" s="1"/>
  <c r="L24" i="5"/>
  <c r="K24" i="5"/>
  <c r="R24" i="5" s="1"/>
  <c r="D24" i="5"/>
  <c r="R21" i="5"/>
  <c r="Q21" i="5"/>
  <c r="U21" i="5" s="1"/>
  <c r="U20" i="5"/>
  <c r="R20" i="5"/>
  <c r="Q20" i="5"/>
  <c r="R19" i="5"/>
  <c r="Q19" i="5"/>
  <c r="U19" i="5" s="1"/>
  <c r="R18" i="5"/>
  <c r="Q18" i="5"/>
  <c r="U18" i="5" s="1"/>
  <c r="U17" i="5"/>
  <c r="R17" i="5"/>
  <c r="Q17" i="5"/>
  <c r="U16" i="5"/>
  <c r="R16" i="5"/>
  <c r="Q16" i="5"/>
  <c r="P14" i="5"/>
  <c r="O14" i="5"/>
  <c r="N14" i="5"/>
  <c r="M14" i="5"/>
  <c r="L14" i="5"/>
  <c r="K14" i="5"/>
  <c r="J14" i="5"/>
  <c r="I14" i="5"/>
  <c r="H14" i="5"/>
  <c r="G14" i="5"/>
  <c r="F14" i="5"/>
  <c r="E14" i="5"/>
  <c r="R14" i="5" s="1"/>
  <c r="D14" i="5"/>
  <c r="C14" i="5"/>
  <c r="R13" i="5"/>
  <c r="Q13" i="5"/>
  <c r="U13" i="5" s="1"/>
  <c r="U12" i="5"/>
  <c r="R12" i="5"/>
  <c r="Q12" i="5"/>
  <c r="U11" i="5"/>
  <c r="R11" i="5"/>
  <c r="Q11" i="5"/>
  <c r="U10" i="5"/>
  <c r="R10" i="5"/>
  <c r="Q10" i="5"/>
  <c r="U9" i="5"/>
  <c r="R9" i="5"/>
  <c r="Q9" i="5"/>
  <c r="U8" i="5"/>
  <c r="R8" i="5"/>
  <c r="Q8" i="5"/>
  <c r="Q14" i="5" s="1"/>
  <c r="U14" i="5" s="1"/>
  <c r="U7" i="5"/>
  <c r="R7" i="5"/>
  <c r="Q7" i="5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R133" i="4"/>
  <c r="Q133" i="4"/>
  <c r="U133" i="4" s="1"/>
  <c r="R132" i="4"/>
  <c r="Q132" i="4"/>
  <c r="Q134" i="4" s="1"/>
  <c r="P127" i="4"/>
  <c r="O127" i="4"/>
  <c r="N127" i="4"/>
  <c r="M127" i="4"/>
  <c r="L127" i="4"/>
  <c r="K127" i="4"/>
  <c r="J127" i="4"/>
  <c r="I127" i="4"/>
  <c r="H127" i="4"/>
  <c r="G127" i="4"/>
  <c r="F127" i="4"/>
  <c r="R127" i="4" s="1"/>
  <c r="E127" i="4"/>
  <c r="D127" i="4"/>
  <c r="C127" i="4"/>
  <c r="U126" i="4"/>
  <c r="R126" i="4"/>
  <c r="Q126" i="4"/>
  <c r="Q127" i="4" s="1"/>
  <c r="D126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R123" i="4"/>
  <c r="Q123" i="4"/>
  <c r="Q124" i="4" s="1"/>
  <c r="D123" i="4"/>
  <c r="D124" i="4" s="1"/>
  <c r="C121" i="4"/>
  <c r="R120" i="4"/>
  <c r="Q120" i="4"/>
  <c r="U120" i="4" s="1"/>
  <c r="D120" i="4"/>
  <c r="R119" i="4"/>
  <c r="Q119" i="4"/>
  <c r="U119" i="4" s="1"/>
  <c r="D119" i="4"/>
  <c r="R118" i="4"/>
  <c r="Q118" i="4"/>
  <c r="U118" i="4" s="1"/>
  <c r="D118" i="4"/>
  <c r="R117" i="4"/>
  <c r="Q117" i="4"/>
  <c r="U117" i="4" s="1"/>
  <c r="D117" i="4"/>
  <c r="R116" i="4"/>
  <c r="Q116" i="4"/>
  <c r="U116" i="4" s="1"/>
  <c r="D116" i="4"/>
  <c r="R115" i="4"/>
  <c r="Q115" i="4"/>
  <c r="U115" i="4" s="1"/>
  <c r="D115" i="4"/>
  <c r="R114" i="4"/>
  <c r="Q114" i="4"/>
  <c r="U114" i="4" s="1"/>
  <c r="D114" i="4"/>
  <c r="L113" i="4"/>
  <c r="K113" i="4"/>
  <c r="D113" i="4"/>
  <c r="M112" i="4"/>
  <c r="L112" i="4"/>
  <c r="D112" i="4"/>
  <c r="R111" i="4"/>
  <c r="Q111" i="4"/>
  <c r="U111" i="4" s="1"/>
  <c r="D111" i="4"/>
  <c r="R110" i="4"/>
  <c r="Q110" i="4"/>
  <c r="U110" i="4" s="1"/>
  <c r="D110" i="4"/>
  <c r="R109" i="4"/>
  <c r="Q109" i="4"/>
  <c r="U109" i="4" s="1"/>
  <c r="D109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H107" i="4"/>
  <c r="H113" i="4" s="1"/>
  <c r="G107" i="4"/>
  <c r="G113" i="4" s="1"/>
  <c r="F107" i="4"/>
  <c r="F113" i="4" s="1"/>
  <c r="E107" i="4"/>
  <c r="E113" i="4" s="1"/>
  <c r="D107" i="4"/>
  <c r="P106" i="4"/>
  <c r="P112" i="4" s="1"/>
  <c r="O106" i="4"/>
  <c r="O112" i="4" s="1"/>
  <c r="N106" i="4"/>
  <c r="N112" i="4" s="1"/>
  <c r="M106" i="4"/>
  <c r="L106" i="4"/>
  <c r="K106" i="4"/>
  <c r="K112" i="4" s="1"/>
  <c r="J106" i="4"/>
  <c r="J112" i="4" s="1"/>
  <c r="I106" i="4"/>
  <c r="I112" i="4" s="1"/>
  <c r="H106" i="4"/>
  <c r="H112" i="4" s="1"/>
  <c r="G106" i="4"/>
  <c r="F106" i="4"/>
  <c r="F112" i="4" s="1"/>
  <c r="E106" i="4"/>
  <c r="R106" i="4" s="1"/>
  <c r="D106" i="4"/>
  <c r="R105" i="4"/>
  <c r="Q105" i="4"/>
  <c r="U105" i="4" s="1"/>
  <c r="D105" i="4"/>
  <c r="M104" i="4"/>
  <c r="L104" i="4"/>
  <c r="J104" i="4"/>
  <c r="I104" i="4"/>
  <c r="H104" i="4"/>
  <c r="G104" i="4"/>
  <c r="F104" i="4"/>
  <c r="E104" i="4"/>
  <c r="D104" i="4"/>
  <c r="R103" i="4"/>
  <c r="Q103" i="4"/>
  <c r="U103" i="4" s="1"/>
  <c r="D103" i="4"/>
  <c r="U102" i="4"/>
  <c r="R102" i="4"/>
  <c r="Q102" i="4"/>
  <c r="D102" i="4"/>
  <c r="R101" i="4"/>
  <c r="Q101" i="4"/>
  <c r="U101" i="4" s="1"/>
  <c r="D101" i="4"/>
  <c r="R100" i="4"/>
  <c r="Q100" i="4"/>
  <c r="U100" i="4" s="1"/>
  <c r="D100" i="4"/>
  <c r="R99" i="4"/>
  <c r="Q99" i="4"/>
  <c r="U99" i="4" s="1"/>
  <c r="D99" i="4"/>
  <c r="R98" i="4"/>
  <c r="Q98" i="4"/>
  <c r="U98" i="4" s="1"/>
  <c r="D98" i="4"/>
  <c r="U97" i="4"/>
  <c r="R97" i="4"/>
  <c r="Q97" i="4"/>
  <c r="D97" i="4"/>
  <c r="D121" i="4" s="1"/>
  <c r="P95" i="4"/>
  <c r="O95" i="4"/>
  <c r="N95" i="4"/>
  <c r="M95" i="4"/>
  <c r="L95" i="4"/>
  <c r="K95" i="4"/>
  <c r="J95" i="4"/>
  <c r="I95" i="4"/>
  <c r="C95" i="4"/>
  <c r="R94" i="4"/>
  <c r="H94" i="4"/>
  <c r="H95" i="4" s="1"/>
  <c r="G94" i="4"/>
  <c r="G95" i="4" s="1"/>
  <c r="F94" i="4"/>
  <c r="F95" i="4" s="1"/>
  <c r="E94" i="4"/>
  <c r="Q94" i="4" s="1"/>
  <c r="D94" i="4"/>
  <c r="U93" i="4"/>
  <c r="R93" i="4"/>
  <c r="Q93" i="4"/>
  <c r="D93" i="4"/>
  <c r="R92" i="4"/>
  <c r="Q92" i="4"/>
  <c r="U92" i="4" s="1"/>
  <c r="D92" i="4"/>
  <c r="D95" i="4" s="1"/>
  <c r="P90" i="4"/>
  <c r="P113" i="4" s="1"/>
  <c r="O90" i="4"/>
  <c r="O113" i="4" s="1"/>
  <c r="N90" i="4"/>
  <c r="N113" i="4" s="1"/>
  <c r="M90" i="4"/>
  <c r="M113" i="4" s="1"/>
  <c r="L90" i="4"/>
  <c r="K90" i="4"/>
  <c r="J90" i="4"/>
  <c r="J113" i="4" s="1"/>
  <c r="I90" i="4"/>
  <c r="I113" i="4" s="1"/>
  <c r="H90" i="4"/>
  <c r="G90" i="4"/>
  <c r="F90" i="4"/>
  <c r="E90" i="4"/>
  <c r="R90" i="4" s="1"/>
  <c r="C90" i="4"/>
  <c r="R89" i="4"/>
  <c r="Q89" i="4"/>
  <c r="U89" i="4" s="1"/>
  <c r="D89" i="4"/>
  <c r="R88" i="4"/>
  <c r="Q88" i="4"/>
  <c r="U88" i="4" s="1"/>
  <c r="D88" i="4"/>
  <c r="R87" i="4"/>
  <c r="Q87" i="4"/>
  <c r="U87" i="4" s="1"/>
  <c r="D87" i="4"/>
  <c r="R86" i="4"/>
  <c r="Q86" i="4"/>
  <c r="U86" i="4" s="1"/>
  <c r="D86" i="4"/>
  <c r="U85" i="4"/>
  <c r="R85" i="4"/>
  <c r="Q85" i="4"/>
  <c r="D85" i="4"/>
  <c r="R84" i="4"/>
  <c r="Q84" i="4"/>
  <c r="Q90" i="4" s="1"/>
  <c r="D84" i="4"/>
  <c r="D90" i="4" s="1"/>
  <c r="P82" i="4"/>
  <c r="O82" i="4"/>
  <c r="N82" i="4"/>
  <c r="M82" i="4"/>
  <c r="L82" i="4"/>
  <c r="K82" i="4"/>
  <c r="J82" i="4"/>
  <c r="I82" i="4"/>
  <c r="H82" i="4"/>
  <c r="G82" i="4"/>
  <c r="F82" i="4"/>
  <c r="C82" i="4"/>
  <c r="R81" i="4"/>
  <c r="Q81" i="4"/>
  <c r="U81" i="4" s="1"/>
  <c r="D81" i="4"/>
  <c r="R80" i="4"/>
  <c r="Q80" i="4"/>
  <c r="U80" i="4" s="1"/>
  <c r="D80" i="4"/>
  <c r="D79" i="4"/>
  <c r="R78" i="4"/>
  <c r="Q78" i="4"/>
  <c r="U78" i="4" s="1"/>
  <c r="D78" i="4"/>
  <c r="D82" i="4" s="1"/>
  <c r="P76" i="4"/>
  <c r="O76" i="4"/>
  <c r="N76" i="4"/>
  <c r="M76" i="4"/>
  <c r="L76" i="4"/>
  <c r="K76" i="4"/>
  <c r="J76" i="4"/>
  <c r="I76" i="4"/>
  <c r="H76" i="4"/>
  <c r="G76" i="4"/>
  <c r="F76" i="4"/>
  <c r="E76" i="4"/>
  <c r="R76" i="4" s="1"/>
  <c r="C76" i="4"/>
  <c r="R75" i="4"/>
  <c r="Q75" i="4"/>
  <c r="U75" i="4" s="1"/>
  <c r="D75" i="4"/>
  <c r="D76" i="4" s="1"/>
  <c r="P73" i="4"/>
  <c r="O73" i="4"/>
  <c r="N73" i="4"/>
  <c r="M73" i="4"/>
  <c r="L73" i="4"/>
  <c r="K73" i="4"/>
  <c r="J73" i="4"/>
  <c r="I73" i="4"/>
  <c r="H73" i="4"/>
  <c r="G73" i="4"/>
  <c r="F73" i="4"/>
  <c r="E73" i="4"/>
  <c r="E79" i="4" s="1"/>
  <c r="D73" i="4"/>
  <c r="C73" i="4"/>
  <c r="R72" i="4"/>
  <c r="Q72" i="4"/>
  <c r="U72" i="4" s="1"/>
  <c r="D72" i="4"/>
  <c r="U71" i="4"/>
  <c r="R71" i="4"/>
  <c r="Q71" i="4"/>
  <c r="D71" i="4"/>
  <c r="R70" i="4"/>
  <c r="Q70" i="4"/>
  <c r="U70" i="4" s="1"/>
  <c r="D70" i="4"/>
  <c r="U69" i="4"/>
  <c r="R69" i="4"/>
  <c r="Q69" i="4"/>
  <c r="D69" i="4"/>
  <c r="U68" i="4"/>
  <c r="R68" i="4"/>
  <c r="Q68" i="4"/>
  <c r="D68" i="4"/>
  <c r="R67" i="4"/>
  <c r="Q67" i="4"/>
  <c r="U67" i="4" s="1"/>
  <c r="D67" i="4"/>
  <c r="U66" i="4"/>
  <c r="R66" i="4"/>
  <c r="Q66" i="4"/>
  <c r="D66" i="4"/>
  <c r="R65" i="4"/>
  <c r="Q65" i="4"/>
  <c r="U65" i="4" s="1"/>
  <c r="D65" i="4"/>
  <c r="R64" i="4"/>
  <c r="Q64" i="4"/>
  <c r="Q73" i="4" s="1"/>
  <c r="D64" i="4"/>
  <c r="C62" i="4"/>
  <c r="U61" i="4"/>
  <c r="R61" i="4"/>
  <c r="Q61" i="4"/>
  <c r="D61" i="4"/>
  <c r="U60" i="4"/>
  <c r="R60" i="4"/>
  <c r="Q60" i="4"/>
  <c r="D60" i="4"/>
  <c r="P59" i="4"/>
  <c r="P62" i="4" s="1"/>
  <c r="O59" i="4"/>
  <c r="O62" i="4" s="1"/>
  <c r="N59" i="4"/>
  <c r="N62" i="4" s="1"/>
  <c r="M59" i="4"/>
  <c r="M62" i="4" s="1"/>
  <c r="L59" i="4"/>
  <c r="L62" i="4" s="1"/>
  <c r="K59" i="4"/>
  <c r="J59" i="4"/>
  <c r="I59" i="4"/>
  <c r="H59" i="4"/>
  <c r="G59" i="4"/>
  <c r="F59" i="4"/>
  <c r="R59" i="4" s="1"/>
  <c r="E59" i="4"/>
  <c r="D59" i="4"/>
  <c r="R58" i="4"/>
  <c r="Q58" i="4"/>
  <c r="U58" i="4" s="1"/>
  <c r="D58" i="4"/>
  <c r="U57" i="4"/>
  <c r="R57" i="4"/>
  <c r="Q57" i="4"/>
  <c r="D57" i="4"/>
  <c r="U56" i="4"/>
  <c r="R56" i="4"/>
  <c r="Q56" i="4"/>
  <c r="D56" i="4"/>
  <c r="R55" i="4"/>
  <c r="Q55" i="4"/>
  <c r="U55" i="4" s="1"/>
  <c r="D55" i="4"/>
  <c r="U54" i="4"/>
  <c r="Q54" i="4"/>
  <c r="K54" i="4"/>
  <c r="K62" i="4" s="1"/>
  <c r="J54" i="4"/>
  <c r="J62" i="4" s="1"/>
  <c r="I54" i="4"/>
  <c r="I62" i="4" s="1"/>
  <c r="H54" i="4"/>
  <c r="H62" i="4" s="1"/>
  <c r="G54" i="4"/>
  <c r="G62" i="4" s="1"/>
  <c r="F54" i="4"/>
  <c r="F62" i="4" s="1"/>
  <c r="E54" i="4"/>
  <c r="R54" i="4" s="1"/>
  <c r="D54" i="4"/>
  <c r="R53" i="4"/>
  <c r="Q53" i="4"/>
  <c r="U53" i="4" s="1"/>
  <c r="D53" i="4"/>
  <c r="U52" i="4"/>
  <c r="R52" i="4"/>
  <c r="Q52" i="4"/>
  <c r="D52" i="4"/>
  <c r="U51" i="4"/>
  <c r="R51" i="4"/>
  <c r="Q51" i="4"/>
  <c r="D51" i="4"/>
  <c r="R50" i="4"/>
  <c r="Q50" i="4"/>
  <c r="D50" i="4"/>
  <c r="D62" i="4" s="1"/>
  <c r="D47" i="4"/>
  <c r="R46" i="4"/>
  <c r="Q46" i="4"/>
  <c r="U46" i="4" s="1"/>
  <c r="D46" i="4"/>
  <c r="D45" i="4"/>
  <c r="D44" i="4"/>
  <c r="D43" i="4"/>
  <c r="R42" i="4"/>
  <c r="Q42" i="4"/>
  <c r="U42" i="4" s="1"/>
  <c r="D42" i="4"/>
  <c r="D41" i="4"/>
  <c r="D40" i="4"/>
  <c r="P39" i="4"/>
  <c r="P45" i="4" s="1"/>
  <c r="O39" i="4"/>
  <c r="O45" i="4" s="1"/>
  <c r="N39" i="4"/>
  <c r="N45" i="4" s="1"/>
  <c r="M39" i="4"/>
  <c r="M45" i="4" s="1"/>
  <c r="L39" i="4"/>
  <c r="L45" i="4" s="1"/>
  <c r="K39" i="4"/>
  <c r="K45" i="4" s="1"/>
  <c r="J39" i="4"/>
  <c r="J45" i="4" s="1"/>
  <c r="I39" i="4"/>
  <c r="I45" i="4" s="1"/>
  <c r="H39" i="4"/>
  <c r="H45" i="4" s="1"/>
  <c r="G39" i="4"/>
  <c r="G45" i="4" s="1"/>
  <c r="F39" i="4"/>
  <c r="F45" i="4" s="1"/>
  <c r="E39" i="4"/>
  <c r="D39" i="4"/>
  <c r="P38" i="4"/>
  <c r="P44" i="4" s="1"/>
  <c r="O38" i="4"/>
  <c r="O44" i="4" s="1"/>
  <c r="N38" i="4"/>
  <c r="N44" i="4" s="1"/>
  <c r="M38" i="4"/>
  <c r="M44" i="4" s="1"/>
  <c r="L38" i="4"/>
  <c r="L44" i="4" s="1"/>
  <c r="K38" i="4"/>
  <c r="K44" i="4" s="1"/>
  <c r="J38" i="4"/>
  <c r="J44" i="4" s="1"/>
  <c r="I38" i="4"/>
  <c r="I44" i="4" s="1"/>
  <c r="H38" i="4"/>
  <c r="H44" i="4" s="1"/>
  <c r="G38" i="4"/>
  <c r="G44" i="4" s="1"/>
  <c r="F38" i="4"/>
  <c r="F44" i="4" s="1"/>
  <c r="E38" i="4"/>
  <c r="E41" i="4" s="1"/>
  <c r="D38" i="4"/>
  <c r="P37" i="4"/>
  <c r="O37" i="4"/>
  <c r="O43" i="4" s="1"/>
  <c r="N37" i="4"/>
  <c r="N43" i="4" s="1"/>
  <c r="M37" i="4"/>
  <c r="M43" i="4" s="1"/>
  <c r="L37" i="4"/>
  <c r="L43" i="4" s="1"/>
  <c r="K37" i="4"/>
  <c r="K43" i="4" s="1"/>
  <c r="J37" i="4"/>
  <c r="J43" i="4" s="1"/>
  <c r="I37" i="4"/>
  <c r="I43" i="4" s="1"/>
  <c r="H37" i="4"/>
  <c r="H43" i="4" s="1"/>
  <c r="G37" i="4"/>
  <c r="G43" i="4" s="1"/>
  <c r="F37" i="4"/>
  <c r="F43" i="4" s="1"/>
  <c r="E37" i="4"/>
  <c r="C37" i="4"/>
  <c r="C48" i="4" s="1"/>
  <c r="P32" i="4"/>
  <c r="O32" i="4"/>
  <c r="N32" i="4"/>
  <c r="M32" i="4"/>
  <c r="L32" i="4"/>
  <c r="K32" i="4"/>
  <c r="J32" i="4"/>
  <c r="I32" i="4"/>
  <c r="H32" i="4"/>
  <c r="G32" i="4"/>
  <c r="F32" i="4"/>
  <c r="E32" i="4"/>
  <c r="R32" i="4" s="1"/>
  <c r="D32" i="4"/>
  <c r="C32" i="4"/>
  <c r="U31" i="4"/>
  <c r="R31" i="4"/>
  <c r="Q31" i="4"/>
  <c r="Q32" i="4" s="1"/>
  <c r="U32" i="4" s="1"/>
  <c r="D31" i="4"/>
  <c r="C29" i="4"/>
  <c r="C33" i="4" s="1"/>
  <c r="C34" i="4" s="1"/>
  <c r="R28" i="4"/>
  <c r="Q28" i="4"/>
  <c r="U28" i="4" s="1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R27" i="4" s="1"/>
  <c r="D27" i="4"/>
  <c r="R26" i="4"/>
  <c r="Q26" i="4"/>
  <c r="U26" i="4" s="1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R25" i="4" s="1"/>
  <c r="D25" i="4"/>
  <c r="J24" i="4"/>
  <c r="J29" i="4" s="1"/>
  <c r="J33" i="4" s="1"/>
  <c r="J34" i="4" s="1"/>
  <c r="I24" i="4"/>
  <c r="I29" i="4" s="1"/>
  <c r="I33" i="4" s="1"/>
  <c r="I34" i="4" s="1"/>
  <c r="H24" i="4"/>
  <c r="H29" i="4" s="1"/>
  <c r="H33" i="4" s="1"/>
  <c r="H34" i="4" s="1"/>
  <c r="G24" i="4"/>
  <c r="G29" i="4" s="1"/>
  <c r="G33" i="4" s="1"/>
  <c r="G34" i="4" s="1"/>
  <c r="F24" i="4"/>
  <c r="F29" i="4" s="1"/>
  <c r="F33" i="4" s="1"/>
  <c r="F34" i="4" s="1"/>
  <c r="E24" i="4"/>
  <c r="D24" i="4"/>
  <c r="D29" i="4" s="1"/>
  <c r="D33" i="4" s="1"/>
  <c r="D34" i="4" s="1"/>
  <c r="R21" i="4"/>
  <c r="Q21" i="4"/>
  <c r="U21" i="4" s="1"/>
  <c r="U20" i="4"/>
  <c r="R20" i="4"/>
  <c r="Q20" i="4"/>
  <c r="R19" i="4"/>
  <c r="Q19" i="4"/>
  <c r="U19" i="4" s="1"/>
  <c r="U18" i="4"/>
  <c r="R18" i="4"/>
  <c r="Q18" i="4"/>
  <c r="R17" i="4"/>
  <c r="Q17" i="4"/>
  <c r="U17" i="4" s="1"/>
  <c r="R16" i="4"/>
  <c r="Q16" i="4"/>
  <c r="U16" i="4" s="1"/>
  <c r="L14" i="4"/>
  <c r="K14" i="4"/>
  <c r="J14" i="4"/>
  <c r="I14" i="4"/>
  <c r="H14" i="4"/>
  <c r="G14" i="4"/>
  <c r="F14" i="4"/>
  <c r="E14" i="4"/>
  <c r="C14" i="4"/>
  <c r="U13" i="4"/>
  <c r="R13" i="4"/>
  <c r="Q13" i="4"/>
  <c r="D13" i="4"/>
  <c r="R12" i="4"/>
  <c r="Q12" i="4"/>
  <c r="U12" i="4" s="1"/>
  <c r="D12" i="4"/>
  <c r="R11" i="4"/>
  <c r="Q11" i="4"/>
  <c r="U11" i="4" s="1"/>
  <c r="D11" i="4"/>
  <c r="R10" i="4"/>
  <c r="Q10" i="4"/>
  <c r="U10" i="4" s="1"/>
  <c r="D10" i="4"/>
  <c r="U9" i="4"/>
  <c r="R9" i="4"/>
  <c r="Q9" i="4"/>
  <c r="D9" i="4"/>
  <c r="P8" i="4"/>
  <c r="M8" i="4"/>
  <c r="O8" i="4" s="1"/>
  <c r="L8" i="4"/>
  <c r="K8" i="4"/>
  <c r="D8" i="4"/>
  <c r="P7" i="4"/>
  <c r="P24" i="4" s="1"/>
  <c r="P29" i="4" s="1"/>
  <c r="P33" i="4" s="1"/>
  <c r="P34" i="4" s="1"/>
  <c r="O7" i="4"/>
  <c r="O24" i="4" s="1"/>
  <c r="O29" i="4" s="1"/>
  <c r="O33" i="4" s="1"/>
  <c r="O34" i="4" s="1"/>
  <c r="M7" i="4"/>
  <c r="M24" i="4" s="1"/>
  <c r="M29" i="4" s="1"/>
  <c r="M33" i="4" s="1"/>
  <c r="M34" i="4" s="1"/>
  <c r="L7" i="4"/>
  <c r="L24" i="4" s="1"/>
  <c r="L29" i="4" s="1"/>
  <c r="L33" i="4" s="1"/>
  <c r="L34" i="4" s="1"/>
  <c r="K7" i="4"/>
  <c r="K104" i="4" s="1"/>
  <c r="D7" i="4"/>
  <c r="D14" i="4" s="1"/>
  <c r="P134" i="3"/>
  <c r="O134" i="3"/>
  <c r="N134" i="3"/>
  <c r="M134" i="3"/>
  <c r="L134" i="3"/>
  <c r="K134" i="3"/>
  <c r="J134" i="3"/>
  <c r="I134" i="3"/>
  <c r="H134" i="3"/>
  <c r="G134" i="3"/>
  <c r="F134" i="3"/>
  <c r="E134" i="3"/>
  <c r="R134" i="3" s="1"/>
  <c r="D134" i="3"/>
  <c r="C134" i="3"/>
  <c r="R133" i="3"/>
  <c r="Q133" i="3"/>
  <c r="U133" i="3" s="1"/>
  <c r="R132" i="3"/>
  <c r="Q132" i="3"/>
  <c r="Q134" i="3" s="1"/>
  <c r="P127" i="3"/>
  <c r="O127" i="3"/>
  <c r="N127" i="3"/>
  <c r="M127" i="3"/>
  <c r="L127" i="3"/>
  <c r="K127" i="3"/>
  <c r="J127" i="3"/>
  <c r="I127" i="3"/>
  <c r="H127" i="3"/>
  <c r="G127" i="3"/>
  <c r="F127" i="3"/>
  <c r="E127" i="3"/>
  <c r="R127" i="3" s="1"/>
  <c r="C127" i="3"/>
  <c r="R126" i="3"/>
  <c r="Q126" i="3"/>
  <c r="U126" i="3" s="1"/>
  <c r="D126" i="3"/>
  <c r="D127" i="3" s="1"/>
  <c r="Q124" i="3"/>
  <c r="P124" i="3"/>
  <c r="R124" i="3" s="1"/>
  <c r="O124" i="3"/>
  <c r="N124" i="3"/>
  <c r="M124" i="3"/>
  <c r="L124" i="3"/>
  <c r="K124" i="3"/>
  <c r="J124" i="3"/>
  <c r="I124" i="3"/>
  <c r="H124" i="3"/>
  <c r="G124" i="3"/>
  <c r="F124" i="3"/>
  <c r="E124" i="3"/>
  <c r="C124" i="3"/>
  <c r="C128" i="3" s="1"/>
  <c r="U123" i="3"/>
  <c r="R123" i="3"/>
  <c r="Q123" i="3"/>
  <c r="D123" i="3"/>
  <c r="D124" i="3" s="1"/>
  <c r="H121" i="3"/>
  <c r="G121" i="3"/>
  <c r="C121" i="3"/>
  <c r="R120" i="3"/>
  <c r="Q120" i="3"/>
  <c r="U120" i="3" s="1"/>
  <c r="D120" i="3"/>
  <c r="R119" i="3"/>
  <c r="Q119" i="3"/>
  <c r="U119" i="3" s="1"/>
  <c r="D119" i="3"/>
  <c r="U118" i="3"/>
  <c r="R118" i="3"/>
  <c r="Q118" i="3"/>
  <c r="D118" i="3"/>
  <c r="R117" i="3"/>
  <c r="Q117" i="3"/>
  <c r="U117" i="3" s="1"/>
  <c r="D117" i="3"/>
  <c r="R116" i="3"/>
  <c r="Q116" i="3"/>
  <c r="U116" i="3" s="1"/>
  <c r="D116" i="3"/>
  <c r="U115" i="3"/>
  <c r="R115" i="3"/>
  <c r="Q115" i="3"/>
  <c r="D115" i="3"/>
  <c r="R114" i="3"/>
  <c r="Q114" i="3"/>
  <c r="U114" i="3" s="1"/>
  <c r="D114" i="3"/>
  <c r="R113" i="3"/>
  <c r="Q113" i="3"/>
  <c r="U113" i="3" s="1"/>
  <c r="D113" i="3"/>
  <c r="R112" i="3"/>
  <c r="Q112" i="3"/>
  <c r="D112" i="3"/>
  <c r="R111" i="3"/>
  <c r="Q111" i="3"/>
  <c r="U111" i="3" s="1"/>
  <c r="D111" i="3"/>
  <c r="R110" i="3"/>
  <c r="Q110" i="3"/>
  <c r="U110" i="3" s="1"/>
  <c r="D110" i="3"/>
  <c r="R109" i="3"/>
  <c r="Q109" i="3"/>
  <c r="U109" i="3" s="1"/>
  <c r="D109" i="3"/>
  <c r="R108" i="3"/>
  <c r="Q108" i="3"/>
  <c r="U108" i="3" s="1"/>
  <c r="D108" i="3"/>
  <c r="R107" i="3"/>
  <c r="Q107" i="3"/>
  <c r="U107" i="3" s="1"/>
  <c r="D107" i="3"/>
  <c r="R106" i="3"/>
  <c r="Q106" i="3"/>
  <c r="U106" i="3" s="1"/>
  <c r="D106" i="3"/>
  <c r="U105" i="3"/>
  <c r="R105" i="3"/>
  <c r="Q105" i="3"/>
  <c r="D105" i="3"/>
  <c r="O104" i="3"/>
  <c r="O121" i="3" s="1"/>
  <c r="N104" i="3"/>
  <c r="N121" i="3" s="1"/>
  <c r="M104" i="3"/>
  <c r="M121" i="3" s="1"/>
  <c r="L104" i="3"/>
  <c r="L121" i="3" s="1"/>
  <c r="K104" i="3"/>
  <c r="K121" i="3" s="1"/>
  <c r="J104" i="3"/>
  <c r="J121" i="3" s="1"/>
  <c r="I104" i="3"/>
  <c r="I121" i="3" s="1"/>
  <c r="H104" i="3"/>
  <c r="G104" i="3"/>
  <c r="F104" i="3"/>
  <c r="F121" i="3" s="1"/>
  <c r="E104" i="3"/>
  <c r="E121" i="3" s="1"/>
  <c r="D104" i="3"/>
  <c r="R103" i="3"/>
  <c r="Q103" i="3"/>
  <c r="U103" i="3" s="1"/>
  <c r="D103" i="3"/>
  <c r="R102" i="3"/>
  <c r="Q102" i="3"/>
  <c r="U102" i="3" s="1"/>
  <c r="D102" i="3"/>
  <c r="U101" i="3"/>
  <c r="R101" i="3"/>
  <c r="Q101" i="3"/>
  <c r="D101" i="3"/>
  <c r="R100" i="3"/>
  <c r="Q100" i="3"/>
  <c r="U100" i="3" s="1"/>
  <c r="D100" i="3"/>
  <c r="R99" i="3"/>
  <c r="Q99" i="3"/>
  <c r="U99" i="3" s="1"/>
  <c r="D99" i="3"/>
  <c r="U98" i="3"/>
  <c r="R98" i="3"/>
  <c r="Q98" i="3"/>
  <c r="D98" i="3"/>
  <c r="U97" i="3"/>
  <c r="R97" i="3"/>
  <c r="Q97" i="3"/>
  <c r="D97" i="3"/>
  <c r="D121" i="3" s="1"/>
  <c r="P95" i="3"/>
  <c r="O95" i="3"/>
  <c r="N95" i="3"/>
  <c r="M95" i="3"/>
  <c r="R95" i="3" s="1"/>
  <c r="L95" i="3"/>
  <c r="K95" i="3"/>
  <c r="J95" i="3"/>
  <c r="I95" i="3"/>
  <c r="H95" i="3"/>
  <c r="G95" i="3"/>
  <c r="F95" i="3"/>
  <c r="E95" i="3"/>
  <c r="C95" i="3"/>
  <c r="R94" i="3"/>
  <c r="Q94" i="3"/>
  <c r="U94" i="3" s="1"/>
  <c r="D94" i="3"/>
  <c r="U93" i="3"/>
  <c r="R93" i="3"/>
  <c r="Q93" i="3"/>
  <c r="Q95" i="3" s="1"/>
  <c r="D93" i="3"/>
  <c r="R92" i="3"/>
  <c r="Q92" i="3"/>
  <c r="U92" i="3" s="1"/>
  <c r="D92" i="3"/>
  <c r="D95" i="3" s="1"/>
  <c r="P90" i="3"/>
  <c r="O90" i="3"/>
  <c r="N90" i="3"/>
  <c r="M90" i="3"/>
  <c r="L90" i="3"/>
  <c r="K90" i="3"/>
  <c r="J90" i="3"/>
  <c r="R90" i="3" s="1"/>
  <c r="I90" i="3"/>
  <c r="H90" i="3"/>
  <c r="G90" i="3"/>
  <c r="F90" i="3"/>
  <c r="E90" i="3"/>
  <c r="C90" i="3"/>
  <c r="R89" i="3"/>
  <c r="Q89" i="3"/>
  <c r="U89" i="3" s="1"/>
  <c r="D89" i="3"/>
  <c r="R88" i="3"/>
  <c r="Q88" i="3"/>
  <c r="U88" i="3" s="1"/>
  <c r="D88" i="3"/>
  <c r="R87" i="3"/>
  <c r="Q87" i="3"/>
  <c r="U87" i="3" s="1"/>
  <c r="D87" i="3"/>
  <c r="R86" i="3"/>
  <c r="Q86" i="3"/>
  <c r="U86" i="3" s="1"/>
  <c r="D86" i="3"/>
  <c r="U85" i="3"/>
  <c r="R85" i="3"/>
  <c r="Q85" i="3"/>
  <c r="D85" i="3"/>
  <c r="R84" i="3"/>
  <c r="Q84" i="3"/>
  <c r="U84" i="3" s="1"/>
  <c r="D84" i="3"/>
  <c r="D90" i="3" s="1"/>
  <c r="P82" i="3"/>
  <c r="O82" i="3"/>
  <c r="N82" i="3"/>
  <c r="M82" i="3"/>
  <c r="L82" i="3"/>
  <c r="K82" i="3"/>
  <c r="J82" i="3"/>
  <c r="R82" i="3" s="1"/>
  <c r="I82" i="3"/>
  <c r="H82" i="3"/>
  <c r="G82" i="3"/>
  <c r="F82" i="3"/>
  <c r="E82" i="3"/>
  <c r="C82" i="3"/>
  <c r="R81" i="3"/>
  <c r="Q81" i="3"/>
  <c r="U81" i="3" s="1"/>
  <c r="D81" i="3"/>
  <c r="R80" i="3"/>
  <c r="Q80" i="3"/>
  <c r="U80" i="3" s="1"/>
  <c r="D80" i="3"/>
  <c r="R79" i="3"/>
  <c r="Q79" i="3"/>
  <c r="U79" i="3" s="1"/>
  <c r="D79" i="3"/>
  <c r="R78" i="3"/>
  <c r="Q78" i="3"/>
  <c r="U78" i="3" s="1"/>
  <c r="D78" i="3"/>
  <c r="D82" i="3" s="1"/>
  <c r="D76" i="3"/>
  <c r="C76" i="3"/>
  <c r="H75" i="3"/>
  <c r="H76" i="3" s="1"/>
  <c r="G75" i="3"/>
  <c r="G76" i="3" s="1"/>
  <c r="F75" i="3"/>
  <c r="F76" i="3" s="1"/>
  <c r="D75" i="3"/>
  <c r="P73" i="3"/>
  <c r="O73" i="3"/>
  <c r="N73" i="3"/>
  <c r="M73" i="3"/>
  <c r="L73" i="3"/>
  <c r="K73" i="3"/>
  <c r="J73" i="3"/>
  <c r="I73" i="3"/>
  <c r="H73" i="3"/>
  <c r="G73" i="3"/>
  <c r="F73" i="3"/>
  <c r="E73" i="3"/>
  <c r="R73" i="3" s="1"/>
  <c r="C73" i="3"/>
  <c r="R72" i="3"/>
  <c r="Q72" i="3"/>
  <c r="U72" i="3" s="1"/>
  <c r="D72" i="3"/>
  <c r="R71" i="3"/>
  <c r="Q71" i="3"/>
  <c r="U71" i="3" s="1"/>
  <c r="D71" i="3"/>
  <c r="U70" i="3"/>
  <c r="R70" i="3"/>
  <c r="Q70" i="3"/>
  <c r="D70" i="3"/>
  <c r="R69" i="3"/>
  <c r="Q69" i="3"/>
  <c r="U69" i="3" s="1"/>
  <c r="D69" i="3"/>
  <c r="R68" i="3"/>
  <c r="Q68" i="3"/>
  <c r="U68" i="3" s="1"/>
  <c r="D68" i="3"/>
  <c r="U67" i="3"/>
  <c r="R67" i="3"/>
  <c r="Q67" i="3"/>
  <c r="D67" i="3"/>
  <c r="R66" i="3"/>
  <c r="Q66" i="3"/>
  <c r="U66" i="3" s="1"/>
  <c r="D66" i="3"/>
  <c r="R65" i="3"/>
  <c r="Q65" i="3"/>
  <c r="U65" i="3" s="1"/>
  <c r="D65" i="3"/>
  <c r="R64" i="3"/>
  <c r="Q64" i="3"/>
  <c r="Q73" i="3" s="1"/>
  <c r="D64" i="3"/>
  <c r="D73" i="3" s="1"/>
  <c r="P62" i="3"/>
  <c r="O62" i="3"/>
  <c r="N62" i="3"/>
  <c r="M62" i="3"/>
  <c r="L62" i="3"/>
  <c r="K62" i="3"/>
  <c r="J62" i="3"/>
  <c r="I62" i="3"/>
  <c r="H62" i="3"/>
  <c r="G62" i="3"/>
  <c r="F62" i="3"/>
  <c r="E62" i="3"/>
  <c r="R62" i="3" s="1"/>
  <c r="C62" i="3"/>
  <c r="R61" i="3"/>
  <c r="Q61" i="3"/>
  <c r="U61" i="3" s="1"/>
  <c r="D61" i="3"/>
  <c r="R60" i="3"/>
  <c r="Q60" i="3"/>
  <c r="U60" i="3" s="1"/>
  <c r="D60" i="3"/>
  <c r="U59" i="3"/>
  <c r="R59" i="3"/>
  <c r="Q59" i="3"/>
  <c r="D59" i="3"/>
  <c r="R58" i="3"/>
  <c r="Q58" i="3"/>
  <c r="U58" i="3" s="1"/>
  <c r="D58" i="3"/>
  <c r="R57" i="3"/>
  <c r="Q57" i="3"/>
  <c r="U57" i="3" s="1"/>
  <c r="D57" i="3"/>
  <c r="R56" i="3"/>
  <c r="Q56" i="3"/>
  <c r="D56" i="3"/>
  <c r="R55" i="3"/>
  <c r="Q55" i="3"/>
  <c r="U55" i="3" s="1"/>
  <c r="D55" i="3"/>
  <c r="R54" i="3"/>
  <c r="Q54" i="3"/>
  <c r="U54" i="3" s="1"/>
  <c r="D54" i="3"/>
  <c r="R53" i="3"/>
  <c r="Q53" i="3"/>
  <c r="U53" i="3" s="1"/>
  <c r="D53" i="3"/>
  <c r="R52" i="3"/>
  <c r="Q52" i="3"/>
  <c r="U52" i="3" s="1"/>
  <c r="D52" i="3"/>
  <c r="R51" i="3"/>
  <c r="Q51" i="3"/>
  <c r="U51" i="3" s="1"/>
  <c r="D51" i="3"/>
  <c r="R50" i="3"/>
  <c r="Q50" i="3"/>
  <c r="Q62" i="3" s="1"/>
  <c r="D50" i="3"/>
  <c r="D62" i="3" s="1"/>
  <c r="C48" i="3"/>
  <c r="D47" i="3"/>
  <c r="R46" i="3"/>
  <c r="Q46" i="3"/>
  <c r="U46" i="3" s="1"/>
  <c r="D46" i="3"/>
  <c r="D45" i="3"/>
  <c r="D44" i="3"/>
  <c r="D43" i="3"/>
  <c r="R42" i="3"/>
  <c r="Q42" i="3"/>
  <c r="U42" i="3" s="1"/>
  <c r="D42" i="3"/>
  <c r="D41" i="3"/>
  <c r="D48" i="3" s="1"/>
  <c r="D40" i="3"/>
  <c r="P39" i="3"/>
  <c r="P45" i="3" s="1"/>
  <c r="O39" i="3"/>
  <c r="O45" i="3" s="1"/>
  <c r="N39" i="3"/>
  <c r="N45" i="3" s="1"/>
  <c r="M39" i="3"/>
  <c r="M45" i="3" s="1"/>
  <c r="L39" i="3"/>
  <c r="L45" i="3" s="1"/>
  <c r="K39" i="3"/>
  <c r="K45" i="3" s="1"/>
  <c r="J39" i="3"/>
  <c r="J45" i="3" s="1"/>
  <c r="I39" i="3"/>
  <c r="I45" i="3" s="1"/>
  <c r="H39" i="3"/>
  <c r="H45" i="3" s="1"/>
  <c r="G39" i="3"/>
  <c r="G45" i="3" s="1"/>
  <c r="F39" i="3"/>
  <c r="E39" i="3"/>
  <c r="D39" i="3"/>
  <c r="P38" i="3"/>
  <c r="P44" i="3" s="1"/>
  <c r="O38" i="3"/>
  <c r="O44" i="3" s="1"/>
  <c r="N38" i="3"/>
  <c r="N44" i="3" s="1"/>
  <c r="M38" i="3"/>
  <c r="M44" i="3" s="1"/>
  <c r="L38" i="3"/>
  <c r="L44" i="3" s="1"/>
  <c r="K38" i="3"/>
  <c r="K44" i="3" s="1"/>
  <c r="J38" i="3"/>
  <c r="J44" i="3" s="1"/>
  <c r="I38" i="3"/>
  <c r="I44" i="3" s="1"/>
  <c r="H38" i="3"/>
  <c r="H44" i="3" s="1"/>
  <c r="G38" i="3"/>
  <c r="F38" i="3"/>
  <c r="E38" i="3"/>
  <c r="D38" i="3"/>
  <c r="P37" i="3"/>
  <c r="P43" i="3" s="1"/>
  <c r="O37" i="3"/>
  <c r="O43" i="3" s="1"/>
  <c r="N37" i="3"/>
  <c r="N43" i="3" s="1"/>
  <c r="M37" i="3"/>
  <c r="M43" i="3" s="1"/>
  <c r="L37" i="3"/>
  <c r="L43" i="3" s="1"/>
  <c r="K37" i="3"/>
  <c r="K43" i="3" s="1"/>
  <c r="J37" i="3"/>
  <c r="J43" i="3" s="1"/>
  <c r="I37" i="3"/>
  <c r="I43" i="3" s="1"/>
  <c r="H37" i="3"/>
  <c r="G37" i="3"/>
  <c r="G43" i="3" s="1"/>
  <c r="F37" i="3"/>
  <c r="F43" i="3" s="1"/>
  <c r="E37" i="3"/>
  <c r="D37" i="3"/>
  <c r="P32" i="3"/>
  <c r="O32" i="3"/>
  <c r="N32" i="3"/>
  <c r="M32" i="3"/>
  <c r="L32" i="3"/>
  <c r="K32" i="3"/>
  <c r="J32" i="3"/>
  <c r="R32" i="3" s="1"/>
  <c r="I32" i="3"/>
  <c r="H32" i="3"/>
  <c r="G32" i="3"/>
  <c r="F32" i="3"/>
  <c r="E32" i="3"/>
  <c r="C32" i="3"/>
  <c r="R31" i="3"/>
  <c r="Q31" i="3"/>
  <c r="U31" i="3" s="1"/>
  <c r="D31" i="3"/>
  <c r="D32" i="3" s="1"/>
  <c r="P29" i="3"/>
  <c r="P33" i="3" s="1"/>
  <c r="P34" i="3" s="1"/>
  <c r="O29" i="3"/>
  <c r="O33" i="3" s="1"/>
  <c r="O34" i="3" s="1"/>
  <c r="C29" i="3"/>
  <c r="C33" i="3" s="1"/>
  <c r="C34" i="3" s="1"/>
  <c r="R28" i="3"/>
  <c r="Q28" i="3"/>
  <c r="U28" i="3" s="1"/>
  <c r="D28" i="3"/>
  <c r="D29" i="3" s="1"/>
  <c r="U27" i="3"/>
  <c r="R27" i="3"/>
  <c r="Q27" i="3"/>
  <c r="D27" i="3"/>
  <c r="R26" i="3"/>
  <c r="Q26" i="3"/>
  <c r="U26" i="3" s="1"/>
  <c r="D26" i="3"/>
  <c r="P25" i="3"/>
  <c r="O25" i="3"/>
  <c r="N25" i="3"/>
  <c r="M25" i="3"/>
  <c r="L25" i="3"/>
  <c r="Q25" i="3" s="1"/>
  <c r="U25" i="3" s="1"/>
  <c r="K25" i="3"/>
  <c r="J25" i="3"/>
  <c r="I25" i="3"/>
  <c r="H25" i="3"/>
  <c r="G25" i="3"/>
  <c r="F25" i="3"/>
  <c r="E25" i="3"/>
  <c r="R25" i="3" s="1"/>
  <c r="D25" i="3"/>
  <c r="P24" i="3"/>
  <c r="O24" i="3"/>
  <c r="N24" i="3"/>
  <c r="N29" i="3" s="1"/>
  <c r="N33" i="3" s="1"/>
  <c r="N34" i="3" s="1"/>
  <c r="M24" i="3"/>
  <c r="M29" i="3" s="1"/>
  <c r="M33" i="3" s="1"/>
  <c r="M34" i="3" s="1"/>
  <c r="L24" i="3"/>
  <c r="L29" i="3" s="1"/>
  <c r="L33" i="3" s="1"/>
  <c r="L34" i="3" s="1"/>
  <c r="K24" i="3"/>
  <c r="K29" i="3" s="1"/>
  <c r="K33" i="3" s="1"/>
  <c r="K34" i="3" s="1"/>
  <c r="J24" i="3"/>
  <c r="J29" i="3" s="1"/>
  <c r="J33" i="3" s="1"/>
  <c r="J34" i="3" s="1"/>
  <c r="I24" i="3"/>
  <c r="I29" i="3" s="1"/>
  <c r="I33" i="3" s="1"/>
  <c r="I34" i="3" s="1"/>
  <c r="H24" i="3"/>
  <c r="H29" i="3" s="1"/>
  <c r="H33" i="3" s="1"/>
  <c r="H34" i="3" s="1"/>
  <c r="G24" i="3"/>
  <c r="G29" i="3" s="1"/>
  <c r="G33" i="3" s="1"/>
  <c r="G34" i="3" s="1"/>
  <c r="F24" i="3"/>
  <c r="F29" i="3" s="1"/>
  <c r="F33" i="3" s="1"/>
  <c r="F34" i="3" s="1"/>
  <c r="E24" i="3"/>
  <c r="E29" i="3" s="1"/>
  <c r="D24" i="3"/>
  <c r="R21" i="3"/>
  <c r="Q21" i="3"/>
  <c r="U21" i="3" s="1"/>
  <c r="R20" i="3"/>
  <c r="Q20" i="3"/>
  <c r="U20" i="3" s="1"/>
  <c r="U19" i="3"/>
  <c r="R19" i="3"/>
  <c r="Q19" i="3"/>
  <c r="R18" i="3"/>
  <c r="Q18" i="3"/>
  <c r="U18" i="3" s="1"/>
  <c r="R17" i="3"/>
  <c r="Q17" i="3"/>
  <c r="U17" i="3" s="1"/>
  <c r="R16" i="3"/>
  <c r="Q16" i="3"/>
  <c r="U16" i="3" s="1"/>
  <c r="O14" i="3"/>
  <c r="O75" i="3" s="1"/>
  <c r="O76" i="3" s="1"/>
  <c r="N14" i="3"/>
  <c r="N75" i="3" s="1"/>
  <c r="N76" i="3" s="1"/>
  <c r="M14" i="3"/>
  <c r="M75" i="3" s="1"/>
  <c r="M76" i="3" s="1"/>
  <c r="L14" i="3"/>
  <c r="L75" i="3" s="1"/>
  <c r="L76" i="3" s="1"/>
  <c r="K14" i="3"/>
  <c r="K75" i="3" s="1"/>
  <c r="K76" i="3" s="1"/>
  <c r="J14" i="3"/>
  <c r="J75" i="3" s="1"/>
  <c r="J76" i="3" s="1"/>
  <c r="I14" i="3"/>
  <c r="I75" i="3" s="1"/>
  <c r="I76" i="3" s="1"/>
  <c r="H14" i="3"/>
  <c r="G14" i="3"/>
  <c r="F14" i="3"/>
  <c r="E14" i="3"/>
  <c r="E75" i="3" s="1"/>
  <c r="C14" i="3"/>
  <c r="P13" i="3"/>
  <c r="Q13" i="3" s="1"/>
  <c r="U13" i="3" s="1"/>
  <c r="D13" i="3"/>
  <c r="U12" i="3"/>
  <c r="R12" i="3"/>
  <c r="Q12" i="3"/>
  <c r="D12" i="3"/>
  <c r="R11" i="3"/>
  <c r="Q11" i="3"/>
  <c r="U11" i="3" s="1"/>
  <c r="D11" i="3"/>
  <c r="R10" i="3"/>
  <c r="Q10" i="3"/>
  <c r="U10" i="3" s="1"/>
  <c r="D10" i="3"/>
  <c r="R9" i="3"/>
  <c r="Q9" i="3"/>
  <c r="U9" i="3" s="1"/>
  <c r="D9" i="3"/>
  <c r="U8" i="3"/>
  <c r="R8" i="3"/>
  <c r="Q8" i="3"/>
  <c r="D8" i="3"/>
  <c r="R7" i="3"/>
  <c r="Q7" i="3"/>
  <c r="U7" i="3" s="1"/>
  <c r="D7" i="3"/>
  <c r="D14" i="3" s="1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R133" i="2"/>
  <c r="Q133" i="2"/>
  <c r="U133" i="2" s="1"/>
  <c r="R132" i="2"/>
  <c r="Q132" i="2"/>
  <c r="Q134" i="2" s="1"/>
  <c r="P127" i="2"/>
  <c r="O127" i="2"/>
  <c r="N127" i="2"/>
  <c r="M127" i="2"/>
  <c r="L127" i="2"/>
  <c r="K127" i="2"/>
  <c r="J127" i="2"/>
  <c r="I127" i="2"/>
  <c r="R127" i="2" s="1"/>
  <c r="H127" i="2"/>
  <c r="G127" i="2"/>
  <c r="F127" i="2"/>
  <c r="E127" i="2"/>
  <c r="C127" i="2"/>
  <c r="R126" i="2"/>
  <c r="Q126" i="2"/>
  <c r="U126" i="2" s="1"/>
  <c r="D126" i="2"/>
  <c r="D127" i="2" s="1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U123" i="2"/>
  <c r="R123" i="2"/>
  <c r="D123" i="2"/>
  <c r="C121" i="2"/>
  <c r="R120" i="2"/>
  <c r="Q120" i="2"/>
  <c r="U120" i="2" s="1"/>
  <c r="D120" i="2"/>
  <c r="R119" i="2"/>
  <c r="Q119" i="2"/>
  <c r="U119" i="2" s="1"/>
  <c r="D119" i="2"/>
  <c r="U118" i="2"/>
  <c r="R118" i="2"/>
  <c r="Q118" i="2"/>
  <c r="D118" i="2"/>
  <c r="R117" i="2"/>
  <c r="Q117" i="2"/>
  <c r="U117" i="2" s="1"/>
  <c r="D117" i="2"/>
  <c r="R116" i="2"/>
  <c r="Q116" i="2"/>
  <c r="U116" i="2" s="1"/>
  <c r="D116" i="2"/>
  <c r="R115" i="2"/>
  <c r="Q115" i="2"/>
  <c r="U115" i="2" s="1"/>
  <c r="D115" i="2"/>
  <c r="R114" i="2"/>
  <c r="Q114" i="2"/>
  <c r="U114" i="2" s="1"/>
  <c r="D114" i="2"/>
  <c r="R113" i="2"/>
  <c r="Q113" i="2"/>
  <c r="U113" i="2" s="1"/>
  <c r="D113" i="2"/>
  <c r="R112" i="2"/>
  <c r="Q112" i="2"/>
  <c r="U112" i="2" s="1"/>
  <c r="D112" i="2"/>
  <c r="R111" i="2"/>
  <c r="Q111" i="2"/>
  <c r="U111" i="2" s="1"/>
  <c r="D111" i="2"/>
  <c r="R110" i="2"/>
  <c r="Q110" i="2"/>
  <c r="U110" i="2" s="1"/>
  <c r="D110" i="2"/>
  <c r="R109" i="2"/>
  <c r="Q109" i="2"/>
  <c r="U109" i="2" s="1"/>
  <c r="D109" i="2"/>
  <c r="U108" i="2"/>
  <c r="R108" i="2"/>
  <c r="Q108" i="2"/>
  <c r="D108" i="2"/>
  <c r="R107" i="2"/>
  <c r="Q107" i="2"/>
  <c r="U107" i="2" s="1"/>
  <c r="D107" i="2"/>
  <c r="U106" i="2"/>
  <c r="R106" i="2"/>
  <c r="Q106" i="2"/>
  <c r="D106" i="2"/>
  <c r="U105" i="2"/>
  <c r="R105" i="2"/>
  <c r="Q105" i="2"/>
  <c r="D105" i="2"/>
  <c r="D104" i="2"/>
  <c r="R103" i="2"/>
  <c r="Q103" i="2"/>
  <c r="U103" i="2" s="1"/>
  <c r="D103" i="2"/>
  <c r="U102" i="2"/>
  <c r="R102" i="2"/>
  <c r="Q102" i="2"/>
  <c r="D102" i="2"/>
  <c r="X101" i="2"/>
  <c r="W101" i="2"/>
  <c r="U101" i="2"/>
  <c r="R101" i="2"/>
  <c r="Q101" i="2"/>
  <c r="D101" i="2"/>
  <c r="R100" i="2"/>
  <c r="Q100" i="2"/>
  <c r="U100" i="2" s="1"/>
  <c r="D100" i="2"/>
  <c r="R99" i="2"/>
  <c r="Q99" i="2"/>
  <c r="U99" i="2" s="1"/>
  <c r="D99" i="2"/>
  <c r="U98" i="2"/>
  <c r="R98" i="2"/>
  <c r="Q98" i="2"/>
  <c r="D98" i="2"/>
  <c r="R97" i="2"/>
  <c r="Q97" i="2"/>
  <c r="D97" i="2"/>
  <c r="D121" i="2" s="1"/>
  <c r="P95" i="2"/>
  <c r="O95" i="2"/>
  <c r="N95" i="2"/>
  <c r="M95" i="2"/>
  <c r="R95" i="2" s="1"/>
  <c r="L95" i="2"/>
  <c r="K95" i="2"/>
  <c r="J95" i="2"/>
  <c r="I95" i="2"/>
  <c r="H95" i="2"/>
  <c r="G95" i="2"/>
  <c r="F95" i="2"/>
  <c r="E95" i="2"/>
  <c r="C95" i="2"/>
  <c r="R94" i="2"/>
  <c r="Q94" i="2"/>
  <c r="U94" i="2" s="1"/>
  <c r="D94" i="2"/>
  <c r="U93" i="2"/>
  <c r="R93" i="2"/>
  <c r="Q93" i="2"/>
  <c r="D93" i="2"/>
  <c r="R92" i="2"/>
  <c r="Q92" i="2"/>
  <c r="U92" i="2" s="1"/>
  <c r="D92" i="2"/>
  <c r="D95" i="2" s="1"/>
  <c r="P90" i="2"/>
  <c r="O90" i="2"/>
  <c r="N90" i="2"/>
  <c r="M90" i="2"/>
  <c r="L90" i="2"/>
  <c r="K90" i="2"/>
  <c r="J90" i="2"/>
  <c r="I90" i="2"/>
  <c r="H90" i="2"/>
  <c r="G90" i="2"/>
  <c r="F90" i="2"/>
  <c r="E90" i="2"/>
  <c r="R90" i="2" s="1"/>
  <c r="C90" i="2"/>
  <c r="R89" i="2"/>
  <c r="Q89" i="2"/>
  <c r="U89" i="2" s="1"/>
  <c r="D89" i="2"/>
  <c r="U88" i="2"/>
  <c r="R88" i="2"/>
  <c r="Q88" i="2"/>
  <c r="D88" i="2"/>
  <c r="R87" i="2"/>
  <c r="Q87" i="2"/>
  <c r="U87" i="2" s="1"/>
  <c r="D87" i="2"/>
  <c r="R86" i="2"/>
  <c r="Q86" i="2"/>
  <c r="U86" i="2" s="1"/>
  <c r="D86" i="2"/>
  <c r="U85" i="2"/>
  <c r="R85" i="2"/>
  <c r="Q85" i="2"/>
  <c r="D85" i="2"/>
  <c r="R84" i="2"/>
  <c r="Q84" i="2"/>
  <c r="U84" i="2" s="1"/>
  <c r="D84" i="2"/>
  <c r="D90" i="2" s="1"/>
  <c r="P82" i="2"/>
  <c r="O82" i="2"/>
  <c r="N82" i="2"/>
  <c r="M82" i="2"/>
  <c r="L82" i="2"/>
  <c r="K82" i="2"/>
  <c r="J82" i="2"/>
  <c r="I82" i="2"/>
  <c r="H82" i="2"/>
  <c r="G82" i="2"/>
  <c r="F82" i="2"/>
  <c r="E82" i="2"/>
  <c r="R82" i="2" s="1"/>
  <c r="C82" i="2"/>
  <c r="R81" i="2"/>
  <c r="Q81" i="2"/>
  <c r="U81" i="2" s="1"/>
  <c r="D81" i="2"/>
  <c r="R80" i="2"/>
  <c r="Q80" i="2"/>
  <c r="U80" i="2" s="1"/>
  <c r="D80" i="2"/>
  <c r="R79" i="2"/>
  <c r="Q79" i="2"/>
  <c r="U79" i="2" s="1"/>
  <c r="D79" i="2"/>
  <c r="R78" i="2"/>
  <c r="Q78" i="2"/>
  <c r="U78" i="2" s="1"/>
  <c r="D78" i="2"/>
  <c r="D82" i="2" s="1"/>
  <c r="C76" i="2"/>
  <c r="D75" i="2"/>
  <c r="D76" i="2" s="1"/>
  <c r="P73" i="2"/>
  <c r="O73" i="2"/>
  <c r="N73" i="2"/>
  <c r="M73" i="2"/>
  <c r="L73" i="2"/>
  <c r="K73" i="2"/>
  <c r="J73" i="2"/>
  <c r="I73" i="2"/>
  <c r="H73" i="2"/>
  <c r="G73" i="2"/>
  <c r="F73" i="2"/>
  <c r="E73" i="2"/>
  <c r="R73" i="2" s="1"/>
  <c r="C73" i="2"/>
  <c r="R72" i="2"/>
  <c r="Q72" i="2"/>
  <c r="U72" i="2" s="1"/>
  <c r="D72" i="2"/>
  <c r="R71" i="2"/>
  <c r="Q71" i="2"/>
  <c r="U71" i="2" s="1"/>
  <c r="D71" i="2"/>
  <c r="U70" i="2"/>
  <c r="R70" i="2"/>
  <c r="Q70" i="2"/>
  <c r="D70" i="2"/>
  <c r="R69" i="2"/>
  <c r="Q69" i="2"/>
  <c r="U69" i="2" s="1"/>
  <c r="D69" i="2"/>
  <c r="R68" i="2"/>
  <c r="Q68" i="2"/>
  <c r="U68" i="2" s="1"/>
  <c r="D68" i="2"/>
  <c r="U67" i="2"/>
  <c r="R67" i="2"/>
  <c r="Q67" i="2"/>
  <c r="D67" i="2"/>
  <c r="R66" i="2"/>
  <c r="Q66" i="2"/>
  <c r="U66" i="2" s="1"/>
  <c r="D66" i="2"/>
  <c r="R65" i="2"/>
  <c r="Q65" i="2"/>
  <c r="U65" i="2" s="1"/>
  <c r="D65" i="2"/>
  <c r="U64" i="2"/>
  <c r="R64" i="2"/>
  <c r="Q64" i="2"/>
  <c r="Q73" i="2" s="1"/>
  <c r="D64" i="2"/>
  <c r="D73" i="2" s="1"/>
  <c r="P62" i="2"/>
  <c r="O62" i="2"/>
  <c r="N62" i="2"/>
  <c r="M62" i="2"/>
  <c r="L62" i="2"/>
  <c r="R61" i="2"/>
  <c r="Q61" i="2"/>
  <c r="U61" i="2" s="1"/>
  <c r="D61" i="2"/>
  <c r="R60" i="2"/>
  <c r="Q60" i="2"/>
  <c r="U60" i="2" s="1"/>
  <c r="D60" i="2"/>
  <c r="U59" i="2"/>
  <c r="R59" i="2"/>
  <c r="Q59" i="2"/>
  <c r="D59" i="2"/>
  <c r="R58" i="2"/>
  <c r="Q58" i="2"/>
  <c r="U58" i="2" s="1"/>
  <c r="D58" i="2"/>
  <c r="R57" i="2"/>
  <c r="Q57" i="2"/>
  <c r="U57" i="2" s="1"/>
  <c r="D57" i="2"/>
  <c r="U56" i="2"/>
  <c r="R56" i="2"/>
  <c r="Q56" i="2"/>
  <c r="D56" i="2"/>
  <c r="R55" i="2"/>
  <c r="Q55" i="2"/>
  <c r="U55" i="2" s="1"/>
  <c r="D55" i="2"/>
  <c r="K54" i="2"/>
  <c r="K62" i="2" s="1"/>
  <c r="J54" i="2"/>
  <c r="J62" i="2" s="1"/>
  <c r="I54" i="2"/>
  <c r="I62" i="2" s="1"/>
  <c r="H54" i="2"/>
  <c r="H62" i="2" s="1"/>
  <c r="G54" i="2"/>
  <c r="G62" i="2" s="1"/>
  <c r="F54" i="2"/>
  <c r="F62" i="2" s="1"/>
  <c r="E54" i="2"/>
  <c r="E62" i="2" s="1"/>
  <c r="D54" i="2"/>
  <c r="R53" i="2"/>
  <c r="Q53" i="2"/>
  <c r="U53" i="2" s="1"/>
  <c r="D53" i="2"/>
  <c r="R52" i="2"/>
  <c r="Q52" i="2"/>
  <c r="U52" i="2" s="1"/>
  <c r="C52" i="2"/>
  <c r="C62" i="2" s="1"/>
  <c r="U51" i="2"/>
  <c r="R51" i="2"/>
  <c r="Q51" i="2"/>
  <c r="D51" i="2"/>
  <c r="R50" i="2"/>
  <c r="Q50" i="2"/>
  <c r="U50" i="2" s="1"/>
  <c r="D50" i="2"/>
  <c r="D47" i="2"/>
  <c r="R46" i="2"/>
  <c r="Q46" i="2"/>
  <c r="U46" i="2" s="1"/>
  <c r="D46" i="2"/>
  <c r="D45" i="2"/>
  <c r="D44" i="2"/>
  <c r="D43" i="2"/>
  <c r="U42" i="2"/>
  <c r="R42" i="2"/>
  <c r="Q42" i="2"/>
  <c r="D42" i="2"/>
  <c r="D41" i="2"/>
  <c r="D40" i="2"/>
  <c r="P39" i="2"/>
  <c r="P45" i="2" s="1"/>
  <c r="O39" i="2"/>
  <c r="N39" i="2"/>
  <c r="N45" i="2" s="1"/>
  <c r="M39" i="2"/>
  <c r="M45" i="2" s="1"/>
  <c r="L39" i="2"/>
  <c r="L45" i="2" s="1"/>
  <c r="K39" i="2"/>
  <c r="K45" i="2" s="1"/>
  <c r="J39" i="2"/>
  <c r="J45" i="2" s="1"/>
  <c r="I39" i="2"/>
  <c r="I45" i="2" s="1"/>
  <c r="H39" i="2"/>
  <c r="H45" i="2" s="1"/>
  <c r="G39" i="2"/>
  <c r="G45" i="2" s="1"/>
  <c r="F39" i="2"/>
  <c r="F45" i="2" s="1"/>
  <c r="E39" i="2"/>
  <c r="E45" i="2" s="1"/>
  <c r="C39" i="2"/>
  <c r="C48" i="2" s="1"/>
  <c r="P38" i="2"/>
  <c r="P44" i="2" s="1"/>
  <c r="O38" i="2"/>
  <c r="O44" i="2" s="1"/>
  <c r="N38" i="2"/>
  <c r="N44" i="2" s="1"/>
  <c r="M38" i="2"/>
  <c r="M44" i="2" s="1"/>
  <c r="L38" i="2"/>
  <c r="L44" i="2" s="1"/>
  <c r="K38" i="2"/>
  <c r="K44" i="2" s="1"/>
  <c r="J38" i="2"/>
  <c r="J44" i="2" s="1"/>
  <c r="I38" i="2"/>
  <c r="I44" i="2" s="1"/>
  <c r="H38" i="2"/>
  <c r="H44" i="2" s="1"/>
  <c r="G38" i="2"/>
  <c r="F38" i="2"/>
  <c r="F44" i="2" s="1"/>
  <c r="E38" i="2"/>
  <c r="E44" i="2" s="1"/>
  <c r="D38" i="2"/>
  <c r="P37" i="2"/>
  <c r="P43" i="2" s="1"/>
  <c r="O37" i="2"/>
  <c r="O43" i="2" s="1"/>
  <c r="N37" i="2"/>
  <c r="M37" i="2"/>
  <c r="L37" i="2"/>
  <c r="K37" i="2"/>
  <c r="J37" i="2"/>
  <c r="I37" i="2"/>
  <c r="H37" i="2"/>
  <c r="H43" i="2" s="1"/>
  <c r="G37" i="2"/>
  <c r="G43" i="2" s="1"/>
  <c r="F37" i="2"/>
  <c r="F43" i="2" s="1"/>
  <c r="E37" i="2"/>
  <c r="E43" i="2" s="1"/>
  <c r="D37" i="2"/>
  <c r="C33" i="2"/>
  <c r="C34" i="2" s="1"/>
  <c r="P32" i="2"/>
  <c r="O32" i="2"/>
  <c r="N32" i="2"/>
  <c r="M32" i="2"/>
  <c r="L32" i="2"/>
  <c r="K32" i="2"/>
  <c r="J32" i="2"/>
  <c r="I32" i="2"/>
  <c r="H32" i="2"/>
  <c r="G32" i="2"/>
  <c r="F32" i="2"/>
  <c r="E32" i="2"/>
  <c r="R32" i="2" s="1"/>
  <c r="D32" i="2"/>
  <c r="C32" i="2"/>
  <c r="R31" i="2"/>
  <c r="Q31" i="2"/>
  <c r="U31" i="2" s="1"/>
  <c r="D31" i="2"/>
  <c r="C29" i="2"/>
  <c r="R28" i="2"/>
  <c r="Q28" i="2"/>
  <c r="U28" i="2" s="1"/>
  <c r="D28" i="2"/>
  <c r="R27" i="2"/>
  <c r="Q27" i="2"/>
  <c r="U27" i="2" s="1"/>
  <c r="D27" i="2"/>
  <c r="U26" i="2"/>
  <c r="R26" i="2"/>
  <c r="Q26" i="2"/>
  <c r="D26" i="2"/>
  <c r="D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D29" i="2" s="1"/>
  <c r="D33" i="2" s="1"/>
  <c r="D34" i="2" s="1"/>
  <c r="R21" i="2"/>
  <c r="Q21" i="2"/>
  <c r="U21" i="2" s="1"/>
  <c r="R20" i="2"/>
  <c r="Q20" i="2"/>
  <c r="U20" i="2" s="1"/>
  <c r="R19" i="2"/>
  <c r="Q19" i="2"/>
  <c r="U19" i="2" s="1"/>
  <c r="R18" i="2"/>
  <c r="Q18" i="2"/>
  <c r="U18" i="2" s="1"/>
  <c r="U17" i="2"/>
  <c r="R17" i="2"/>
  <c r="Q17" i="2"/>
  <c r="R16" i="2"/>
  <c r="Q16" i="2"/>
  <c r="U16" i="2" s="1"/>
  <c r="C14" i="2"/>
  <c r="D13" i="2"/>
  <c r="E13" i="2" s="1"/>
  <c r="F12" i="2"/>
  <c r="G12" i="2" s="1"/>
  <c r="H12" i="2" s="1"/>
  <c r="I12" i="2" s="1"/>
  <c r="J12" i="2" s="1"/>
  <c r="D12" i="2"/>
  <c r="D11" i="2"/>
  <c r="E11" i="2" s="1"/>
  <c r="U10" i="2"/>
  <c r="R10" i="2"/>
  <c r="Q10" i="2"/>
  <c r="D10" i="2"/>
  <c r="R9" i="2"/>
  <c r="Q9" i="2"/>
  <c r="U9" i="2" s="1"/>
  <c r="D9" i="2"/>
  <c r="R8" i="2"/>
  <c r="Q8" i="2"/>
  <c r="U8" i="2" s="1"/>
  <c r="D8" i="2"/>
  <c r="U7" i="2"/>
  <c r="R7" i="2"/>
  <c r="Q7" i="2"/>
  <c r="D7" i="2"/>
  <c r="D14" i="2" s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R133" i="1"/>
  <c r="Q133" i="1"/>
  <c r="U133" i="1" s="1"/>
  <c r="R132" i="1"/>
  <c r="Q132" i="1"/>
  <c r="Q134" i="1" s="1"/>
  <c r="P127" i="1"/>
  <c r="O127" i="1"/>
  <c r="N127" i="1"/>
  <c r="M127" i="1"/>
  <c r="L127" i="1"/>
  <c r="K127" i="1"/>
  <c r="J127" i="1"/>
  <c r="I127" i="1"/>
  <c r="H127" i="1"/>
  <c r="G127" i="1"/>
  <c r="F127" i="1"/>
  <c r="E127" i="1"/>
  <c r="R127" i="1" s="1"/>
  <c r="C127" i="1"/>
  <c r="R126" i="1"/>
  <c r="Q126" i="1"/>
  <c r="U126" i="1" s="1"/>
  <c r="D126" i="1"/>
  <c r="D127" i="1" s="1"/>
  <c r="Q124" i="1"/>
  <c r="P124" i="1"/>
  <c r="R124" i="1" s="1"/>
  <c r="O124" i="1"/>
  <c r="N124" i="1"/>
  <c r="M124" i="1"/>
  <c r="L124" i="1"/>
  <c r="K124" i="1"/>
  <c r="J124" i="1"/>
  <c r="I124" i="1"/>
  <c r="H124" i="1"/>
  <c r="G124" i="1"/>
  <c r="F124" i="1"/>
  <c r="E124" i="1"/>
  <c r="C124" i="1"/>
  <c r="U123" i="1"/>
  <c r="R123" i="1"/>
  <c r="Q123" i="1"/>
  <c r="D123" i="1"/>
  <c r="D124" i="1" s="1"/>
  <c r="I121" i="1"/>
  <c r="H121" i="1"/>
  <c r="G121" i="1"/>
  <c r="C121" i="1"/>
  <c r="R120" i="1"/>
  <c r="Q120" i="1"/>
  <c r="U120" i="1" s="1"/>
  <c r="D120" i="1"/>
  <c r="R119" i="1"/>
  <c r="Q119" i="1"/>
  <c r="U119" i="1" s="1"/>
  <c r="D119" i="1"/>
  <c r="U118" i="1"/>
  <c r="R118" i="1"/>
  <c r="Q118" i="1"/>
  <c r="D118" i="1"/>
  <c r="R117" i="1"/>
  <c r="Q117" i="1"/>
  <c r="U117" i="1" s="1"/>
  <c r="D117" i="1"/>
  <c r="R116" i="1"/>
  <c r="Q116" i="1"/>
  <c r="U116" i="1" s="1"/>
  <c r="D116" i="1"/>
  <c r="U115" i="1"/>
  <c r="R115" i="1"/>
  <c r="Q115" i="1"/>
  <c r="D115" i="1"/>
  <c r="R114" i="1"/>
  <c r="Q114" i="1"/>
  <c r="U114" i="1" s="1"/>
  <c r="D114" i="1"/>
  <c r="R113" i="1"/>
  <c r="Q113" i="1"/>
  <c r="U113" i="1" s="1"/>
  <c r="D113" i="1"/>
  <c r="R112" i="1"/>
  <c r="Q112" i="1"/>
  <c r="D112" i="1"/>
  <c r="R111" i="1"/>
  <c r="Q111" i="1"/>
  <c r="U111" i="1" s="1"/>
  <c r="D111" i="1"/>
  <c r="R110" i="1"/>
  <c r="Q110" i="1"/>
  <c r="U110" i="1" s="1"/>
  <c r="D110" i="1"/>
  <c r="R109" i="1"/>
  <c r="Q109" i="1"/>
  <c r="U109" i="1" s="1"/>
  <c r="D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R108" i="1" s="1"/>
  <c r="D108" i="1"/>
  <c r="R107" i="1"/>
  <c r="Q107" i="1"/>
  <c r="U107" i="1" s="1"/>
  <c r="D107" i="1"/>
  <c r="R106" i="1"/>
  <c r="Q106" i="1"/>
  <c r="U106" i="1" s="1"/>
  <c r="D106" i="1"/>
  <c r="R105" i="1"/>
  <c r="Q105" i="1"/>
  <c r="U105" i="1" s="1"/>
  <c r="D105" i="1"/>
  <c r="P104" i="1"/>
  <c r="P121" i="1" s="1"/>
  <c r="O104" i="1"/>
  <c r="O121" i="1" s="1"/>
  <c r="N104" i="1"/>
  <c r="N121" i="1" s="1"/>
  <c r="M104" i="1"/>
  <c r="M121" i="1" s="1"/>
  <c r="L104" i="1"/>
  <c r="L121" i="1" s="1"/>
  <c r="K104" i="1"/>
  <c r="K121" i="1" s="1"/>
  <c r="J104" i="1"/>
  <c r="J121" i="1" s="1"/>
  <c r="I104" i="1"/>
  <c r="H104" i="1"/>
  <c r="G104" i="1"/>
  <c r="F104" i="1"/>
  <c r="F121" i="1" s="1"/>
  <c r="E104" i="1"/>
  <c r="E121" i="1" s="1"/>
  <c r="R121" i="1" s="1"/>
  <c r="D104" i="1"/>
  <c r="R103" i="1"/>
  <c r="Q103" i="1"/>
  <c r="U103" i="1" s="1"/>
  <c r="D103" i="1"/>
  <c r="R102" i="1"/>
  <c r="Q102" i="1"/>
  <c r="U102" i="1" s="1"/>
  <c r="D102" i="1"/>
  <c r="R101" i="1"/>
  <c r="Q101" i="1"/>
  <c r="U101" i="1" s="1"/>
  <c r="D101" i="1"/>
  <c r="R100" i="1"/>
  <c r="Q100" i="1"/>
  <c r="U100" i="1" s="1"/>
  <c r="D100" i="1"/>
  <c r="R99" i="1"/>
  <c r="Q99" i="1"/>
  <c r="U99" i="1" s="1"/>
  <c r="D99" i="1"/>
  <c r="R98" i="1"/>
  <c r="Q98" i="1"/>
  <c r="U98" i="1" s="1"/>
  <c r="D98" i="1"/>
  <c r="U97" i="1"/>
  <c r="R97" i="1"/>
  <c r="Q97" i="1"/>
  <c r="D97" i="1"/>
  <c r="D121" i="1" s="1"/>
  <c r="P95" i="1"/>
  <c r="O95" i="1"/>
  <c r="N95" i="1"/>
  <c r="M95" i="1"/>
  <c r="L95" i="1"/>
  <c r="K95" i="1"/>
  <c r="J95" i="1"/>
  <c r="I95" i="1"/>
  <c r="H95" i="1"/>
  <c r="G95" i="1"/>
  <c r="F95" i="1"/>
  <c r="E95" i="1"/>
  <c r="R95" i="1" s="1"/>
  <c r="C95" i="1"/>
  <c r="R94" i="1"/>
  <c r="Q94" i="1"/>
  <c r="U94" i="1" s="1"/>
  <c r="D94" i="1"/>
  <c r="R93" i="1"/>
  <c r="Q93" i="1"/>
  <c r="U93" i="1" s="1"/>
  <c r="D93" i="1"/>
  <c r="R92" i="1"/>
  <c r="Q92" i="1"/>
  <c r="U92" i="1" s="1"/>
  <c r="D92" i="1"/>
  <c r="D95" i="1" s="1"/>
  <c r="P90" i="1"/>
  <c r="O90" i="1"/>
  <c r="N90" i="1"/>
  <c r="M90" i="1"/>
  <c r="L90" i="1"/>
  <c r="K90" i="1"/>
  <c r="J90" i="1"/>
  <c r="I90" i="1"/>
  <c r="H90" i="1"/>
  <c r="G90" i="1"/>
  <c r="F90" i="1"/>
  <c r="E90" i="1"/>
  <c r="R90" i="1" s="1"/>
  <c r="C90" i="1"/>
  <c r="R89" i="1"/>
  <c r="Q89" i="1"/>
  <c r="U89" i="1" s="1"/>
  <c r="D89" i="1"/>
  <c r="R88" i="1"/>
  <c r="Q88" i="1"/>
  <c r="D88" i="1"/>
  <c r="U87" i="1"/>
  <c r="R87" i="1"/>
  <c r="Q87" i="1"/>
  <c r="D87" i="1"/>
  <c r="R86" i="1"/>
  <c r="Q86" i="1"/>
  <c r="U86" i="1" s="1"/>
  <c r="D86" i="1"/>
  <c r="R85" i="1"/>
  <c r="Q85" i="1"/>
  <c r="U85" i="1" s="1"/>
  <c r="D85" i="1"/>
  <c r="R84" i="1"/>
  <c r="Q84" i="1"/>
  <c r="U84" i="1" s="1"/>
  <c r="D84" i="1"/>
  <c r="D90" i="1" s="1"/>
  <c r="P82" i="1"/>
  <c r="O82" i="1"/>
  <c r="N82" i="1"/>
  <c r="M82" i="1"/>
  <c r="L82" i="1"/>
  <c r="K82" i="1"/>
  <c r="J82" i="1"/>
  <c r="I82" i="1"/>
  <c r="H82" i="1"/>
  <c r="G82" i="1"/>
  <c r="F82" i="1"/>
  <c r="E82" i="1"/>
  <c r="R82" i="1" s="1"/>
  <c r="C82" i="1"/>
  <c r="R81" i="1"/>
  <c r="Q81" i="1"/>
  <c r="U81" i="1" s="1"/>
  <c r="D81" i="1"/>
  <c r="R80" i="1"/>
  <c r="Q80" i="1"/>
  <c r="D80" i="1"/>
  <c r="R79" i="1"/>
  <c r="Q79" i="1"/>
  <c r="U79" i="1" s="1"/>
  <c r="D79" i="1"/>
  <c r="R78" i="1"/>
  <c r="Q78" i="1"/>
  <c r="U78" i="1" s="1"/>
  <c r="D78" i="1"/>
  <c r="D82" i="1" s="1"/>
  <c r="C75" i="1"/>
  <c r="D75" i="1" s="1"/>
  <c r="D76" i="1" s="1"/>
  <c r="P73" i="1"/>
  <c r="O73" i="1"/>
  <c r="N73" i="1"/>
  <c r="M73" i="1"/>
  <c r="L73" i="1"/>
  <c r="K73" i="1"/>
  <c r="J73" i="1"/>
  <c r="I73" i="1"/>
  <c r="H73" i="1"/>
  <c r="G73" i="1"/>
  <c r="F73" i="1"/>
  <c r="E73" i="1"/>
  <c r="R73" i="1" s="1"/>
  <c r="C73" i="1"/>
  <c r="R72" i="1"/>
  <c r="Q72" i="1"/>
  <c r="U72" i="1" s="1"/>
  <c r="D72" i="1"/>
  <c r="R71" i="1"/>
  <c r="Q71" i="1"/>
  <c r="U71" i="1" s="1"/>
  <c r="D71" i="1"/>
  <c r="R70" i="1"/>
  <c r="Q70" i="1"/>
  <c r="U70" i="1" s="1"/>
  <c r="D70" i="1"/>
  <c r="D73" i="1" s="1"/>
  <c r="R69" i="1"/>
  <c r="Q69" i="1"/>
  <c r="U69" i="1" s="1"/>
  <c r="D69" i="1"/>
  <c r="R68" i="1"/>
  <c r="Q68" i="1"/>
  <c r="U68" i="1" s="1"/>
  <c r="D68" i="1"/>
  <c r="R67" i="1"/>
  <c r="Q67" i="1"/>
  <c r="U67" i="1" s="1"/>
  <c r="D67" i="1"/>
  <c r="U66" i="1"/>
  <c r="R66" i="1"/>
  <c r="Q66" i="1"/>
  <c r="D66" i="1"/>
  <c r="R65" i="1"/>
  <c r="Q65" i="1"/>
  <c r="U65" i="1" s="1"/>
  <c r="D65" i="1"/>
  <c r="R64" i="1"/>
  <c r="Q64" i="1"/>
  <c r="Q73" i="1" s="1"/>
  <c r="D64" i="1"/>
  <c r="P62" i="1"/>
  <c r="O62" i="1"/>
  <c r="N62" i="1"/>
  <c r="M62" i="1"/>
  <c r="L62" i="1"/>
  <c r="K62" i="1"/>
  <c r="J62" i="1"/>
  <c r="I62" i="1"/>
  <c r="H62" i="1"/>
  <c r="G62" i="1"/>
  <c r="F62" i="1"/>
  <c r="E62" i="1"/>
  <c r="R62" i="1" s="1"/>
  <c r="C62" i="1"/>
  <c r="R61" i="1"/>
  <c r="Q61" i="1"/>
  <c r="U61" i="1" s="1"/>
  <c r="D61" i="1"/>
  <c r="R60" i="1"/>
  <c r="Q60" i="1"/>
  <c r="U60" i="1" s="1"/>
  <c r="D60" i="1"/>
  <c r="R59" i="1"/>
  <c r="Q59" i="1"/>
  <c r="U59" i="1" s="1"/>
  <c r="D59" i="1"/>
  <c r="D62" i="1" s="1"/>
  <c r="U58" i="1"/>
  <c r="R58" i="1"/>
  <c r="Q58" i="1"/>
  <c r="D58" i="1"/>
  <c r="U57" i="1"/>
  <c r="R57" i="1"/>
  <c r="Q57" i="1"/>
  <c r="D57" i="1"/>
  <c r="R56" i="1"/>
  <c r="Q56" i="1"/>
  <c r="U56" i="1" s="1"/>
  <c r="D56" i="1"/>
  <c r="U55" i="1"/>
  <c r="R55" i="1"/>
  <c r="Q55" i="1"/>
  <c r="D55" i="1"/>
  <c r="R54" i="1"/>
  <c r="Q54" i="1"/>
  <c r="U54" i="1" s="1"/>
  <c r="D54" i="1"/>
  <c r="R53" i="1"/>
  <c r="Q53" i="1"/>
  <c r="U53" i="1" s="1"/>
  <c r="D53" i="1"/>
  <c r="U52" i="1"/>
  <c r="R52" i="1"/>
  <c r="Q52" i="1"/>
  <c r="D52" i="1"/>
  <c r="R51" i="1"/>
  <c r="Q51" i="1"/>
  <c r="U51" i="1" s="1"/>
  <c r="D51" i="1"/>
  <c r="R50" i="1"/>
  <c r="Q50" i="1"/>
  <c r="Q62" i="1" s="1"/>
  <c r="D50" i="1"/>
  <c r="D47" i="1"/>
  <c r="U46" i="1"/>
  <c r="R46" i="1"/>
  <c r="Q46" i="1"/>
  <c r="D46" i="1"/>
  <c r="D45" i="1"/>
  <c r="D44" i="1"/>
  <c r="D43" i="1"/>
  <c r="R42" i="1"/>
  <c r="Q42" i="1"/>
  <c r="U42" i="1" s="1"/>
  <c r="D42" i="1"/>
  <c r="D41" i="1"/>
  <c r="D40" i="1"/>
  <c r="P39" i="1"/>
  <c r="P45" i="1" s="1"/>
  <c r="O39" i="1"/>
  <c r="O45" i="1" s="1"/>
  <c r="N39" i="1"/>
  <c r="N45" i="1" s="1"/>
  <c r="M39" i="1"/>
  <c r="M45" i="1" s="1"/>
  <c r="L39" i="1"/>
  <c r="L45" i="1" s="1"/>
  <c r="K39" i="1"/>
  <c r="K45" i="1" s="1"/>
  <c r="J39" i="1"/>
  <c r="J45" i="1" s="1"/>
  <c r="I39" i="1"/>
  <c r="I45" i="1" s="1"/>
  <c r="H39" i="1"/>
  <c r="H45" i="1" s="1"/>
  <c r="G39" i="1"/>
  <c r="G45" i="1" s="1"/>
  <c r="F39" i="1"/>
  <c r="F45" i="1" s="1"/>
  <c r="E39" i="1"/>
  <c r="C39" i="1"/>
  <c r="D39" i="1" s="1"/>
  <c r="P38" i="1"/>
  <c r="P44" i="1" s="1"/>
  <c r="O38" i="1"/>
  <c r="O44" i="1" s="1"/>
  <c r="N38" i="1"/>
  <c r="N44" i="1" s="1"/>
  <c r="M38" i="1"/>
  <c r="M44" i="1" s="1"/>
  <c r="L38" i="1"/>
  <c r="L44" i="1" s="1"/>
  <c r="K38" i="1"/>
  <c r="K44" i="1" s="1"/>
  <c r="J38" i="1"/>
  <c r="J44" i="1" s="1"/>
  <c r="I38" i="1"/>
  <c r="I44" i="1" s="1"/>
  <c r="H38" i="1"/>
  <c r="H44" i="1" s="1"/>
  <c r="G38" i="1"/>
  <c r="G44" i="1" s="1"/>
  <c r="F38" i="1"/>
  <c r="F44" i="1" s="1"/>
  <c r="E38" i="1"/>
  <c r="D38" i="1"/>
  <c r="P37" i="1"/>
  <c r="O37" i="1"/>
  <c r="N37" i="1"/>
  <c r="M37" i="1"/>
  <c r="M43" i="1" s="1"/>
  <c r="L37" i="1"/>
  <c r="L43" i="1" s="1"/>
  <c r="K37" i="1"/>
  <c r="K43" i="1" s="1"/>
  <c r="J37" i="1"/>
  <c r="J43" i="1" s="1"/>
  <c r="I37" i="1"/>
  <c r="I43" i="1" s="1"/>
  <c r="H37" i="1"/>
  <c r="H43" i="1" s="1"/>
  <c r="G37" i="1"/>
  <c r="G43" i="1" s="1"/>
  <c r="F37" i="1"/>
  <c r="E37" i="1"/>
  <c r="E43" i="1" s="1"/>
  <c r="D37" i="1"/>
  <c r="P32" i="1"/>
  <c r="O32" i="1"/>
  <c r="N32" i="1"/>
  <c r="M32" i="1"/>
  <c r="L32" i="1"/>
  <c r="K32" i="1"/>
  <c r="J32" i="1"/>
  <c r="I32" i="1"/>
  <c r="H32" i="1"/>
  <c r="G32" i="1"/>
  <c r="F32" i="1"/>
  <c r="E32" i="1"/>
  <c r="R32" i="1" s="1"/>
  <c r="C32" i="1"/>
  <c r="R31" i="1"/>
  <c r="Q31" i="1"/>
  <c r="U31" i="1" s="1"/>
  <c r="D31" i="1"/>
  <c r="D32" i="1" s="1"/>
  <c r="C29" i="1"/>
  <c r="C33" i="1" s="1"/>
  <c r="C34" i="1" s="1"/>
  <c r="P28" i="1"/>
  <c r="O28" i="1"/>
  <c r="O29" i="1" s="1"/>
  <c r="O33" i="1" s="1"/>
  <c r="O34" i="1" s="1"/>
  <c r="N28" i="1"/>
  <c r="N29" i="1" s="1"/>
  <c r="N33" i="1" s="1"/>
  <c r="N34" i="1" s="1"/>
  <c r="D28" i="1"/>
  <c r="U27" i="1"/>
  <c r="R27" i="1"/>
  <c r="Q27" i="1"/>
  <c r="D27" i="1"/>
  <c r="U26" i="1"/>
  <c r="R26" i="1"/>
  <c r="Q26" i="1"/>
  <c r="D26" i="1"/>
  <c r="P25" i="1"/>
  <c r="O25" i="1"/>
  <c r="N25" i="1"/>
  <c r="M25" i="1"/>
  <c r="L25" i="1"/>
  <c r="K25" i="1"/>
  <c r="J25" i="1"/>
  <c r="I25" i="1"/>
  <c r="H25" i="1"/>
  <c r="G25" i="1"/>
  <c r="F25" i="1"/>
  <c r="E25" i="1"/>
  <c r="R25" i="1" s="1"/>
  <c r="D25" i="1"/>
  <c r="P24" i="1"/>
  <c r="P29" i="1" s="1"/>
  <c r="P33" i="1" s="1"/>
  <c r="P34" i="1" s="1"/>
  <c r="O24" i="1"/>
  <c r="N24" i="1"/>
  <c r="M24" i="1"/>
  <c r="L24" i="1"/>
  <c r="L29" i="1" s="1"/>
  <c r="L33" i="1" s="1"/>
  <c r="L34" i="1" s="1"/>
  <c r="K24" i="1"/>
  <c r="J24" i="1"/>
  <c r="I24" i="1"/>
  <c r="H24" i="1"/>
  <c r="G24" i="1"/>
  <c r="F24" i="1"/>
  <c r="E24" i="1"/>
  <c r="R24" i="1" s="1"/>
  <c r="D24" i="1"/>
  <c r="D29" i="1" s="1"/>
  <c r="D33" i="1" s="1"/>
  <c r="D34" i="1" s="1"/>
  <c r="U21" i="1"/>
  <c r="R21" i="1"/>
  <c r="Q21" i="1"/>
  <c r="R20" i="1"/>
  <c r="Q20" i="1"/>
  <c r="U20" i="1" s="1"/>
  <c r="R19" i="1"/>
  <c r="Q19" i="1"/>
  <c r="U19" i="1" s="1"/>
  <c r="R18" i="1"/>
  <c r="Q18" i="1"/>
  <c r="U18" i="1" s="1"/>
  <c r="U17" i="1"/>
  <c r="R17" i="1"/>
  <c r="Q17" i="1"/>
  <c r="R16" i="1"/>
  <c r="Q16" i="1"/>
  <c r="U16" i="1" s="1"/>
  <c r="P14" i="1"/>
  <c r="P75" i="1" s="1"/>
  <c r="P76" i="1" s="1"/>
  <c r="O14" i="1"/>
  <c r="O75" i="1" s="1"/>
  <c r="O76" i="1" s="1"/>
  <c r="N14" i="1"/>
  <c r="N75" i="1" s="1"/>
  <c r="N76" i="1" s="1"/>
  <c r="M14" i="1"/>
  <c r="M28" i="1" s="1"/>
  <c r="M29" i="1" s="1"/>
  <c r="M33" i="1" s="1"/>
  <c r="M34" i="1" s="1"/>
  <c r="L14" i="1"/>
  <c r="L28" i="1" s="1"/>
  <c r="K14" i="1"/>
  <c r="K28" i="1" s="1"/>
  <c r="J14" i="1"/>
  <c r="J28" i="1" s="1"/>
  <c r="I14" i="1"/>
  <c r="I28" i="1" s="1"/>
  <c r="H14" i="1"/>
  <c r="H28" i="1" s="1"/>
  <c r="G14" i="1"/>
  <c r="G28" i="1" s="1"/>
  <c r="F14" i="1"/>
  <c r="F28" i="1" s="1"/>
  <c r="E14" i="1"/>
  <c r="R14" i="1" s="1"/>
  <c r="R13" i="1"/>
  <c r="Q13" i="1"/>
  <c r="U13" i="1" s="1"/>
  <c r="D13" i="1"/>
  <c r="R12" i="1"/>
  <c r="Q12" i="1"/>
  <c r="U12" i="1" s="1"/>
  <c r="D12" i="1"/>
  <c r="R11" i="1"/>
  <c r="Q11" i="1"/>
  <c r="U11" i="1" s="1"/>
  <c r="D11" i="1"/>
  <c r="R10" i="1"/>
  <c r="Q10" i="1"/>
  <c r="U10" i="1" s="1"/>
  <c r="D10" i="1"/>
  <c r="R9" i="1"/>
  <c r="Q9" i="1"/>
  <c r="U9" i="1" s="1"/>
  <c r="D9" i="1"/>
  <c r="C9" i="1"/>
  <c r="C14" i="1" s="1"/>
  <c r="R8" i="1"/>
  <c r="Q8" i="1"/>
  <c r="U8" i="1" s="1"/>
  <c r="D8" i="1"/>
  <c r="U7" i="1"/>
  <c r="R7" i="1"/>
  <c r="Q7" i="1"/>
  <c r="Q14" i="1" s="1"/>
  <c r="U14" i="1" s="1"/>
  <c r="D7" i="1"/>
  <c r="D14" i="1" s="1"/>
  <c r="P29" i="5" l="1"/>
  <c r="P33" i="5" s="1"/>
  <c r="P34" i="5" s="1"/>
  <c r="L29" i="5"/>
  <c r="L33" i="5" s="1"/>
  <c r="L34" i="5" s="1"/>
  <c r="O29" i="5"/>
  <c r="O33" i="5" s="1"/>
  <c r="O34" i="5" s="1"/>
  <c r="O43" i="28"/>
  <c r="M121" i="4"/>
  <c r="P41" i="28"/>
  <c r="R39" i="28"/>
  <c r="E40" i="4"/>
  <c r="R38" i="28"/>
  <c r="K46" i="28"/>
  <c r="L46" i="28"/>
  <c r="H47" i="28"/>
  <c r="J47" i="28"/>
  <c r="K47" i="28"/>
  <c r="D121" i="28"/>
  <c r="D48" i="28"/>
  <c r="D128" i="28" s="1"/>
  <c r="D129" i="28" s="1"/>
  <c r="D130" i="28" s="1"/>
  <c r="R29" i="28"/>
  <c r="U95" i="28"/>
  <c r="R28" i="28"/>
  <c r="Q28" i="28"/>
  <c r="U28" i="28" s="1"/>
  <c r="U90" i="28"/>
  <c r="U42" i="28"/>
  <c r="U121" i="28"/>
  <c r="U134" i="28"/>
  <c r="E34" i="28"/>
  <c r="R33" i="28"/>
  <c r="Q62" i="28"/>
  <c r="U24" i="28"/>
  <c r="M46" i="28"/>
  <c r="L47" i="28"/>
  <c r="E62" i="28"/>
  <c r="R62" i="28" s="1"/>
  <c r="E40" i="28"/>
  <c r="N46" i="28"/>
  <c r="M47" i="28"/>
  <c r="U97" i="28"/>
  <c r="U124" i="28"/>
  <c r="U132" i="28"/>
  <c r="Q14" i="28"/>
  <c r="U14" i="28" s="1"/>
  <c r="F40" i="28"/>
  <c r="E41" i="28"/>
  <c r="O46" i="28"/>
  <c r="O48" i="28" s="1"/>
  <c r="O128" i="28" s="1"/>
  <c r="N47" i="28"/>
  <c r="R14" i="28"/>
  <c r="G40" i="28"/>
  <c r="G48" i="28" s="1"/>
  <c r="G128" i="28" s="1"/>
  <c r="F41" i="28"/>
  <c r="P46" i="28"/>
  <c r="O47" i="28"/>
  <c r="H40" i="28"/>
  <c r="G41" i="28"/>
  <c r="E43" i="28"/>
  <c r="P47" i="28"/>
  <c r="Q127" i="28"/>
  <c r="I40" i="28"/>
  <c r="H41" i="28"/>
  <c r="F43" i="28"/>
  <c r="U93" i="28"/>
  <c r="Q27" i="28"/>
  <c r="U27" i="28" s="1"/>
  <c r="Q32" i="28"/>
  <c r="U32" i="28" s="1"/>
  <c r="J40" i="28"/>
  <c r="I41" i="28"/>
  <c r="G43" i="28"/>
  <c r="E44" i="28"/>
  <c r="R134" i="28"/>
  <c r="K40" i="28"/>
  <c r="K48" i="28" s="1"/>
  <c r="K128" i="28" s="1"/>
  <c r="J41" i="28"/>
  <c r="H43" i="28"/>
  <c r="E45" i="28"/>
  <c r="Q54" i="28"/>
  <c r="Q25" i="28"/>
  <c r="U25" i="28" s="1"/>
  <c r="L40" i="28"/>
  <c r="K41" i="28"/>
  <c r="I43" i="28"/>
  <c r="E46" i="28"/>
  <c r="Q82" i="28"/>
  <c r="Q37" i="28"/>
  <c r="M40" i="28"/>
  <c r="M48" i="28" s="1"/>
  <c r="M128" i="28" s="1"/>
  <c r="L41" i="28"/>
  <c r="J43" i="28"/>
  <c r="F46" i="28"/>
  <c r="E47" i="28"/>
  <c r="C48" i="28"/>
  <c r="C128" i="28" s="1"/>
  <c r="R37" i="28"/>
  <c r="N40" i="28"/>
  <c r="M41" i="28"/>
  <c r="G46" i="28"/>
  <c r="F47" i="28"/>
  <c r="Q38" i="28"/>
  <c r="O40" i="28"/>
  <c r="N41" i="28"/>
  <c r="N48" i="28" s="1"/>
  <c r="N128" i="28" s="1"/>
  <c r="H46" i="28"/>
  <c r="G47" i="28"/>
  <c r="Q73" i="28"/>
  <c r="Q39" i="28"/>
  <c r="P40" i="28"/>
  <c r="I46" i="28"/>
  <c r="H121" i="4"/>
  <c r="N40" i="2"/>
  <c r="R38" i="2"/>
  <c r="L121" i="4"/>
  <c r="E47" i="3"/>
  <c r="E47" i="4"/>
  <c r="Q37" i="2"/>
  <c r="F41" i="3"/>
  <c r="I121" i="4"/>
  <c r="E40" i="3"/>
  <c r="E41" i="3"/>
  <c r="R38" i="4"/>
  <c r="R37" i="1"/>
  <c r="R39" i="3"/>
  <c r="O47" i="2"/>
  <c r="G44" i="2"/>
  <c r="R38" i="3"/>
  <c r="Q38" i="3"/>
  <c r="M40" i="2"/>
  <c r="N47" i="2"/>
  <c r="G40" i="3"/>
  <c r="F121" i="4"/>
  <c r="R108" i="4"/>
  <c r="R37" i="2"/>
  <c r="M41" i="2"/>
  <c r="R39" i="2"/>
  <c r="H47" i="3"/>
  <c r="R39" i="1"/>
  <c r="N41" i="2"/>
  <c r="Q38" i="2"/>
  <c r="U38" i="2" s="1"/>
  <c r="P47" i="2"/>
  <c r="R38" i="1"/>
  <c r="R39" i="4"/>
  <c r="E135" i="19"/>
  <c r="U90" i="19"/>
  <c r="J128" i="19"/>
  <c r="R128" i="19" s="1"/>
  <c r="R121" i="19"/>
  <c r="K29" i="19"/>
  <c r="K33" i="19" s="1"/>
  <c r="K34" i="19" s="1"/>
  <c r="L29" i="19"/>
  <c r="L33" i="19" s="1"/>
  <c r="L34" i="19" s="1"/>
  <c r="J135" i="19"/>
  <c r="M29" i="19"/>
  <c r="M33" i="19" s="1"/>
  <c r="M34" i="19" s="1"/>
  <c r="O128" i="19"/>
  <c r="K135" i="19"/>
  <c r="N29" i="19"/>
  <c r="N33" i="19" s="1"/>
  <c r="N34" i="19" s="1"/>
  <c r="O129" i="19"/>
  <c r="O130" i="19" s="1"/>
  <c r="O136" i="19"/>
  <c r="O137" i="19" s="1"/>
  <c r="U48" i="19"/>
  <c r="P29" i="19"/>
  <c r="P33" i="19" s="1"/>
  <c r="P34" i="19" s="1"/>
  <c r="N135" i="19"/>
  <c r="U134" i="19"/>
  <c r="O135" i="19"/>
  <c r="Q28" i="19"/>
  <c r="U28" i="19" s="1"/>
  <c r="R28" i="19"/>
  <c r="C128" i="19"/>
  <c r="C135" i="19" s="1"/>
  <c r="C136" i="19" s="1"/>
  <c r="C137" i="19" s="1"/>
  <c r="U127" i="19"/>
  <c r="P135" i="19"/>
  <c r="U124" i="19"/>
  <c r="E29" i="19"/>
  <c r="E31" i="19"/>
  <c r="U84" i="19"/>
  <c r="U132" i="19"/>
  <c r="Q27" i="19"/>
  <c r="U27" i="19" s="1"/>
  <c r="F29" i="19"/>
  <c r="F33" i="19" s="1"/>
  <c r="F34" i="19" s="1"/>
  <c r="Q95" i="19"/>
  <c r="D103" i="19"/>
  <c r="D121" i="19" s="1"/>
  <c r="D128" i="19" s="1"/>
  <c r="D126" i="19"/>
  <c r="D127" i="19" s="1"/>
  <c r="G29" i="19"/>
  <c r="G33" i="19" s="1"/>
  <c r="G34" i="19" s="1"/>
  <c r="Q24" i="19"/>
  <c r="H29" i="19"/>
  <c r="H33" i="19" s="1"/>
  <c r="H34" i="19" s="1"/>
  <c r="Q73" i="19"/>
  <c r="Q104" i="19"/>
  <c r="Q121" i="19" s="1"/>
  <c r="R24" i="19"/>
  <c r="I29" i="19"/>
  <c r="I33" i="19" s="1"/>
  <c r="I34" i="19" s="1"/>
  <c r="R104" i="19"/>
  <c r="R134" i="19"/>
  <c r="J29" i="19"/>
  <c r="J33" i="19" s="1"/>
  <c r="J34" i="19" s="1"/>
  <c r="U103" i="19"/>
  <c r="Q26" i="19"/>
  <c r="U26" i="19" s="1"/>
  <c r="Q76" i="19"/>
  <c r="O29" i="18"/>
  <c r="O33" i="18" s="1"/>
  <c r="O34" i="18" s="1"/>
  <c r="R28" i="18"/>
  <c r="Q28" i="18"/>
  <c r="U28" i="18" s="1"/>
  <c r="K128" i="18"/>
  <c r="K135" i="18" s="1"/>
  <c r="D135" i="18"/>
  <c r="M129" i="18"/>
  <c r="M130" i="18" s="1"/>
  <c r="M136" i="18"/>
  <c r="M137" i="18" s="1"/>
  <c r="H129" i="18"/>
  <c r="H130" i="18" s="1"/>
  <c r="H136" i="18"/>
  <c r="H137" i="18" s="1"/>
  <c r="L128" i="18"/>
  <c r="L135" i="18" s="1"/>
  <c r="E128" i="18"/>
  <c r="R121" i="18"/>
  <c r="N128" i="18"/>
  <c r="N135" i="18" s="1"/>
  <c r="N136" i="18" s="1"/>
  <c r="N137" i="18" s="1"/>
  <c r="C129" i="18"/>
  <c r="C130" i="18" s="1"/>
  <c r="C136" i="18"/>
  <c r="C137" i="18" s="1"/>
  <c r="U90" i="18"/>
  <c r="O128" i="18"/>
  <c r="P33" i="18"/>
  <c r="P34" i="18" s="1"/>
  <c r="P128" i="18"/>
  <c r="P135" i="18" s="1"/>
  <c r="I135" i="18"/>
  <c r="U48" i="18"/>
  <c r="C128" i="18"/>
  <c r="C135" i="18" s="1"/>
  <c r="K29" i="18"/>
  <c r="K33" i="18" s="1"/>
  <c r="K34" i="18" s="1"/>
  <c r="D33" i="18"/>
  <c r="D34" i="18" s="1"/>
  <c r="U76" i="18"/>
  <c r="F128" i="18"/>
  <c r="F135" i="18" s="1"/>
  <c r="F136" i="18" s="1"/>
  <c r="F137" i="18" s="1"/>
  <c r="O135" i="18"/>
  <c r="U82" i="18"/>
  <c r="Q62" i="18"/>
  <c r="E29" i="18"/>
  <c r="E31" i="18"/>
  <c r="U124" i="18"/>
  <c r="Q27" i="18"/>
  <c r="U27" i="18" s="1"/>
  <c r="G29" i="18"/>
  <c r="G33" i="18" s="1"/>
  <c r="G34" i="18" s="1"/>
  <c r="Q24" i="18"/>
  <c r="R24" i="18"/>
  <c r="I29" i="18"/>
  <c r="I33" i="18" s="1"/>
  <c r="I34" i="18" s="1"/>
  <c r="Q73" i="18"/>
  <c r="Q95" i="18"/>
  <c r="Q134" i="18"/>
  <c r="J29" i="18"/>
  <c r="J33" i="18" s="1"/>
  <c r="J34" i="18" s="1"/>
  <c r="U37" i="18"/>
  <c r="Q104" i="18"/>
  <c r="Q127" i="18"/>
  <c r="R134" i="18"/>
  <c r="R104" i="18"/>
  <c r="Q26" i="18"/>
  <c r="U26" i="18" s="1"/>
  <c r="L29" i="18"/>
  <c r="L33" i="18" s="1"/>
  <c r="L34" i="18" s="1"/>
  <c r="U127" i="17"/>
  <c r="K129" i="17"/>
  <c r="K130" i="17" s="1"/>
  <c r="K136" i="17"/>
  <c r="K137" i="17" s="1"/>
  <c r="U82" i="17"/>
  <c r="E135" i="17"/>
  <c r="I128" i="17"/>
  <c r="I135" i="17" s="1"/>
  <c r="F135" i="17"/>
  <c r="U95" i="17"/>
  <c r="L128" i="17"/>
  <c r="L135" i="17" s="1"/>
  <c r="L136" i="17" s="1"/>
  <c r="L137" i="17" s="1"/>
  <c r="M128" i="17"/>
  <c r="M129" i="17" s="1"/>
  <c r="M130" i="17" s="1"/>
  <c r="J135" i="17"/>
  <c r="Q28" i="17"/>
  <c r="U28" i="17" s="1"/>
  <c r="R28" i="17"/>
  <c r="N128" i="17"/>
  <c r="N129" i="17" s="1"/>
  <c r="N130" i="17" s="1"/>
  <c r="K135" i="17"/>
  <c r="O128" i="17"/>
  <c r="O135" i="17" s="1"/>
  <c r="P128" i="17"/>
  <c r="M135" i="17"/>
  <c r="M136" i="17" s="1"/>
  <c r="M137" i="17" s="1"/>
  <c r="U90" i="17"/>
  <c r="N135" i="17"/>
  <c r="N136" i="17" s="1"/>
  <c r="N137" i="17" s="1"/>
  <c r="R121" i="17"/>
  <c r="U134" i="17"/>
  <c r="O33" i="17"/>
  <c r="O34" i="17" s="1"/>
  <c r="P33" i="17"/>
  <c r="P34" i="17" s="1"/>
  <c r="C128" i="17"/>
  <c r="C129" i="17" s="1"/>
  <c r="C130" i="17" s="1"/>
  <c r="P135" i="17"/>
  <c r="U92" i="17"/>
  <c r="Q62" i="17"/>
  <c r="U124" i="17"/>
  <c r="U78" i="17"/>
  <c r="D84" i="17"/>
  <c r="D90" i="17" s="1"/>
  <c r="D128" i="17" s="1"/>
  <c r="U132" i="17"/>
  <c r="E29" i="17"/>
  <c r="E31" i="17"/>
  <c r="D126" i="17"/>
  <c r="D127" i="17" s="1"/>
  <c r="Q27" i="17"/>
  <c r="U27" i="17" s="1"/>
  <c r="F29" i="17"/>
  <c r="F33" i="17" s="1"/>
  <c r="F34" i="17" s="1"/>
  <c r="G29" i="17"/>
  <c r="G33" i="17" s="1"/>
  <c r="G34" i="17" s="1"/>
  <c r="Q24" i="17"/>
  <c r="H29" i="17"/>
  <c r="H33" i="17" s="1"/>
  <c r="H34" i="17" s="1"/>
  <c r="U84" i="17"/>
  <c r="Q104" i="17"/>
  <c r="Q121" i="17" s="1"/>
  <c r="R134" i="17"/>
  <c r="R24" i="17"/>
  <c r="I29" i="17"/>
  <c r="I33" i="17" s="1"/>
  <c r="I34" i="17" s="1"/>
  <c r="Q73" i="17"/>
  <c r="R104" i="17"/>
  <c r="U126" i="17"/>
  <c r="J29" i="17"/>
  <c r="J33" i="17" s="1"/>
  <c r="J34" i="17" s="1"/>
  <c r="Q26" i="17"/>
  <c r="U26" i="17" s="1"/>
  <c r="C121" i="17"/>
  <c r="Q76" i="17"/>
  <c r="N129" i="16"/>
  <c r="N130" i="16" s="1"/>
  <c r="G129" i="16"/>
  <c r="G130" i="16" s="1"/>
  <c r="G136" i="16"/>
  <c r="G137" i="16" s="1"/>
  <c r="O129" i="16"/>
  <c r="O130" i="16" s="1"/>
  <c r="U73" i="16"/>
  <c r="E135" i="16"/>
  <c r="R28" i="16"/>
  <c r="Q28" i="16"/>
  <c r="U28" i="16" s="1"/>
  <c r="U48" i="16"/>
  <c r="I128" i="16"/>
  <c r="I135" i="16" s="1"/>
  <c r="F135" i="16"/>
  <c r="J128" i="16"/>
  <c r="J135" i="16" s="1"/>
  <c r="E32" i="16"/>
  <c r="R32" i="16" s="1"/>
  <c r="R31" i="16"/>
  <c r="Q31" i="16"/>
  <c r="K128" i="16"/>
  <c r="L128" i="16"/>
  <c r="L135" i="16" s="1"/>
  <c r="U90" i="16"/>
  <c r="M128" i="16"/>
  <c r="M135" i="16" s="1"/>
  <c r="N128" i="16"/>
  <c r="N135" i="16" s="1"/>
  <c r="N136" i="16" s="1"/>
  <c r="N137" i="16" s="1"/>
  <c r="K135" i="16"/>
  <c r="U62" i="16"/>
  <c r="O128" i="16"/>
  <c r="O135" i="16" s="1"/>
  <c r="O136" i="16" s="1"/>
  <c r="O137" i="16" s="1"/>
  <c r="P33" i="16"/>
  <c r="P34" i="16" s="1"/>
  <c r="P128" i="16"/>
  <c r="K29" i="16"/>
  <c r="K33" i="16" s="1"/>
  <c r="K34" i="16" s="1"/>
  <c r="L29" i="16"/>
  <c r="L33" i="16" s="1"/>
  <c r="L34" i="16" s="1"/>
  <c r="R121" i="16"/>
  <c r="U134" i="16"/>
  <c r="M29" i="16"/>
  <c r="M33" i="16" s="1"/>
  <c r="M34" i="16" s="1"/>
  <c r="F33" i="16"/>
  <c r="F34" i="16" s="1"/>
  <c r="C128" i="16"/>
  <c r="C135" i="16" s="1"/>
  <c r="C136" i="16" s="1"/>
  <c r="C137" i="16" s="1"/>
  <c r="P135" i="16"/>
  <c r="Q14" i="16"/>
  <c r="U14" i="16" s="1"/>
  <c r="Q24" i="16"/>
  <c r="H29" i="16"/>
  <c r="H33" i="16" s="1"/>
  <c r="H34" i="16" s="1"/>
  <c r="U50" i="16"/>
  <c r="R24" i="16"/>
  <c r="I29" i="16"/>
  <c r="I33" i="16" s="1"/>
  <c r="I34" i="16" s="1"/>
  <c r="U84" i="16"/>
  <c r="U124" i="16"/>
  <c r="J29" i="16"/>
  <c r="J33" i="16" s="1"/>
  <c r="J34" i="16" s="1"/>
  <c r="U37" i="16"/>
  <c r="U64" i="16"/>
  <c r="U132" i="16"/>
  <c r="D126" i="16"/>
  <c r="D127" i="16" s="1"/>
  <c r="D128" i="16" s="1"/>
  <c r="Q26" i="16"/>
  <c r="U26" i="16" s="1"/>
  <c r="R26" i="16"/>
  <c r="Q95" i="16"/>
  <c r="Q76" i="16"/>
  <c r="Q104" i="16"/>
  <c r="Q121" i="16" s="1"/>
  <c r="Q127" i="16"/>
  <c r="R134" i="16"/>
  <c r="R104" i="16"/>
  <c r="Q82" i="16"/>
  <c r="E29" i="16"/>
  <c r="R28" i="15"/>
  <c r="Q28" i="15"/>
  <c r="U28" i="15" s="1"/>
  <c r="D135" i="15"/>
  <c r="U90" i="15"/>
  <c r="F135" i="15"/>
  <c r="R135" i="15" s="1"/>
  <c r="N129" i="15"/>
  <c r="N130" i="15" s="1"/>
  <c r="N136" i="15"/>
  <c r="N137" i="15" s="1"/>
  <c r="O33" i="15"/>
  <c r="O34" i="15" s="1"/>
  <c r="K129" i="15"/>
  <c r="K130" i="15" s="1"/>
  <c r="K136" i="15"/>
  <c r="K137" i="15" s="1"/>
  <c r="U76" i="15"/>
  <c r="L29" i="15"/>
  <c r="L33" i="15" s="1"/>
  <c r="L34" i="15" s="1"/>
  <c r="C129" i="15"/>
  <c r="C130" i="15" s="1"/>
  <c r="C136" i="15"/>
  <c r="C137" i="15" s="1"/>
  <c r="L135" i="15"/>
  <c r="U95" i="15"/>
  <c r="M29" i="15"/>
  <c r="M33" i="15" s="1"/>
  <c r="M34" i="15" s="1"/>
  <c r="M135" i="15"/>
  <c r="U134" i="15"/>
  <c r="N135" i="15"/>
  <c r="P33" i="15"/>
  <c r="P34" i="15" s="1"/>
  <c r="R128" i="15"/>
  <c r="U7" i="15"/>
  <c r="Q124" i="15"/>
  <c r="J135" i="15"/>
  <c r="Q48" i="15"/>
  <c r="R124" i="15"/>
  <c r="U132" i="15"/>
  <c r="Q62" i="15"/>
  <c r="D29" i="15"/>
  <c r="D33" i="15" s="1"/>
  <c r="D34" i="15" s="1"/>
  <c r="E29" i="15"/>
  <c r="E31" i="15"/>
  <c r="Q27" i="15"/>
  <c r="U27" i="15" s="1"/>
  <c r="F29" i="15"/>
  <c r="F33" i="15" s="1"/>
  <c r="F34" i="15" s="1"/>
  <c r="U84" i="15"/>
  <c r="G29" i="15"/>
  <c r="G33" i="15" s="1"/>
  <c r="G34" i="15" s="1"/>
  <c r="Q24" i="15"/>
  <c r="H29" i="15"/>
  <c r="H33" i="15" s="1"/>
  <c r="H34" i="15" s="1"/>
  <c r="R24" i="15"/>
  <c r="I29" i="15"/>
  <c r="I33" i="15" s="1"/>
  <c r="I34" i="15" s="1"/>
  <c r="Q73" i="15"/>
  <c r="J29" i="15"/>
  <c r="J33" i="15" s="1"/>
  <c r="J34" i="15" s="1"/>
  <c r="Q121" i="15"/>
  <c r="Q26" i="15"/>
  <c r="U26" i="15" s="1"/>
  <c r="C135" i="14"/>
  <c r="U73" i="14"/>
  <c r="U76" i="14"/>
  <c r="E135" i="14"/>
  <c r="Q28" i="14"/>
  <c r="U28" i="14" s="1"/>
  <c r="R28" i="14"/>
  <c r="U95" i="14"/>
  <c r="R128" i="14"/>
  <c r="N129" i="14"/>
  <c r="N130" i="14" s="1"/>
  <c r="U90" i="14"/>
  <c r="K135" i="14"/>
  <c r="O33" i="14"/>
  <c r="O34" i="14" s="1"/>
  <c r="L135" i="14"/>
  <c r="K29" i="14"/>
  <c r="K33" i="14" s="1"/>
  <c r="K34" i="14" s="1"/>
  <c r="P33" i="14"/>
  <c r="P34" i="14" s="1"/>
  <c r="R121" i="14"/>
  <c r="O128" i="14"/>
  <c r="O135" i="14" s="1"/>
  <c r="M135" i="14"/>
  <c r="L29" i="14"/>
  <c r="L33" i="14" s="1"/>
  <c r="L34" i="14" s="1"/>
  <c r="C129" i="14"/>
  <c r="C130" i="14" s="1"/>
  <c r="C136" i="14"/>
  <c r="C137" i="14" s="1"/>
  <c r="P128" i="14"/>
  <c r="N135" i="14"/>
  <c r="N136" i="14" s="1"/>
  <c r="N137" i="14" s="1"/>
  <c r="M29" i="14"/>
  <c r="M33" i="14" s="1"/>
  <c r="M34" i="14" s="1"/>
  <c r="U124" i="14"/>
  <c r="U134" i="14"/>
  <c r="P135" i="14"/>
  <c r="U7" i="14"/>
  <c r="Q48" i="14"/>
  <c r="Q82" i="14"/>
  <c r="U123" i="14"/>
  <c r="R124" i="14"/>
  <c r="U75" i="14"/>
  <c r="U92" i="14"/>
  <c r="U132" i="14"/>
  <c r="J135" i="14"/>
  <c r="Q62" i="14"/>
  <c r="D29" i="14"/>
  <c r="D33" i="14" s="1"/>
  <c r="D34" i="14" s="1"/>
  <c r="E29" i="14"/>
  <c r="E31" i="14"/>
  <c r="Q27" i="14"/>
  <c r="U27" i="14" s="1"/>
  <c r="F29" i="14"/>
  <c r="F33" i="14" s="1"/>
  <c r="F34" i="14" s="1"/>
  <c r="Q127" i="14"/>
  <c r="G29" i="14"/>
  <c r="G33" i="14" s="1"/>
  <c r="G34" i="14" s="1"/>
  <c r="Q24" i="14"/>
  <c r="H29" i="14"/>
  <c r="H33" i="14" s="1"/>
  <c r="H34" i="14" s="1"/>
  <c r="U84" i="14"/>
  <c r="Q104" i="14"/>
  <c r="R24" i="14"/>
  <c r="I29" i="14"/>
  <c r="I33" i="14" s="1"/>
  <c r="I34" i="14" s="1"/>
  <c r="J29" i="14"/>
  <c r="J33" i="14" s="1"/>
  <c r="J34" i="14" s="1"/>
  <c r="U64" i="14"/>
  <c r="Q26" i="14"/>
  <c r="U26" i="14" s="1"/>
  <c r="D69" i="14"/>
  <c r="D73" i="14" s="1"/>
  <c r="D128" i="14" s="1"/>
  <c r="D135" i="14" s="1"/>
  <c r="U95" i="13"/>
  <c r="C135" i="13"/>
  <c r="L129" i="13"/>
  <c r="L130" i="13" s="1"/>
  <c r="C129" i="13"/>
  <c r="C130" i="13" s="1"/>
  <c r="C136" i="13"/>
  <c r="C137" i="13" s="1"/>
  <c r="D135" i="13"/>
  <c r="D136" i="13" s="1"/>
  <c r="D137" i="13" s="1"/>
  <c r="M129" i="13"/>
  <c r="M130" i="13" s="1"/>
  <c r="M136" i="13"/>
  <c r="M137" i="13" s="1"/>
  <c r="E135" i="13"/>
  <c r="O33" i="13"/>
  <c r="O34" i="13" s="1"/>
  <c r="F135" i="13"/>
  <c r="U90" i="13"/>
  <c r="E34" i="13"/>
  <c r="U121" i="13"/>
  <c r="D129" i="13"/>
  <c r="D130" i="13" s="1"/>
  <c r="N29" i="13"/>
  <c r="N33" i="13" s="1"/>
  <c r="N34" i="13" s="1"/>
  <c r="J135" i="13"/>
  <c r="P29" i="13"/>
  <c r="P33" i="13" s="1"/>
  <c r="P34" i="13" s="1"/>
  <c r="R32" i="13"/>
  <c r="R121" i="13"/>
  <c r="N128" i="13"/>
  <c r="N135" i="13" s="1"/>
  <c r="K135" i="13"/>
  <c r="U104" i="13"/>
  <c r="L135" i="13"/>
  <c r="L136" i="13" s="1"/>
  <c r="L137" i="13" s="1"/>
  <c r="P128" i="13"/>
  <c r="M135" i="13"/>
  <c r="R28" i="13"/>
  <c r="Q28" i="13"/>
  <c r="U28" i="13" s="1"/>
  <c r="K29" i="13"/>
  <c r="K33" i="13" s="1"/>
  <c r="K34" i="13" s="1"/>
  <c r="U134" i="13"/>
  <c r="P135" i="13"/>
  <c r="R26" i="13"/>
  <c r="Q76" i="13"/>
  <c r="G121" i="13"/>
  <c r="G128" i="13" s="1"/>
  <c r="G135" i="13" s="1"/>
  <c r="G136" i="13" s="1"/>
  <c r="G137" i="13" s="1"/>
  <c r="Q124" i="13"/>
  <c r="Q82" i="13"/>
  <c r="U97" i="13"/>
  <c r="U132" i="13"/>
  <c r="U7" i="13"/>
  <c r="P31" i="13"/>
  <c r="P32" i="13" s="1"/>
  <c r="Q31" i="13"/>
  <c r="Q48" i="13"/>
  <c r="U92" i="13"/>
  <c r="Q62" i="13"/>
  <c r="Q127" i="13"/>
  <c r="R134" i="13"/>
  <c r="F29" i="13"/>
  <c r="F33" i="13" s="1"/>
  <c r="F34" i="13" s="1"/>
  <c r="U84" i="13"/>
  <c r="Q24" i="13"/>
  <c r="H29" i="13"/>
  <c r="H33" i="13" s="1"/>
  <c r="H34" i="13" s="1"/>
  <c r="I29" i="13"/>
  <c r="I33" i="13" s="1"/>
  <c r="I34" i="13" s="1"/>
  <c r="Q73" i="13"/>
  <c r="J29" i="13"/>
  <c r="J33" i="13" s="1"/>
  <c r="J34" i="13" s="1"/>
  <c r="N129" i="12"/>
  <c r="N130" i="12" s="1"/>
  <c r="E135" i="12"/>
  <c r="F135" i="12"/>
  <c r="U95" i="12"/>
  <c r="G135" i="12"/>
  <c r="K29" i="12"/>
  <c r="K33" i="12" s="1"/>
  <c r="K34" i="12" s="1"/>
  <c r="L29" i="12"/>
  <c r="L33" i="12" s="1"/>
  <c r="L34" i="12" s="1"/>
  <c r="U90" i="12"/>
  <c r="M29" i="12"/>
  <c r="M33" i="12" s="1"/>
  <c r="M34" i="12" s="1"/>
  <c r="J135" i="12"/>
  <c r="K135" i="12"/>
  <c r="O128" i="12"/>
  <c r="R128" i="12" s="1"/>
  <c r="L135" i="12"/>
  <c r="P33" i="12"/>
  <c r="P34" i="12" s="1"/>
  <c r="P128" i="12"/>
  <c r="P135" i="12" s="1"/>
  <c r="M135" i="12"/>
  <c r="R28" i="12"/>
  <c r="Q28" i="12"/>
  <c r="U28" i="12" s="1"/>
  <c r="N135" i="12"/>
  <c r="N136" i="12" s="1"/>
  <c r="N137" i="12" s="1"/>
  <c r="R121" i="12"/>
  <c r="U134" i="12"/>
  <c r="U76" i="12"/>
  <c r="C128" i="12"/>
  <c r="C135" i="12" s="1"/>
  <c r="C136" i="12" s="1"/>
  <c r="C137" i="12" s="1"/>
  <c r="U7" i="12"/>
  <c r="Q48" i="12"/>
  <c r="U124" i="12"/>
  <c r="U132" i="12"/>
  <c r="Q62" i="12"/>
  <c r="D126" i="12"/>
  <c r="D127" i="12" s="1"/>
  <c r="D128" i="12" s="1"/>
  <c r="D135" i="12" s="1"/>
  <c r="D29" i="12"/>
  <c r="D33" i="12" s="1"/>
  <c r="D34" i="12" s="1"/>
  <c r="E29" i="12"/>
  <c r="E31" i="12"/>
  <c r="Q27" i="12"/>
  <c r="U27" i="12" s="1"/>
  <c r="F29" i="12"/>
  <c r="F33" i="12" s="1"/>
  <c r="F34" i="12" s="1"/>
  <c r="Q104" i="12"/>
  <c r="Q121" i="12" s="1"/>
  <c r="Q127" i="12"/>
  <c r="R134" i="12"/>
  <c r="G29" i="12"/>
  <c r="G33" i="12" s="1"/>
  <c r="G34" i="12" s="1"/>
  <c r="R104" i="12"/>
  <c r="Q24" i="12"/>
  <c r="H29" i="12"/>
  <c r="H33" i="12" s="1"/>
  <c r="H34" i="12" s="1"/>
  <c r="R24" i="12"/>
  <c r="I29" i="12"/>
  <c r="I33" i="12" s="1"/>
  <c r="I34" i="12" s="1"/>
  <c r="Q73" i="12"/>
  <c r="J29" i="12"/>
  <c r="J33" i="12" s="1"/>
  <c r="J34" i="12" s="1"/>
  <c r="C121" i="12"/>
  <c r="Q26" i="12"/>
  <c r="U26" i="12" s="1"/>
  <c r="K29" i="11"/>
  <c r="K33" i="11" s="1"/>
  <c r="K34" i="11" s="1"/>
  <c r="L29" i="11"/>
  <c r="L33" i="11" s="1"/>
  <c r="L34" i="11" s="1"/>
  <c r="U48" i="11"/>
  <c r="E135" i="11"/>
  <c r="M129" i="11"/>
  <c r="M130" i="11" s="1"/>
  <c r="M136" i="11"/>
  <c r="M137" i="11" s="1"/>
  <c r="I128" i="11"/>
  <c r="I135" i="11" s="1"/>
  <c r="F135" i="11"/>
  <c r="N29" i="11"/>
  <c r="N33" i="11" s="1"/>
  <c r="N34" i="11" s="1"/>
  <c r="U90" i="11"/>
  <c r="J128" i="11"/>
  <c r="J135" i="11" s="1"/>
  <c r="G135" i="11"/>
  <c r="O29" i="11"/>
  <c r="O33" i="11" s="1"/>
  <c r="O34" i="11" s="1"/>
  <c r="K128" i="11"/>
  <c r="P29" i="11"/>
  <c r="P33" i="11" s="1"/>
  <c r="P34" i="11" s="1"/>
  <c r="R28" i="11"/>
  <c r="Q28" i="11"/>
  <c r="U28" i="11" s="1"/>
  <c r="R121" i="11"/>
  <c r="K135" i="11"/>
  <c r="O128" i="11"/>
  <c r="O135" i="11" s="1"/>
  <c r="L135" i="11"/>
  <c r="R128" i="11"/>
  <c r="U82" i="11"/>
  <c r="U134" i="11"/>
  <c r="U95" i="11"/>
  <c r="C128" i="11"/>
  <c r="C135" i="11" s="1"/>
  <c r="P135" i="11"/>
  <c r="E29" i="11"/>
  <c r="E31" i="11"/>
  <c r="C33" i="11"/>
  <c r="C34" i="11" s="1"/>
  <c r="R124" i="11"/>
  <c r="Q27" i="11"/>
  <c r="U27" i="11" s="1"/>
  <c r="F29" i="11"/>
  <c r="F33" i="11" s="1"/>
  <c r="F34" i="11" s="1"/>
  <c r="U78" i="11"/>
  <c r="D84" i="11"/>
  <c r="D90" i="11" s="1"/>
  <c r="D128" i="11" s="1"/>
  <c r="G29" i="11"/>
  <c r="G33" i="11" s="1"/>
  <c r="G34" i="11" s="1"/>
  <c r="U124" i="11"/>
  <c r="U132" i="11"/>
  <c r="Q24" i="11"/>
  <c r="H29" i="11"/>
  <c r="H33" i="11" s="1"/>
  <c r="H34" i="11" s="1"/>
  <c r="R24" i="11"/>
  <c r="I29" i="11"/>
  <c r="I33" i="11" s="1"/>
  <c r="I34" i="11" s="1"/>
  <c r="Q73" i="11"/>
  <c r="J29" i="11"/>
  <c r="J33" i="11" s="1"/>
  <c r="J34" i="11" s="1"/>
  <c r="U84" i="11"/>
  <c r="Q127" i="11"/>
  <c r="R134" i="11"/>
  <c r="Q26" i="11"/>
  <c r="U26" i="11" s="1"/>
  <c r="Q104" i="11"/>
  <c r="Q121" i="11" s="1"/>
  <c r="Q76" i="11"/>
  <c r="R104" i="11"/>
  <c r="U95" i="10"/>
  <c r="E135" i="10"/>
  <c r="U90" i="10"/>
  <c r="J128" i="10"/>
  <c r="F135" i="10"/>
  <c r="K129" i="10"/>
  <c r="K130" i="10" s="1"/>
  <c r="K136" i="10"/>
  <c r="K137" i="10" s="1"/>
  <c r="K128" i="10"/>
  <c r="R128" i="10" s="1"/>
  <c r="L29" i="10"/>
  <c r="L33" i="10" s="1"/>
  <c r="L34" i="10" s="1"/>
  <c r="L128" i="10"/>
  <c r="M29" i="10"/>
  <c r="M33" i="10" s="1"/>
  <c r="M34" i="10" s="1"/>
  <c r="N128" i="10"/>
  <c r="J135" i="10"/>
  <c r="O128" i="10"/>
  <c r="O129" i="10" s="1"/>
  <c r="O130" i="10" s="1"/>
  <c r="K135" i="10"/>
  <c r="P129" i="10"/>
  <c r="P130" i="10" s="1"/>
  <c r="P136" i="10"/>
  <c r="P137" i="10" s="1"/>
  <c r="P128" i="10"/>
  <c r="L135" i="10"/>
  <c r="M135" i="10"/>
  <c r="U76" i="10"/>
  <c r="R121" i="10"/>
  <c r="N135" i="10"/>
  <c r="N136" i="10" s="1"/>
  <c r="N137" i="10" s="1"/>
  <c r="N129" i="10"/>
  <c r="N130" i="10" s="1"/>
  <c r="C128" i="10"/>
  <c r="C135" i="10" s="1"/>
  <c r="C136" i="10" s="1"/>
  <c r="C137" i="10" s="1"/>
  <c r="U134" i="10"/>
  <c r="O135" i="10"/>
  <c r="O136" i="10" s="1"/>
  <c r="O137" i="10" s="1"/>
  <c r="R28" i="10"/>
  <c r="Q28" i="10"/>
  <c r="U28" i="10" s="1"/>
  <c r="P135" i="10"/>
  <c r="U75" i="10"/>
  <c r="U7" i="10"/>
  <c r="Q48" i="10"/>
  <c r="U124" i="10"/>
  <c r="U132" i="10"/>
  <c r="Q62" i="10"/>
  <c r="D126" i="10"/>
  <c r="D127" i="10" s="1"/>
  <c r="D128" i="10" s="1"/>
  <c r="D135" i="10" s="1"/>
  <c r="D29" i="10"/>
  <c r="D33" i="10" s="1"/>
  <c r="D34" i="10" s="1"/>
  <c r="E29" i="10"/>
  <c r="E31" i="10"/>
  <c r="Q27" i="10"/>
  <c r="U27" i="10" s="1"/>
  <c r="F29" i="10"/>
  <c r="F33" i="10" s="1"/>
  <c r="F34" i="10" s="1"/>
  <c r="Q104" i="10"/>
  <c r="Q127" i="10"/>
  <c r="R134" i="10"/>
  <c r="G29" i="10"/>
  <c r="G33" i="10" s="1"/>
  <c r="G34" i="10" s="1"/>
  <c r="R104" i="10"/>
  <c r="Q24" i="10"/>
  <c r="H29" i="10"/>
  <c r="H33" i="10" s="1"/>
  <c r="H34" i="10" s="1"/>
  <c r="R24" i="10"/>
  <c r="I29" i="10"/>
  <c r="I33" i="10" s="1"/>
  <c r="I34" i="10" s="1"/>
  <c r="Q73" i="10"/>
  <c r="J29" i="10"/>
  <c r="J33" i="10" s="1"/>
  <c r="J34" i="10" s="1"/>
  <c r="C121" i="10"/>
  <c r="Q26" i="10"/>
  <c r="U26" i="10" s="1"/>
  <c r="K129" i="9"/>
  <c r="K130" i="9" s="1"/>
  <c r="I128" i="9"/>
  <c r="I135" i="9" s="1"/>
  <c r="L129" i="9"/>
  <c r="L130" i="9" s="1"/>
  <c r="L136" i="9"/>
  <c r="L137" i="9" s="1"/>
  <c r="U82" i="9"/>
  <c r="J128" i="9"/>
  <c r="N129" i="9"/>
  <c r="N130" i="9" s="1"/>
  <c r="N136" i="9"/>
  <c r="N137" i="9" s="1"/>
  <c r="R128" i="9"/>
  <c r="O129" i="9"/>
  <c r="O130" i="9" s="1"/>
  <c r="U48" i="9"/>
  <c r="M128" i="9"/>
  <c r="M135" i="9" s="1"/>
  <c r="R28" i="9"/>
  <c r="Q28" i="9"/>
  <c r="U28" i="9" s="1"/>
  <c r="J135" i="9"/>
  <c r="R135" i="9" s="1"/>
  <c r="C129" i="9"/>
  <c r="C130" i="9" s="1"/>
  <c r="C136" i="9"/>
  <c r="C137" i="9" s="1"/>
  <c r="P128" i="9"/>
  <c r="P135" i="9" s="1"/>
  <c r="P136" i="9" s="1"/>
  <c r="P137" i="9" s="1"/>
  <c r="K135" i="9"/>
  <c r="K136" i="9" s="1"/>
  <c r="K137" i="9" s="1"/>
  <c r="L135" i="9"/>
  <c r="M29" i="9"/>
  <c r="M33" i="9" s="1"/>
  <c r="M34" i="9" s="1"/>
  <c r="U90" i="9"/>
  <c r="U95" i="9"/>
  <c r="Q121" i="9"/>
  <c r="D128" i="9"/>
  <c r="D135" i="9" s="1"/>
  <c r="U134" i="9"/>
  <c r="O135" i="9"/>
  <c r="O136" i="9" s="1"/>
  <c r="O137" i="9" s="1"/>
  <c r="U8" i="9"/>
  <c r="D29" i="9"/>
  <c r="D33" i="9" s="1"/>
  <c r="D34" i="9" s="1"/>
  <c r="E29" i="9"/>
  <c r="E31" i="9"/>
  <c r="U124" i="9"/>
  <c r="Q27" i="9"/>
  <c r="U27" i="9" s="1"/>
  <c r="F29" i="9"/>
  <c r="F33" i="9" s="1"/>
  <c r="F34" i="9" s="1"/>
  <c r="U78" i="9"/>
  <c r="U93" i="9"/>
  <c r="U132" i="9"/>
  <c r="G29" i="9"/>
  <c r="G33" i="9" s="1"/>
  <c r="G34" i="9" s="1"/>
  <c r="Q24" i="9"/>
  <c r="H29" i="9"/>
  <c r="H33" i="9" s="1"/>
  <c r="H34" i="9" s="1"/>
  <c r="R24" i="9"/>
  <c r="I29" i="9"/>
  <c r="I33" i="9" s="1"/>
  <c r="I34" i="9" s="1"/>
  <c r="Q73" i="9"/>
  <c r="J29" i="9"/>
  <c r="J33" i="9" s="1"/>
  <c r="J34" i="9" s="1"/>
  <c r="U37" i="9"/>
  <c r="Q104" i="9"/>
  <c r="Q127" i="9"/>
  <c r="Q26" i="9"/>
  <c r="U26" i="9" s="1"/>
  <c r="Q76" i="9"/>
  <c r="R121" i="9"/>
  <c r="K33" i="8"/>
  <c r="K34" i="8" s="1"/>
  <c r="N129" i="8"/>
  <c r="N130" i="8" s="1"/>
  <c r="E135" i="8"/>
  <c r="U90" i="8"/>
  <c r="L129" i="8"/>
  <c r="L130" i="8" s="1"/>
  <c r="L136" i="8"/>
  <c r="L137" i="8" s="1"/>
  <c r="F135" i="8"/>
  <c r="C129" i="8"/>
  <c r="C130" i="8" s="1"/>
  <c r="C136" i="8"/>
  <c r="C137" i="8" s="1"/>
  <c r="G135" i="8"/>
  <c r="P29" i="8"/>
  <c r="P33" i="8" s="1"/>
  <c r="P34" i="8" s="1"/>
  <c r="J135" i="8"/>
  <c r="U76" i="8"/>
  <c r="K135" i="8"/>
  <c r="R28" i="8"/>
  <c r="Q28" i="8"/>
  <c r="U28" i="8" s="1"/>
  <c r="R121" i="8"/>
  <c r="N128" i="8"/>
  <c r="N135" i="8" s="1"/>
  <c r="N136" i="8" s="1"/>
  <c r="N137" i="8" s="1"/>
  <c r="L135" i="8"/>
  <c r="D121" i="8"/>
  <c r="D128" i="8" s="1"/>
  <c r="O128" i="8"/>
  <c r="O135" i="8" s="1"/>
  <c r="O136" i="8" s="1"/>
  <c r="O137" i="8" s="1"/>
  <c r="M33" i="8"/>
  <c r="M34" i="8" s="1"/>
  <c r="P128" i="8"/>
  <c r="P135" i="8" s="1"/>
  <c r="U134" i="8"/>
  <c r="U95" i="8"/>
  <c r="Q82" i="8"/>
  <c r="Q124" i="8"/>
  <c r="U7" i="8"/>
  <c r="U75" i="8"/>
  <c r="U92" i="8"/>
  <c r="R124" i="8"/>
  <c r="D101" i="8"/>
  <c r="Q48" i="8"/>
  <c r="U132" i="8"/>
  <c r="Q62" i="8"/>
  <c r="E29" i="8"/>
  <c r="E31" i="8"/>
  <c r="Q127" i="8"/>
  <c r="R134" i="8"/>
  <c r="F29" i="8"/>
  <c r="F33" i="8" s="1"/>
  <c r="F34" i="8" s="1"/>
  <c r="G29" i="8"/>
  <c r="G33" i="8" s="1"/>
  <c r="G34" i="8" s="1"/>
  <c r="Q104" i="8"/>
  <c r="Q24" i="8"/>
  <c r="H29" i="8"/>
  <c r="H33" i="8" s="1"/>
  <c r="H34" i="8" s="1"/>
  <c r="R24" i="8"/>
  <c r="I29" i="8"/>
  <c r="I33" i="8" s="1"/>
  <c r="I34" i="8" s="1"/>
  <c r="Q73" i="8"/>
  <c r="J29" i="8"/>
  <c r="J33" i="8" s="1"/>
  <c r="J34" i="8" s="1"/>
  <c r="I128" i="7"/>
  <c r="I135" i="7" s="1"/>
  <c r="R135" i="7" s="1"/>
  <c r="H129" i="7"/>
  <c r="H130" i="7" s="1"/>
  <c r="H136" i="7"/>
  <c r="H137" i="7" s="1"/>
  <c r="U62" i="7"/>
  <c r="U90" i="7"/>
  <c r="M129" i="7"/>
  <c r="M130" i="7" s="1"/>
  <c r="L128" i="7"/>
  <c r="L135" i="7" s="1"/>
  <c r="U29" i="7"/>
  <c r="M128" i="7"/>
  <c r="U73" i="7"/>
  <c r="N128" i="7"/>
  <c r="N135" i="7" s="1"/>
  <c r="R121" i="7"/>
  <c r="O128" i="7"/>
  <c r="O135" i="7" s="1"/>
  <c r="J135" i="7"/>
  <c r="P128" i="7"/>
  <c r="P135" i="7" s="1"/>
  <c r="K135" i="7"/>
  <c r="U76" i="7"/>
  <c r="D121" i="7"/>
  <c r="U127" i="7"/>
  <c r="M135" i="7"/>
  <c r="M136" i="7" s="1"/>
  <c r="M137" i="7" s="1"/>
  <c r="U134" i="7"/>
  <c r="E32" i="7"/>
  <c r="R32" i="7" s="1"/>
  <c r="R31" i="7"/>
  <c r="Q31" i="7"/>
  <c r="U48" i="7"/>
  <c r="J29" i="7"/>
  <c r="J33" i="7" s="1"/>
  <c r="J34" i="7" s="1"/>
  <c r="U84" i="7"/>
  <c r="K29" i="7"/>
  <c r="K33" i="7" s="1"/>
  <c r="K34" i="7" s="1"/>
  <c r="U64" i="7"/>
  <c r="U124" i="7"/>
  <c r="D59" i="7"/>
  <c r="D62" i="7" s="1"/>
  <c r="D128" i="7" s="1"/>
  <c r="D135" i="7" s="1"/>
  <c r="L29" i="7"/>
  <c r="L33" i="7" s="1"/>
  <c r="L34" i="7" s="1"/>
  <c r="U37" i="7"/>
  <c r="U132" i="7"/>
  <c r="D126" i="7"/>
  <c r="D127" i="7" s="1"/>
  <c r="N29" i="7"/>
  <c r="N33" i="7" s="1"/>
  <c r="N34" i="7" s="1"/>
  <c r="U52" i="7"/>
  <c r="O29" i="7"/>
  <c r="O33" i="7" s="1"/>
  <c r="O34" i="7" s="1"/>
  <c r="Q95" i="7"/>
  <c r="Q104" i="7"/>
  <c r="P29" i="7"/>
  <c r="P33" i="7" s="1"/>
  <c r="P34" i="7" s="1"/>
  <c r="R104" i="7"/>
  <c r="C95" i="7"/>
  <c r="Q82" i="7"/>
  <c r="D29" i="7"/>
  <c r="D33" i="7" s="1"/>
  <c r="D34" i="7" s="1"/>
  <c r="C121" i="7"/>
  <c r="E29" i="7"/>
  <c r="F29" i="7"/>
  <c r="F33" i="7" s="1"/>
  <c r="F34" i="7" s="1"/>
  <c r="G29" i="7"/>
  <c r="G33" i="7" s="1"/>
  <c r="G34" i="7" s="1"/>
  <c r="M33" i="6"/>
  <c r="M34" i="6" s="1"/>
  <c r="U90" i="6"/>
  <c r="D135" i="6"/>
  <c r="J128" i="6"/>
  <c r="P33" i="6"/>
  <c r="P34" i="6" s="1"/>
  <c r="L128" i="6"/>
  <c r="L135" i="6" s="1"/>
  <c r="U73" i="6"/>
  <c r="M128" i="6"/>
  <c r="R121" i="6"/>
  <c r="N128" i="6"/>
  <c r="K29" i="6"/>
  <c r="K33" i="6" s="1"/>
  <c r="K34" i="6" s="1"/>
  <c r="N129" i="6"/>
  <c r="N130" i="6" s="1"/>
  <c r="N136" i="6"/>
  <c r="N137" i="6" s="1"/>
  <c r="J135" i="6"/>
  <c r="Q28" i="6"/>
  <c r="U28" i="6" s="1"/>
  <c r="R28" i="6"/>
  <c r="L29" i="6"/>
  <c r="L33" i="6" s="1"/>
  <c r="L34" i="6" s="1"/>
  <c r="K135" i="6"/>
  <c r="U127" i="6"/>
  <c r="D128" i="6"/>
  <c r="U134" i="6"/>
  <c r="M135" i="6"/>
  <c r="O129" i="6"/>
  <c r="O130" i="6" s="1"/>
  <c r="N135" i="6"/>
  <c r="O135" i="6"/>
  <c r="O136" i="6" s="1"/>
  <c r="O137" i="6" s="1"/>
  <c r="E128" i="6"/>
  <c r="P135" i="6"/>
  <c r="Q76" i="6"/>
  <c r="Q82" i="6"/>
  <c r="R124" i="6"/>
  <c r="Q48" i="6"/>
  <c r="U106" i="6"/>
  <c r="U110" i="6"/>
  <c r="U114" i="6"/>
  <c r="U118" i="6"/>
  <c r="U124" i="6"/>
  <c r="Q62" i="6"/>
  <c r="D126" i="6"/>
  <c r="D127" i="6" s="1"/>
  <c r="D29" i="6"/>
  <c r="D33" i="6" s="1"/>
  <c r="D34" i="6" s="1"/>
  <c r="E29" i="6"/>
  <c r="E31" i="6"/>
  <c r="Q27" i="6"/>
  <c r="U27" i="6" s="1"/>
  <c r="F29" i="6"/>
  <c r="F33" i="6" s="1"/>
  <c r="F34" i="6" s="1"/>
  <c r="U84" i="6"/>
  <c r="Q104" i="6"/>
  <c r="Q121" i="6" s="1"/>
  <c r="R134" i="6"/>
  <c r="G29" i="6"/>
  <c r="G33" i="6" s="1"/>
  <c r="G34" i="6" s="1"/>
  <c r="Q95" i="6"/>
  <c r="R104" i="6"/>
  <c r="Q24" i="6"/>
  <c r="H29" i="6"/>
  <c r="H33" i="6" s="1"/>
  <c r="H34" i="6" s="1"/>
  <c r="R24" i="6"/>
  <c r="I29" i="6"/>
  <c r="I33" i="6" s="1"/>
  <c r="I34" i="6" s="1"/>
  <c r="J29" i="6"/>
  <c r="J33" i="6" s="1"/>
  <c r="J34" i="6" s="1"/>
  <c r="C121" i="6"/>
  <c r="C128" i="6" s="1"/>
  <c r="N33" i="5"/>
  <c r="N34" i="5" s="1"/>
  <c r="R121" i="5"/>
  <c r="E135" i="5"/>
  <c r="Q31" i="5"/>
  <c r="R31" i="5"/>
  <c r="E32" i="5"/>
  <c r="R32" i="5" s="1"/>
  <c r="L128" i="5"/>
  <c r="L129" i="5" s="1"/>
  <c r="L130" i="5" s="1"/>
  <c r="M128" i="5"/>
  <c r="M135" i="5" s="1"/>
  <c r="M136" i="5" s="1"/>
  <c r="M137" i="5" s="1"/>
  <c r="J135" i="5"/>
  <c r="N128" i="5"/>
  <c r="K135" i="5"/>
  <c r="U82" i="5"/>
  <c r="O128" i="5"/>
  <c r="O129" i="5" s="1"/>
  <c r="O130" i="5" s="1"/>
  <c r="L135" i="5"/>
  <c r="L136" i="5" s="1"/>
  <c r="L137" i="5" s="1"/>
  <c r="U48" i="5"/>
  <c r="P128" i="5"/>
  <c r="P129" i="5" s="1"/>
  <c r="P130" i="5" s="1"/>
  <c r="N135" i="5"/>
  <c r="U134" i="5"/>
  <c r="R128" i="5"/>
  <c r="U90" i="5"/>
  <c r="U95" i="5"/>
  <c r="C128" i="5"/>
  <c r="C135" i="5" s="1"/>
  <c r="E29" i="5"/>
  <c r="C33" i="5"/>
  <c r="C34" i="5" s="1"/>
  <c r="U106" i="5"/>
  <c r="U110" i="5"/>
  <c r="U114" i="5"/>
  <c r="U118" i="5"/>
  <c r="U124" i="5"/>
  <c r="F29" i="5"/>
  <c r="F33" i="5" s="1"/>
  <c r="F34" i="5" s="1"/>
  <c r="U40" i="5"/>
  <c r="U132" i="5"/>
  <c r="G29" i="5"/>
  <c r="G33" i="5" s="1"/>
  <c r="G34" i="5" s="1"/>
  <c r="D126" i="5"/>
  <c r="D127" i="5" s="1"/>
  <c r="H29" i="5"/>
  <c r="H33" i="5" s="1"/>
  <c r="H34" i="5" s="1"/>
  <c r="U84" i="5"/>
  <c r="Q104" i="5"/>
  <c r="I29" i="5"/>
  <c r="I33" i="5" s="1"/>
  <c r="I34" i="5" s="1"/>
  <c r="Q73" i="5"/>
  <c r="Q128" i="5" s="1"/>
  <c r="R104" i="5"/>
  <c r="J29" i="5"/>
  <c r="J33" i="5" s="1"/>
  <c r="J34" i="5" s="1"/>
  <c r="Q127" i="5"/>
  <c r="R134" i="5"/>
  <c r="D84" i="5"/>
  <c r="D90" i="5" s="1"/>
  <c r="K29" i="5"/>
  <c r="K33" i="5" s="1"/>
  <c r="K34" i="5" s="1"/>
  <c r="Q27" i="5"/>
  <c r="U27" i="5" s="1"/>
  <c r="Q121" i="5"/>
  <c r="Q76" i="5"/>
  <c r="Q24" i="5"/>
  <c r="D101" i="5"/>
  <c r="D121" i="5" s="1"/>
  <c r="D128" i="5" s="1"/>
  <c r="U90" i="4"/>
  <c r="J121" i="4"/>
  <c r="R113" i="4"/>
  <c r="Q113" i="4"/>
  <c r="R8" i="4"/>
  <c r="Q95" i="4"/>
  <c r="U94" i="4"/>
  <c r="K121" i="4"/>
  <c r="C128" i="4"/>
  <c r="C135" i="4" s="1"/>
  <c r="C136" i="4" s="1"/>
  <c r="C137" i="4" s="1"/>
  <c r="U127" i="4"/>
  <c r="U73" i="4"/>
  <c r="R79" i="4"/>
  <c r="E82" i="4"/>
  <c r="R82" i="4" s="1"/>
  <c r="Q79" i="4"/>
  <c r="U124" i="4"/>
  <c r="U134" i="4"/>
  <c r="M14" i="4"/>
  <c r="K24" i="4"/>
  <c r="K29" i="4" s="1"/>
  <c r="K33" i="4" s="1"/>
  <c r="K34" i="4" s="1"/>
  <c r="G40" i="4"/>
  <c r="F41" i="4"/>
  <c r="P43" i="4"/>
  <c r="H47" i="4"/>
  <c r="R124" i="4"/>
  <c r="H40" i="4"/>
  <c r="G41" i="4"/>
  <c r="I47" i="4"/>
  <c r="Q59" i="4"/>
  <c r="Q62" i="4" s="1"/>
  <c r="E62" i="4"/>
  <c r="R62" i="4" s="1"/>
  <c r="O104" i="4"/>
  <c r="O121" i="4" s="1"/>
  <c r="U123" i="4"/>
  <c r="G47" i="4"/>
  <c r="N7" i="4"/>
  <c r="R7" i="4" s="1"/>
  <c r="O14" i="4"/>
  <c r="I40" i="4"/>
  <c r="H41" i="4"/>
  <c r="J47" i="4"/>
  <c r="U84" i="4"/>
  <c r="P104" i="4"/>
  <c r="P121" i="4" s="1"/>
  <c r="Q107" i="4"/>
  <c r="U132" i="4"/>
  <c r="P14" i="4"/>
  <c r="E29" i="4"/>
  <c r="J40" i="4"/>
  <c r="I41" i="4"/>
  <c r="K47" i="4"/>
  <c r="Q76" i="4"/>
  <c r="E95" i="4"/>
  <c r="R95" i="4" s="1"/>
  <c r="R107" i="4"/>
  <c r="Q108" i="4"/>
  <c r="K40" i="4"/>
  <c r="J41" i="4"/>
  <c r="L47" i="4"/>
  <c r="U50" i="4"/>
  <c r="F47" i="4"/>
  <c r="L40" i="4"/>
  <c r="K41" i="4"/>
  <c r="E43" i="4"/>
  <c r="M47" i="4"/>
  <c r="U64" i="4"/>
  <c r="Q25" i="4"/>
  <c r="U25" i="4" s="1"/>
  <c r="M40" i="4"/>
  <c r="L41" i="4"/>
  <c r="E44" i="4"/>
  <c r="N47" i="4"/>
  <c r="R134" i="4"/>
  <c r="F40" i="4"/>
  <c r="Q37" i="4"/>
  <c r="N40" i="4"/>
  <c r="M41" i="4"/>
  <c r="E45" i="4"/>
  <c r="O47" i="4"/>
  <c r="E112" i="4"/>
  <c r="E121" i="4" s="1"/>
  <c r="R37" i="4"/>
  <c r="Q38" i="4"/>
  <c r="O40" i="4"/>
  <c r="N41" i="4"/>
  <c r="P47" i="4"/>
  <c r="Q39" i="4"/>
  <c r="P40" i="4"/>
  <c r="O41" i="4"/>
  <c r="Q106" i="4"/>
  <c r="G112" i="4"/>
  <c r="G121" i="4" s="1"/>
  <c r="Q27" i="4"/>
  <c r="U27" i="4" s="1"/>
  <c r="D37" i="4"/>
  <c r="D48" i="4" s="1"/>
  <c r="D128" i="4" s="1"/>
  <c r="D129" i="4" s="1"/>
  <c r="D130" i="4" s="1"/>
  <c r="P41" i="4"/>
  <c r="Q82" i="4"/>
  <c r="N8" i="4"/>
  <c r="Q8" i="4" s="1"/>
  <c r="U8" i="4" s="1"/>
  <c r="R73" i="4"/>
  <c r="U38" i="3"/>
  <c r="U73" i="3"/>
  <c r="E76" i="3"/>
  <c r="C135" i="3"/>
  <c r="C136" i="3" s="1"/>
  <c r="C137" i="3" s="1"/>
  <c r="U62" i="3"/>
  <c r="E33" i="3"/>
  <c r="R29" i="3"/>
  <c r="D33" i="3"/>
  <c r="D34" i="3" s="1"/>
  <c r="D128" i="3"/>
  <c r="D135" i="3" s="1"/>
  <c r="C129" i="3"/>
  <c r="C130" i="3" s="1"/>
  <c r="U134" i="3"/>
  <c r="U95" i="3"/>
  <c r="F40" i="3"/>
  <c r="R13" i="3"/>
  <c r="Q14" i="3"/>
  <c r="U14" i="3" s="1"/>
  <c r="H40" i="3"/>
  <c r="G41" i="3"/>
  <c r="I47" i="3"/>
  <c r="U56" i="3"/>
  <c r="U64" i="3"/>
  <c r="Q82" i="3"/>
  <c r="Q90" i="3"/>
  <c r="U112" i="3"/>
  <c r="I40" i="3"/>
  <c r="H41" i="3"/>
  <c r="J47" i="3"/>
  <c r="U124" i="3"/>
  <c r="U132" i="3"/>
  <c r="Q24" i="3"/>
  <c r="J40" i="3"/>
  <c r="I41" i="3"/>
  <c r="K47" i="3"/>
  <c r="U50" i="3"/>
  <c r="R24" i="3"/>
  <c r="K40" i="3"/>
  <c r="J41" i="3"/>
  <c r="L47" i="3"/>
  <c r="Q32" i="3"/>
  <c r="U32" i="3" s="1"/>
  <c r="L40" i="3"/>
  <c r="K41" i="3"/>
  <c r="E43" i="3"/>
  <c r="M47" i="3"/>
  <c r="P104" i="3"/>
  <c r="P121" i="3" s="1"/>
  <c r="R121" i="3" s="1"/>
  <c r="M40" i="3"/>
  <c r="L41" i="3"/>
  <c r="E44" i="3"/>
  <c r="N47" i="3"/>
  <c r="Q104" i="3"/>
  <c r="Q127" i="3"/>
  <c r="F47" i="3"/>
  <c r="Q37" i="3"/>
  <c r="N40" i="3"/>
  <c r="M41" i="3"/>
  <c r="F44" i="3"/>
  <c r="E45" i="3"/>
  <c r="O47" i="3"/>
  <c r="R104" i="3"/>
  <c r="R37" i="3"/>
  <c r="O40" i="3"/>
  <c r="N41" i="3"/>
  <c r="H43" i="3"/>
  <c r="G44" i="3"/>
  <c r="F45" i="3"/>
  <c r="P47" i="3"/>
  <c r="Q121" i="3"/>
  <c r="P14" i="3"/>
  <c r="P75" i="3" s="1"/>
  <c r="P76" i="3" s="1"/>
  <c r="Q39" i="3"/>
  <c r="P40" i="3"/>
  <c r="O41" i="3"/>
  <c r="P41" i="3"/>
  <c r="G47" i="3"/>
  <c r="K12" i="2"/>
  <c r="L12" i="2"/>
  <c r="M12" i="2"/>
  <c r="R44" i="2"/>
  <c r="Q44" i="2"/>
  <c r="R62" i="2"/>
  <c r="F13" i="2"/>
  <c r="G13" i="2" s="1"/>
  <c r="H13" i="2" s="1"/>
  <c r="I13" i="2" s="1"/>
  <c r="J13" i="2" s="1"/>
  <c r="U37" i="2"/>
  <c r="U134" i="2"/>
  <c r="E25" i="2"/>
  <c r="E29" i="2" s="1"/>
  <c r="E104" i="2"/>
  <c r="E14" i="2"/>
  <c r="F11" i="2"/>
  <c r="U73" i="2"/>
  <c r="C128" i="2"/>
  <c r="C135" i="2" s="1"/>
  <c r="C136" i="2" s="1"/>
  <c r="C137" i="2" s="1"/>
  <c r="Q39" i="2"/>
  <c r="P40" i="2"/>
  <c r="O41" i="2"/>
  <c r="I43" i="2"/>
  <c r="Q82" i="2"/>
  <c r="Q90" i="2"/>
  <c r="R124" i="2"/>
  <c r="P41" i="2"/>
  <c r="J43" i="2"/>
  <c r="D52" i="2"/>
  <c r="D62" i="2" s="1"/>
  <c r="D128" i="2" s="1"/>
  <c r="Q95" i="2"/>
  <c r="K43" i="2"/>
  <c r="U124" i="2"/>
  <c r="U132" i="2"/>
  <c r="D39" i="2"/>
  <c r="D48" i="2" s="1"/>
  <c r="L43" i="2"/>
  <c r="Q54" i="2"/>
  <c r="Q62" i="2" s="1"/>
  <c r="M43" i="2"/>
  <c r="E47" i="2"/>
  <c r="R54" i="2"/>
  <c r="E40" i="2"/>
  <c r="N43" i="2"/>
  <c r="F47" i="2"/>
  <c r="F40" i="2"/>
  <c r="E41" i="2"/>
  <c r="G47" i="2"/>
  <c r="Q127" i="2"/>
  <c r="R134" i="2"/>
  <c r="G40" i="2"/>
  <c r="F41" i="2"/>
  <c r="H47" i="2"/>
  <c r="O40" i="2"/>
  <c r="H40" i="2"/>
  <c r="G41" i="2"/>
  <c r="O45" i="2"/>
  <c r="R45" i="2" s="1"/>
  <c r="I47" i="2"/>
  <c r="Q24" i="2"/>
  <c r="I40" i="2"/>
  <c r="H41" i="2"/>
  <c r="J47" i="2"/>
  <c r="U97" i="2"/>
  <c r="R24" i="2"/>
  <c r="J40" i="2"/>
  <c r="I41" i="2"/>
  <c r="K47" i="2"/>
  <c r="Q32" i="2"/>
  <c r="U32" i="2" s="1"/>
  <c r="K40" i="2"/>
  <c r="J41" i="2"/>
  <c r="L47" i="2"/>
  <c r="L40" i="2"/>
  <c r="K41" i="2"/>
  <c r="M47" i="2"/>
  <c r="L41" i="2"/>
  <c r="U73" i="1"/>
  <c r="F29" i="1"/>
  <c r="F33" i="1" s="1"/>
  <c r="F34" i="1" s="1"/>
  <c r="G29" i="1"/>
  <c r="G33" i="1" s="1"/>
  <c r="G34" i="1" s="1"/>
  <c r="H29" i="1"/>
  <c r="H33" i="1" s="1"/>
  <c r="H34" i="1" s="1"/>
  <c r="I29" i="1"/>
  <c r="I33" i="1" s="1"/>
  <c r="I34" i="1" s="1"/>
  <c r="U62" i="1"/>
  <c r="J29" i="1"/>
  <c r="J33" i="1" s="1"/>
  <c r="J34" i="1" s="1"/>
  <c r="K29" i="1"/>
  <c r="K33" i="1" s="1"/>
  <c r="K34" i="1" s="1"/>
  <c r="D48" i="1"/>
  <c r="D128" i="1" s="1"/>
  <c r="U134" i="1"/>
  <c r="E40" i="1"/>
  <c r="N43" i="1"/>
  <c r="F47" i="1"/>
  <c r="E75" i="1"/>
  <c r="C76" i="1"/>
  <c r="U80" i="1"/>
  <c r="U88" i="1"/>
  <c r="U112" i="1"/>
  <c r="F40" i="1"/>
  <c r="E41" i="1"/>
  <c r="O43" i="1"/>
  <c r="G47" i="1"/>
  <c r="F75" i="1"/>
  <c r="F76" i="1" s="1"/>
  <c r="U124" i="1"/>
  <c r="U132" i="1"/>
  <c r="G40" i="1"/>
  <c r="F41" i="1"/>
  <c r="P43" i="1"/>
  <c r="H47" i="1"/>
  <c r="G75" i="1"/>
  <c r="G76" i="1" s="1"/>
  <c r="H40" i="1"/>
  <c r="G41" i="1"/>
  <c r="I47" i="1"/>
  <c r="U64" i="1"/>
  <c r="H75" i="1"/>
  <c r="H76" i="1" s="1"/>
  <c r="E28" i="1"/>
  <c r="I40" i="1"/>
  <c r="H41" i="1"/>
  <c r="J47" i="1"/>
  <c r="I75" i="1"/>
  <c r="I76" i="1" s="1"/>
  <c r="Q82" i="1"/>
  <c r="Q90" i="1"/>
  <c r="E29" i="1"/>
  <c r="J40" i="1"/>
  <c r="I41" i="1"/>
  <c r="K47" i="1"/>
  <c r="U50" i="1"/>
  <c r="J75" i="1"/>
  <c r="J76" i="1" s="1"/>
  <c r="Q95" i="1"/>
  <c r="Q127" i="1"/>
  <c r="R134" i="1"/>
  <c r="Q32" i="1"/>
  <c r="U32" i="1" s="1"/>
  <c r="K40" i="1"/>
  <c r="J41" i="1"/>
  <c r="L47" i="1"/>
  <c r="K75" i="1"/>
  <c r="K76" i="1" s="1"/>
  <c r="L40" i="1"/>
  <c r="K41" i="1"/>
  <c r="M47" i="1"/>
  <c r="L75" i="1"/>
  <c r="L76" i="1" s="1"/>
  <c r="E47" i="1"/>
  <c r="Q24" i="1"/>
  <c r="Q25" i="1"/>
  <c r="U25" i="1" s="1"/>
  <c r="Q37" i="1"/>
  <c r="M40" i="1"/>
  <c r="L41" i="1"/>
  <c r="F43" i="1"/>
  <c r="E44" i="1"/>
  <c r="N47" i="1"/>
  <c r="M75" i="1"/>
  <c r="M76" i="1" s="1"/>
  <c r="Q38" i="1"/>
  <c r="N40" i="1"/>
  <c r="M41" i="1"/>
  <c r="E45" i="1"/>
  <c r="O47" i="1"/>
  <c r="Q104" i="1"/>
  <c r="Q108" i="1"/>
  <c r="C48" i="1"/>
  <c r="C128" i="1" s="1"/>
  <c r="O40" i="1"/>
  <c r="N41" i="1"/>
  <c r="P47" i="1"/>
  <c r="R104" i="1"/>
  <c r="Q39" i="1"/>
  <c r="P40" i="1"/>
  <c r="O41" i="1"/>
  <c r="P41" i="1"/>
  <c r="P48" i="28" l="1"/>
  <c r="P128" i="28" s="1"/>
  <c r="P135" i="28" s="1"/>
  <c r="P136" i="28" s="1"/>
  <c r="P137" i="28" s="1"/>
  <c r="L48" i="28"/>
  <c r="L128" i="28" s="1"/>
  <c r="J48" i="28"/>
  <c r="J128" i="28" s="1"/>
  <c r="N48" i="2"/>
  <c r="L48" i="2"/>
  <c r="F48" i="28"/>
  <c r="F128" i="28" s="1"/>
  <c r="L135" i="28"/>
  <c r="L136" i="28" s="1"/>
  <c r="L137" i="28" s="1"/>
  <c r="L129" i="28"/>
  <c r="L130" i="28" s="1"/>
  <c r="M135" i="28"/>
  <c r="M136" i="28" s="1"/>
  <c r="M137" i="28" s="1"/>
  <c r="M129" i="28"/>
  <c r="M130" i="28" s="1"/>
  <c r="G135" i="28"/>
  <c r="G136" i="28" s="1"/>
  <c r="G137" i="28" s="1"/>
  <c r="G129" i="28"/>
  <c r="G130" i="28" s="1"/>
  <c r="J135" i="28"/>
  <c r="J136" i="28" s="1"/>
  <c r="J137" i="28" s="1"/>
  <c r="J129" i="28"/>
  <c r="J130" i="28" s="1"/>
  <c r="O135" i="28"/>
  <c r="O136" i="28" s="1"/>
  <c r="O137" i="28" s="1"/>
  <c r="O129" i="28"/>
  <c r="O130" i="28" s="1"/>
  <c r="F135" i="28"/>
  <c r="F136" i="28" s="1"/>
  <c r="F137" i="28" s="1"/>
  <c r="F129" i="28"/>
  <c r="F130" i="28" s="1"/>
  <c r="N129" i="28"/>
  <c r="N130" i="28" s="1"/>
  <c r="N135" i="28"/>
  <c r="N136" i="28" s="1"/>
  <c r="N137" i="28" s="1"/>
  <c r="C135" i="28"/>
  <c r="C136" i="28" s="1"/>
  <c r="C137" i="28" s="1"/>
  <c r="C129" i="28"/>
  <c r="C130" i="28" s="1"/>
  <c r="K135" i="28"/>
  <c r="K136" i="28" s="1"/>
  <c r="K137" i="28" s="1"/>
  <c r="K129" i="28"/>
  <c r="K130" i="28" s="1"/>
  <c r="P129" i="28"/>
  <c r="P130" i="28" s="1"/>
  <c r="R47" i="28"/>
  <c r="Q47" i="28"/>
  <c r="I48" i="28"/>
  <c r="I128" i="28" s="1"/>
  <c r="Q40" i="28"/>
  <c r="R40" i="28"/>
  <c r="U62" i="28"/>
  <c r="E48" i="28"/>
  <c r="U73" i="28"/>
  <c r="R44" i="28"/>
  <c r="Q44" i="28"/>
  <c r="U127" i="28"/>
  <c r="U37" i="28"/>
  <c r="R34" i="28"/>
  <c r="R46" i="28"/>
  <c r="Q46" i="28"/>
  <c r="Q29" i="28"/>
  <c r="U38" i="28"/>
  <c r="R43" i="28"/>
  <c r="Q43" i="28"/>
  <c r="D135" i="28"/>
  <c r="D136" i="28" s="1"/>
  <c r="D137" i="28" s="1"/>
  <c r="U82" i="28"/>
  <c r="R41" i="28"/>
  <c r="Q41" i="28"/>
  <c r="U54" i="28"/>
  <c r="H48" i="28"/>
  <c r="H128" i="28" s="1"/>
  <c r="R45" i="28"/>
  <c r="Q45" i="28"/>
  <c r="U39" i="28"/>
  <c r="Q45" i="2"/>
  <c r="F48" i="1"/>
  <c r="F128" i="1" s="1"/>
  <c r="H48" i="4"/>
  <c r="H128" i="4" s="1"/>
  <c r="K48" i="4"/>
  <c r="I48" i="4"/>
  <c r="I128" i="4" s="1"/>
  <c r="I135" i="4" s="1"/>
  <c r="I136" i="4" s="1"/>
  <c r="I137" i="4" s="1"/>
  <c r="P48" i="2"/>
  <c r="N48" i="3"/>
  <c r="N128" i="3" s="1"/>
  <c r="G48" i="3"/>
  <c r="G128" i="3" s="1"/>
  <c r="G135" i="3" s="1"/>
  <c r="G136" i="3" s="1"/>
  <c r="G137" i="3" s="1"/>
  <c r="H48" i="3"/>
  <c r="H128" i="3" s="1"/>
  <c r="H135" i="3" s="1"/>
  <c r="H136" i="3" s="1"/>
  <c r="H137" i="3" s="1"/>
  <c r="I48" i="1"/>
  <c r="H48" i="2"/>
  <c r="I48" i="2"/>
  <c r="M48" i="3"/>
  <c r="M128" i="3" s="1"/>
  <c r="N48" i="4"/>
  <c r="O48" i="1"/>
  <c r="O128" i="1" s="1"/>
  <c r="O129" i="1" s="1"/>
  <c r="O130" i="1" s="1"/>
  <c r="O48" i="3"/>
  <c r="O128" i="3" s="1"/>
  <c r="O129" i="3" s="1"/>
  <c r="O130" i="3" s="1"/>
  <c r="Q41" i="4"/>
  <c r="U41" i="4" s="1"/>
  <c r="H48" i="1"/>
  <c r="H128" i="1" s="1"/>
  <c r="H135" i="1" s="1"/>
  <c r="H136" i="1" s="1"/>
  <c r="H137" i="1" s="1"/>
  <c r="E48" i="3"/>
  <c r="G48" i="1"/>
  <c r="G128" i="1" s="1"/>
  <c r="G135" i="1" s="1"/>
  <c r="O48" i="2"/>
  <c r="N48" i="1"/>
  <c r="N128" i="1" s="1"/>
  <c r="N135" i="1" s="1"/>
  <c r="N136" i="1" s="1"/>
  <c r="N137" i="1" s="1"/>
  <c r="M48" i="4"/>
  <c r="M128" i="4" s="1"/>
  <c r="M129" i="4" s="1"/>
  <c r="M130" i="4" s="1"/>
  <c r="M48" i="1"/>
  <c r="M128" i="1" s="1"/>
  <c r="M135" i="1" s="1"/>
  <c r="M136" i="1" s="1"/>
  <c r="M137" i="1" s="1"/>
  <c r="F48" i="2"/>
  <c r="I128" i="1"/>
  <c r="I135" i="1" s="1"/>
  <c r="I136" i="1" s="1"/>
  <c r="I137" i="1" s="1"/>
  <c r="R47" i="3"/>
  <c r="O48" i="4"/>
  <c r="O128" i="4" s="1"/>
  <c r="J48" i="4"/>
  <c r="J128" i="4" s="1"/>
  <c r="J129" i="4" s="1"/>
  <c r="J130" i="4" s="1"/>
  <c r="J48" i="1"/>
  <c r="J128" i="1" s="1"/>
  <c r="J135" i="1" s="1"/>
  <c r="I48" i="3"/>
  <c r="I128" i="3" s="1"/>
  <c r="I135" i="3" s="1"/>
  <c r="I136" i="3" s="1"/>
  <c r="I137" i="3" s="1"/>
  <c r="M48" i="2"/>
  <c r="R41" i="4"/>
  <c r="G48" i="2"/>
  <c r="R43" i="2"/>
  <c r="J48" i="3"/>
  <c r="J128" i="3" s="1"/>
  <c r="J129" i="3" s="1"/>
  <c r="J130" i="3" s="1"/>
  <c r="K48" i="1"/>
  <c r="K128" i="1" s="1"/>
  <c r="K135" i="1" s="1"/>
  <c r="K136" i="1" s="1"/>
  <c r="K137" i="1" s="1"/>
  <c r="Q40" i="3"/>
  <c r="U40" i="3" s="1"/>
  <c r="L48" i="4"/>
  <c r="L128" i="4" s="1"/>
  <c r="L135" i="4" s="1"/>
  <c r="L136" i="4" s="1"/>
  <c r="L137" i="4" s="1"/>
  <c r="L48" i="1"/>
  <c r="L128" i="1" s="1"/>
  <c r="L129" i="1" s="1"/>
  <c r="L130" i="1" s="1"/>
  <c r="K48" i="2"/>
  <c r="R47" i="4"/>
  <c r="K128" i="4"/>
  <c r="K135" i="4" s="1"/>
  <c r="K136" i="4" s="1"/>
  <c r="K137" i="4" s="1"/>
  <c r="K48" i="3"/>
  <c r="K128" i="3" s="1"/>
  <c r="K129" i="3" s="1"/>
  <c r="K130" i="3" s="1"/>
  <c r="J48" i="2"/>
  <c r="L48" i="3"/>
  <c r="L128" i="3" s="1"/>
  <c r="L129" i="3" s="1"/>
  <c r="L130" i="3" s="1"/>
  <c r="P48" i="1"/>
  <c r="P128" i="1" s="1"/>
  <c r="P135" i="1" s="1"/>
  <c r="P136" i="1" s="1"/>
  <c r="P137" i="1" s="1"/>
  <c r="F48" i="4"/>
  <c r="F128" i="4" s="1"/>
  <c r="F135" i="4" s="1"/>
  <c r="F136" i="4" s="1"/>
  <c r="F137" i="4" s="1"/>
  <c r="E48" i="1"/>
  <c r="R43" i="1"/>
  <c r="P48" i="4"/>
  <c r="P128" i="4" s="1"/>
  <c r="P129" i="4" s="1"/>
  <c r="P130" i="4" s="1"/>
  <c r="P48" i="3"/>
  <c r="P128" i="3" s="1"/>
  <c r="P129" i="3" s="1"/>
  <c r="P130" i="3" s="1"/>
  <c r="D135" i="19"/>
  <c r="D136" i="19" s="1"/>
  <c r="D137" i="19" s="1"/>
  <c r="D129" i="19"/>
  <c r="D130" i="19" s="1"/>
  <c r="U121" i="19"/>
  <c r="Q128" i="19"/>
  <c r="R29" i="19"/>
  <c r="E33" i="19"/>
  <c r="U73" i="19"/>
  <c r="U76" i="19"/>
  <c r="C129" i="19"/>
  <c r="C130" i="19" s="1"/>
  <c r="N129" i="19"/>
  <c r="N130" i="19" s="1"/>
  <c r="N136" i="19"/>
  <c r="N137" i="19" s="1"/>
  <c r="R31" i="19"/>
  <c r="Q31" i="19"/>
  <c r="E32" i="19"/>
  <c r="R32" i="19" s="1"/>
  <c r="H129" i="19"/>
  <c r="H130" i="19" s="1"/>
  <c r="H136" i="19"/>
  <c r="H137" i="19" s="1"/>
  <c r="J129" i="19"/>
  <c r="J130" i="19" s="1"/>
  <c r="J136" i="19"/>
  <c r="J137" i="19" s="1"/>
  <c r="Q29" i="19"/>
  <c r="U24" i="19"/>
  <c r="M129" i="19"/>
  <c r="M130" i="19" s="1"/>
  <c r="M136" i="19"/>
  <c r="M137" i="19" s="1"/>
  <c r="G129" i="19"/>
  <c r="G130" i="19" s="1"/>
  <c r="G136" i="19"/>
  <c r="G137" i="19" s="1"/>
  <c r="R135" i="19"/>
  <c r="P129" i="19"/>
  <c r="P130" i="19" s="1"/>
  <c r="P136" i="19"/>
  <c r="P137" i="19" s="1"/>
  <c r="U104" i="19"/>
  <c r="U95" i="19"/>
  <c r="L129" i="19"/>
  <c r="L130" i="19" s="1"/>
  <c r="L136" i="19"/>
  <c r="L137" i="19" s="1"/>
  <c r="I129" i="19"/>
  <c r="I130" i="19" s="1"/>
  <c r="I136" i="19"/>
  <c r="I137" i="19" s="1"/>
  <c r="F136" i="19"/>
  <c r="F137" i="19" s="1"/>
  <c r="F129" i="19"/>
  <c r="F130" i="19" s="1"/>
  <c r="K129" i="19"/>
  <c r="K130" i="19" s="1"/>
  <c r="K136" i="19"/>
  <c r="K137" i="19" s="1"/>
  <c r="I129" i="18"/>
  <c r="I130" i="18" s="1"/>
  <c r="I136" i="18"/>
  <c r="I137" i="18" s="1"/>
  <c r="U104" i="18"/>
  <c r="Q29" i="18"/>
  <c r="U24" i="18"/>
  <c r="U127" i="18"/>
  <c r="R128" i="18"/>
  <c r="U95" i="18"/>
  <c r="Q31" i="18"/>
  <c r="R31" i="18"/>
  <c r="E32" i="18"/>
  <c r="R32" i="18" s="1"/>
  <c r="R29" i="18"/>
  <c r="E33" i="18"/>
  <c r="U134" i="18"/>
  <c r="U73" i="18"/>
  <c r="D129" i="18"/>
  <c r="D130" i="18" s="1"/>
  <c r="D136" i="18"/>
  <c r="D137" i="18" s="1"/>
  <c r="F129" i="18"/>
  <c r="F130" i="18" s="1"/>
  <c r="K129" i="18"/>
  <c r="K130" i="18" s="1"/>
  <c r="K136" i="18"/>
  <c r="K137" i="18" s="1"/>
  <c r="P129" i="18"/>
  <c r="P130" i="18" s="1"/>
  <c r="P136" i="18"/>
  <c r="P137" i="18" s="1"/>
  <c r="G129" i="18"/>
  <c r="G130" i="18" s="1"/>
  <c r="G136" i="18"/>
  <c r="G137" i="18" s="1"/>
  <c r="L129" i="18"/>
  <c r="L130" i="18" s="1"/>
  <c r="L136" i="18"/>
  <c r="L137" i="18" s="1"/>
  <c r="Q121" i="18"/>
  <c r="E135" i="18"/>
  <c r="R135" i="18" s="1"/>
  <c r="O129" i="18"/>
  <c r="O130" i="18" s="1"/>
  <c r="O136" i="18"/>
  <c r="O137" i="18" s="1"/>
  <c r="J129" i="18"/>
  <c r="J130" i="18" s="1"/>
  <c r="J136" i="18"/>
  <c r="J137" i="18" s="1"/>
  <c r="U62" i="18"/>
  <c r="N129" i="18"/>
  <c r="N130" i="18" s="1"/>
  <c r="D129" i="17"/>
  <c r="D130" i="17" s="1"/>
  <c r="D135" i="17"/>
  <c r="D136" i="17" s="1"/>
  <c r="D137" i="17" s="1"/>
  <c r="U121" i="17"/>
  <c r="Q128" i="17"/>
  <c r="L129" i="17"/>
  <c r="L130" i="17" s="1"/>
  <c r="R29" i="17"/>
  <c r="Q31" i="17"/>
  <c r="E32" i="17"/>
  <c r="R32" i="17" s="1"/>
  <c r="R31" i="17"/>
  <c r="I129" i="17"/>
  <c r="I130" i="17" s="1"/>
  <c r="I136" i="17"/>
  <c r="I137" i="17" s="1"/>
  <c r="G136" i="17"/>
  <c r="G137" i="17" s="1"/>
  <c r="G129" i="17"/>
  <c r="G130" i="17" s="1"/>
  <c r="U76" i="17"/>
  <c r="J129" i="17"/>
  <c r="J130" i="17" s="1"/>
  <c r="J136" i="17"/>
  <c r="J137" i="17" s="1"/>
  <c r="U104" i="17"/>
  <c r="C135" i="17"/>
  <c r="C136" i="17" s="1"/>
  <c r="C137" i="17" s="1"/>
  <c r="F136" i="17"/>
  <c r="F137" i="17" s="1"/>
  <c r="F129" i="17"/>
  <c r="F130" i="17" s="1"/>
  <c r="H129" i="17"/>
  <c r="H130" i="17" s="1"/>
  <c r="H136" i="17"/>
  <c r="H137" i="17" s="1"/>
  <c r="Q29" i="17"/>
  <c r="U24" i="17"/>
  <c r="P129" i="17"/>
  <c r="P130" i="17" s="1"/>
  <c r="P136" i="17"/>
  <c r="P137" i="17" s="1"/>
  <c r="R128" i="17"/>
  <c r="U62" i="17"/>
  <c r="O129" i="17"/>
  <c r="O130" i="17" s="1"/>
  <c r="O136" i="17"/>
  <c r="O137" i="17" s="1"/>
  <c r="U73" i="17"/>
  <c r="R135" i="17"/>
  <c r="D135" i="16"/>
  <c r="D136" i="16" s="1"/>
  <c r="D137" i="16" s="1"/>
  <c r="D129" i="16"/>
  <c r="D130" i="16" s="1"/>
  <c r="U121" i="16"/>
  <c r="Q128" i="16"/>
  <c r="U76" i="16"/>
  <c r="Q29" i="16"/>
  <c r="U24" i="16"/>
  <c r="R29" i="16"/>
  <c r="E33" i="16"/>
  <c r="C129" i="16"/>
  <c r="C130" i="16" s="1"/>
  <c r="R135" i="16"/>
  <c r="U82" i="16"/>
  <c r="I129" i="16"/>
  <c r="I130" i="16" s="1"/>
  <c r="I136" i="16"/>
  <c r="I137" i="16" s="1"/>
  <c r="R128" i="16"/>
  <c r="F136" i="16"/>
  <c r="F137" i="16" s="1"/>
  <c r="F129" i="16"/>
  <c r="F130" i="16" s="1"/>
  <c r="M129" i="16"/>
  <c r="M130" i="16" s="1"/>
  <c r="M136" i="16"/>
  <c r="M137" i="16" s="1"/>
  <c r="P129" i="16"/>
  <c r="P130" i="16" s="1"/>
  <c r="P136" i="16"/>
  <c r="P137" i="16" s="1"/>
  <c r="U31" i="16"/>
  <c r="Q32" i="16"/>
  <c r="U32" i="16" s="1"/>
  <c r="U95" i="16"/>
  <c r="K129" i="16"/>
  <c r="K130" i="16" s="1"/>
  <c r="K136" i="16"/>
  <c r="K137" i="16" s="1"/>
  <c r="J129" i="16"/>
  <c r="J130" i="16" s="1"/>
  <c r="J136" i="16"/>
  <c r="J137" i="16" s="1"/>
  <c r="L129" i="16"/>
  <c r="L130" i="16" s="1"/>
  <c r="L136" i="16"/>
  <c r="L137" i="16" s="1"/>
  <c r="U127" i="16"/>
  <c r="U104" i="16"/>
  <c r="H129" i="16"/>
  <c r="H130" i="16" s="1"/>
  <c r="H136" i="16"/>
  <c r="H137" i="16" s="1"/>
  <c r="M129" i="15"/>
  <c r="M130" i="15" s="1"/>
  <c r="M136" i="15"/>
  <c r="M137" i="15" s="1"/>
  <c r="U73" i="15"/>
  <c r="F129" i="15"/>
  <c r="F130" i="15" s="1"/>
  <c r="F136" i="15"/>
  <c r="F137" i="15" s="1"/>
  <c r="Q128" i="15"/>
  <c r="U124" i="15"/>
  <c r="J129" i="15"/>
  <c r="J130" i="15" s="1"/>
  <c r="J136" i="15"/>
  <c r="J137" i="15" s="1"/>
  <c r="U121" i="15"/>
  <c r="P129" i="15"/>
  <c r="P130" i="15" s="1"/>
  <c r="P136" i="15"/>
  <c r="P137" i="15" s="1"/>
  <c r="L129" i="15"/>
  <c r="L130" i="15" s="1"/>
  <c r="L136" i="15"/>
  <c r="L137" i="15" s="1"/>
  <c r="I129" i="15"/>
  <c r="I130" i="15" s="1"/>
  <c r="I136" i="15"/>
  <c r="I137" i="15" s="1"/>
  <c r="U62" i="15"/>
  <c r="E32" i="15"/>
  <c r="R32" i="15" s="1"/>
  <c r="R31" i="15"/>
  <c r="Q31" i="15"/>
  <c r="R29" i="15"/>
  <c r="G129" i="15"/>
  <c r="G130" i="15" s="1"/>
  <c r="G136" i="15"/>
  <c r="G137" i="15" s="1"/>
  <c r="H129" i="15"/>
  <c r="H130" i="15" s="1"/>
  <c r="H136" i="15"/>
  <c r="H137" i="15" s="1"/>
  <c r="D129" i="15"/>
  <c r="D130" i="15" s="1"/>
  <c r="D136" i="15"/>
  <c r="D137" i="15" s="1"/>
  <c r="U24" i="15"/>
  <c r="Q29" i="15"/>
  <c r="U48" i="15"/>
  <c r="O129" i="15"/>
  <c r="O130" i="15" s="1"/>
  <c r="O136" i="15"/>
  <c r="O137" i="15" s="1"/>
  <c r="U127" i="14"/>
  <c r="R29" i="14"/>
  <c r="D129" i="14"/>
  <c r="D130" i="14" s="1"/>
  <c r="D136" i="14"/>
  <c r="D137" i="14" s="1"/>
  <c r="P129" i="14"/>
  <c r="P130" i="14" s="1"/>
  <c r="P136" i="14"/>
  <c r="P137" i="14" s="1"/>
  <c r="E32" i="14"/>
  <c r="R32" i="14" s="1"/>
  <c r="R31" i="14"/>
  <c r="Q31" i="14"/>
  <c r="I129" i="14"/>
  <c r="I130" i="14" s="1"/>
  <c r="I136" i="14"/>
  <c r="I137" i="14" s="1"/>
  <c r="K129" i="14"/>
  <c r="K130" i="14" s="1"/>
  <c r="K136" i="14"/>
  <c r="K137" i="14" s="1"/>
  <c r="G136" i="14"/>
  <c r="G137" i="14" s="1"/>
  <c r="G129" i="14"/>
  <c r="G130" i="14" s="1"/>
  <c r="O129" i="14"/>
  <c r="O130" i="14" s="1"/>
  <c r="O136" i="14"/>
  <c r="O137" i="14" s="1"/>
  <c r="U104" i="14"/>
  <c r="U62" i="14"/>
  <c r="R135" i="14"/>
  <c r="F136" i="14"/>
  <c r="F137" i="14" s="1"/>
  <c r="F129" i="14"/>
  <c r="F130" i="14" s="1"/>
  <c r="U82" i="14"/>
  <c r="Q121" i="14"/>
  <c r="H129" i="14"/>
  <c r="H130" i="14" s="1"/>
  <c r="H136" i="14"/>
  <c r="H137" i="14" s="1"/>
  <c r="U24" i="14"/>
  <c r="Q29" i="14"/>
  <c r="M129" i="14"/>
  <c r="M130" i="14" s="1"/>
  <c r="M136" i="14"/>
  <c r="M137" i="14" s="1"/>
  <c r="J129" i="14"/>
  <c r="J130" i="14" s="1"/>
  <c r="J136" i="14"/>
  <c r="J137" i="14" s="1"/>
  <c r="U48" i="14"/>
  <c r="L129" i="14"/>
  <c r="L130" i="14" s="1"/>
  <c r="L136" i="14"/>
  <c r="L137" i="14" s="1"/>
  <c r="O129" i="13"/>
  <c r="O130" i="13" s="1"/>
  <c r="O136" i="13"/>
  <c r="O137" i="13" s="1"/>
  <c r="U31" i="13"/>
  <c r="Q32" i="13"/>
  <c r="U32" i="13" s="1"/>
  <c r="P129" i="13"/>
  <c r="P130" i="13" s="1"/>
  <c r="P136" i="13"/>
  <c r="P137" i="13" s="1"/>
  <c r="R135" i="13"/>
  <c r="F129" i="13"/>
  <c r="F130" i="13" s="1"/>
  <c r="F136" i="13"/>
  <c r="F137" i="13" s="1"/>
  <c r="G129" i="13"/>
  <c r="G130" i="13" s="1"/>
  <c r="U127" i="13"/>
  <c r="Q128" i="13"/>
  <c r="U124" i="13"/>
  <c r="K129" i="13"/>
  <c r="K130" i="13" s="1"/>
  <c r="K136" i="13"/>
  <c r="K137" i="13" s="1"/>
  <c r="I129" i="13"/>
  <c r="I130" i="13" s="1"/>
  <c r="I136" i="13"/>
  <c r="I137" i="13" s="1"/>
  <c r="N129" i="13"/>
  <c r="N130" i="13" s="1"/>
  <c r="N136" i="13"/>
  <c r="N137" i="13" s="1"/>
  <c r="H129" i="13"/>
  <c r="H130" i="13" s="1"/>
  <c r="H136" i="13"/>
  <c r="H137" i="13" s="1"/>
  <c r="U62" i="13"/>
  <c r="U24" i="13"/>
  <c r="Q29" i="13"/>
  <c r="R31" i="13"/>
  <c r="R29" i="13"/>
  <c r="U76" i="13"/>
  <c r="R33" i="13"/>
  <c r="J129" i="13"/>
  <c r="J130" i="13" s="1"/>
  <c r="J136" i="13"/>
  <c r="J137" i="13" s="1"/>
  <c r="E136" i="13"/>
  <c r="E129" i="13"/>
  <c r="R34" i="13"/>
  <c r="R128" i="13"/>
  <c r="U82" i="13"/>
  <c r="U73" i="13"/>
  <c r="U48" i="13"/>
  <c r="U121" i="12"/>
  <c r="Q128" i="12"/>
  <c r="G136" i="12"/>
  <c r="G137" i="12" s="1"/>
  <c r="G129" i="12"/>
  <c r="G130" i="12" s="1"/>
  <c r="P129" i="12"/>
  <c r="P130" i="12" s="1"/>
  <c r="P136" i="12"/>
  <c r="P137" i="12" s="1"/>
  <c r="L129" i="12"/>
  <c r="L130" i="12" s="1"/>
  <c r="L136" i="12"/>
  <c r="L137" i="12" s="1"/>
  <c r="I129" i="12"/>
  <c r="I130" i="12" s="1"/>
  <c r="I136" i="12"/>
  <c r="I137" i="12" s="1"/>
  <c r="K129" i="12"/>
  <c r="K130" i="12" s="1"/>
  <c r="K136" i="12"/>
  <c r="K137" i="12" s="1"/>
  <c r="U127" i="12"/>
  <c r="E33" i="12"/>
  <c r="R29" i="12"/>
  <c r="D129" i="12"/>
  <c r="D130" i="12" s="1"/>
  <c r="D136" i="12"/>
  <c r="D137" i="12" s="1"/>
  <c r="U48" i="12"/>
  <c r="O135" i="12"/>
  <c r="O136" i="12" s="1"/>
  <c r="O137" i="12" s="1"/>
  <c r="U104" i="12"/>
  <c r="F129" i="12"/>
  <c r="F130" i="12" s="1"/>
  <c r="F136" i="12"/>
  <c r="F137" i="12" s="1"/>
  <c r="O129" i="12"/>
  <c r="O130" i="12" s="1"/>
  <c r="U62" i="12"/>
  <c r="M129" i="12"/>
  <c r="M130" i="12" s="1"/>
  <c r="M136" i="12"/>
  <c r="M137" i="12" s="1"/>
  <c r="R135" i="12"/>
  <c r="U24" i="12"/>
  <c r="Q29" i="12"/>
  <c r="H129" i="12"/>
  <c r="H130" i="12" s="1"/>
  <c r="H136" i="12"/>
  <c r="H137" i="12" s="1"/>
  <c r="U73" i="12"/>
  <c r="C129" i="12"/>
  <c r="C130" i="12" s="1"/>
  <c r="J129" i="12"/>
  <c r="J130" i="12" s="1"/>
  <c r="J136" i="12"/>
  <c r="J137" i="12" s="1"/>
  <c r="E32" i="12"/>
  <c r="R32" i="12" s="1"/>
  <c r="R31" i="12"/>
  <c r="Q31" i="12"/>
  <c r="U121" i="11"/>
  <c r="Q128" i="11"/>
  <c r="D129" i="11"/>
  <c r="D130" i="11" s="1"/>
  <c r="D135" i="11"/>
  <c r="D136" i="11" s="1"/>
  <c r="D137" i="11" s="1"/>
  <c r="G136" i="11"/>
  <c r="G137" i="11" s="1"/>
  <c r="G129" i="11"/>
  <c r="G130" i="11" s="1"/>
  <c r="R135" i="11"/>
  <c r="N129" i="11"/>
  <c r="N130" i="11" s="1"/>
  <c r="N136" i="11"/>
  <c r="N137" i="11" s="1"/>
  <c r="U127" i="11"/>
  <c r="Q29" i="11"/>
  <c r="U24" i="11"/>
  <c r="U76" i="11"/>
  <c r="P129" i="11"/>
  <c r="P130" i="11" s="1"/>
  <c r="P136" i="11"/>
  <c r="P137" i="11" s="1"/>
  <c r="I129" i="11"/>
  <c r="I130" i="11" s="1"/>
  <c r="I136" i="11"/>
  <c r="I137" i="11" s="1"/>
  <c r="L129" i="11"/>
  <c r="L130" i="11" s="1"/>
  <c r="L136" i="11"/>
  <c r="L137" i="11" s="1"/>
  <c r="C129" i="11"/>
  <c r="C130" i="11" s="1"/>
  <c r="C136" i="11"/>
  <c r="C137" i="11" s="1"/>
  <c r="O129" i="11"/>
  <c r="O130" i="11" s="1"/>
  <c r="O136" i="11"/>
  <c r="O137" i="11" s="1"/>
  <c r="R31" i="11"/>
  <c r="Q31" i="11"/>
  <c r="E32" i="11"/>
  <c r="R32" i="11" s="1"/>
  <c r="R29" i="11"/>
  <c r="E33" i="11"/>
  <c r="J129" i="11"/>
  <c r="J130" i="11" s="1"/>
  <c r="J136" i="11"/>
  <c r="J137" i="11" s="1"/>
  <c r="U104" i="11"/>
  <c r="U73" i="11"/>
  <c r="F136" i="11"/>
  <c r="F137" i="11" s="1"/>
  <c r="F129" i="11"/>
  <c r="F130" i="11" s="1"/>
  <c r="K129" i="11"/>
  <c r="K130" i="11" s="1"/>
  <c r="K136" i="11"/>
  <c r="K137" i="11" s="1"/>
  <c r="H129" i="11"/>
  <c r="H130" i="11" s="1"/>
  <c r="H136" i="11"/>
  <c r="H137" i="11" s="1"/>
  <c r="H129" i="10"/>
  <c r="H130" i="10" s="1"/>
  <c r="H136" i="10"/>
  <c r="H137" i="10" s="1"/>
  <c r="U62" i="10"/>
  <c r="D129" i="10"/>
  <c r="D130" i="10" s="1"/>
  <c r="D136" i="10"/>
  <c r="D137" i="10" s="1"/>
  <c r="U24" i="10"/>
  <c r="Q29" i="10"/>
  <c r="J129" i="10"/>
  <c r="J130" i="10" s="1"/>
  <c r="J136" i="10"/>
  <c r="J137" i="10" s="1"/>
  <c r="U73" i="10"/>
  <c r="M129" i="10"/>
  <c r="M130" i="10" s="1"/>
  <c r="M136" i="10"/>
  <c r="M137" i="10" s="1"/>
  <c r="R135" i="10"/>
  <c r="E32" i="10"/>
  <c r="R32" i="10" s="1"/>
  <c r="R31" i="10"/>
  <c r="Q31" i="10"/>
  <c r="R29" i="10"/>
  <c r="U104" i="10"/>
  <c r="I129" i="10"/>
  <c r="I130" i="10" s="1"/>
  <c r="I136" i="10"/>
  <c r="I137" i="10" s="1"/>
  <c r="G136" i="10"/>
  <c r="G137" i="10" s="1"/>
  <c r="G129" i="10"/>
  <c r="G130" i="10" s="1"/>
  <c r="C129" i="10"/>
  <c r="C130" i="10" s="1"/>
  <c r="F136" i="10"/>
  <c r="F137" i="10" s="1"/>
  <c r="F129" i="10"/>
  <c r="F130" i="10" s="1"/>
  <c r="L129" i="10"/>
  <c r="L130" i="10" s="1"/>
  <c r="L136" i="10"/>
  <c r="L137" i="10" s="1"/>
  <c r="Q121" i="10"/>
  <c r="U127" i="10"/>
  <c r="U48" i="10"/>
  <c r="G136" i="9"/>
  <c r="G137" i="9" s="1"/>
  <c r="G129" i="9"/>
  <c r="G130" i="9" s="1"/>
  <c r="Q31" i="9"/>
  <c r="R31" i="9"/>
  <c r="E32" i="9"/>
  <c r="R32" i="9" s="1"/>
  <c r="U76" i="9"/>
  <c r="J129" i="9"/>
  <c r="J130" i="9" s="1"/>
  <c r="J136" i="9"/>
  <c r="J137" i="9" s="1"/>
  <c r="E33" i="9"/>
  <c r="R29" i="9"/>
  <c r="U121" i="9"/>
  <c r="P129" i="9"/>
  <c r="P130" i="9" s="1"/>
  <c r="U104" i="9"/>
  <c r="F136" i="9"/>
  <c r="F137" i="9" s="1"/>
  <c r="F129" i="9"/>
  <c r="F130" i="9" s="1"/>
  <c r="Q29" i="9"/>
  <c r="U24" i="9"/>
  <c r="U73" i="9"/>
  <c r="D129" i="9"/>
  <c r="D130" i="9" s="1"/>
  <c r="D136" i="9"/>
  <c r="D137" i="9" s="1"/>
  <c r="M129" i="9"/>
  <c r="M130" i="9" s="1"/>
  <c r="M136" i="9"/>
  <c r="M137" i="9" s="1"/>
  <c r="U127" i="9"/>
  <c r="Q128" i="9"/>
  <c r="H129" i="9"/>
  <c r="H130" i="9" s="1"/>
  <c r="H136" i="9"/>
  <c r="H137" i="9" s="1"/>
  <c r="I129" i="9"/>
  <c r="I130" i="9" s="1"/>
  <c r="I136" i="9"/>
  <c r="I137" i="9" s="1"/>
  <c r="D135" i="8"/>
  <c r="D136" i="8" s="1"/>
  <c r="D137" i="8" s="1"/>
  <c r="D129" i="8"/>
  <c r="D130" i="8" s="1"/>
  <c r="U24" i="8"/>
  <c r="Q29" i="8"/>
  <c r="U104" i="8"/>
  <c r="P129" i="8"/>
  <c r="P130" i="8" s="1"/>
  <c r="P136" i="8"/>
  <c r="P137" i="8" s="1"/>
  <c r="E32" i="8"/>
  <c r="R32" i="8" s="1"/>
  <c r="R31" i="8"/>
  <c r="Q31" i="8"/>
  <c r="U62" i="8"/>
  <c r="R135" i="8"/>
  <c r="M129" i="8"/>
  <c r="M130" i="8" s="1"/>
  <c r="M136" i="8"/>
  <c r="M137" i="8" s="1"/>
  <c r="G136" i="8"/>
  <c r="G137" i="8" s="1"/>
  <c r="G129" i="8"/>
  <c r="G130" i="8" s="1"/>
  <c r="J129" i="8"/>
  <c r="J130" i="8" s="1"/>
  <c r="J136" i="8"/>
  <c r="J137" i="8" s="1"/>
  <c r="F129" i="8"/>
  <c r="F130" i="8" s="1"/>
  <c r="F136" i="8"/>
  <c r="F137" i="8" s="1"/>
  <c r="U48" i="8"/>
  <c r="O129" i="8"/>
  <c r="O130" i="8" s="1"/>
  <c r="U82" i="8"/>
  <c r="U73" i="8"/>
  <c r="U127" i="8"/>
  <c r="E33" i="8"/>
  <c r="R29" i="8"/>
  <c r="K129" i="8"/>
  <c r="K130" i="8" s="1"/>
  <c r="K136" i="8"/>
  <c r="K137" i="8" s="1"/>
  <c r="R128" i="8"/>
  <c r="I129" i="8"/>
  <c r="I130" i="8" s="1"/>
  <c r="I136" i="8"/>
  <c r="I137" i="8" s="1"/>
  <c r="Q121" i="8"/>
  <c r="H129" i="8"/>
  <c r="H130" i="8" s="1"/>
  <c r="H136" i="8"/>
  <c r="H137" i="8" s="1"/>
  <c r="Q128" i="8"/>
  <c r="U124" i="8"/>
  <c r="R128" i="7"/>
  <c r="I136" i="7"/>
  <c r="I137" i="7" s="1"/>
  <c r="N129" i="7"/>
  <c r="N130" i="7" s="1"/>
  <c r="N136" i="7"/>
  <c r="N137" i="7" s="1"/>
  <c r="I129" i="7"/>
  <c r="I130" i="7" s="1"/>
  <c r="J129" i="7"/>
  <c r="J130" i="7" s="1"/>
  <c r="J136" i="7"/>
  <c r="J137" i="7" s="1"/>
  <c r="G129" i="7"/>
  <c r="G130" i="7" s="1"/>
  <c r="G136" i="7"/>
  <c r="G137" i="7" s="1"/>
  <c r="K129" i="7"/>
  <c r="K130" i="7" s="1"/>
  <c r="K136" i="7"/>
  <c r="K137" i="7" s="1"/>
  <c r="E33" i="7"/>
  <c r="R29" i="7"/>
  <c r="F129" i="7"/>
  <c r="F130" i="7" s="1"/>
  <c r="F136" i="7"/>
  <c r="F137" i="7" s="1"/>
  <c r="C128" i="7"/>
  <c r="P129" i="7"/>
  <c r="P130" i="7" s="1"/>
  <c r="P136" i="7"/>
  <c r="P137" i="7" s="1"/>
  <c r="U31" i="7"/>
  <c r="Q32" i="7"/>
  <c r="U104" i="7"/>
  <c r="U95" i="7"/>
  <c r="D129" i="7"/>
  <c r="D130" i="7" s="1"/>
  <c r="D136" i="7"/>
  <c r="D137" i="7" s="1"/>
  <c r="U82" i="7"/>
  <c r="Q121" i="7"/>
  <c r="O129" i="7"/>
  <c r="O130" i="7" s="1"/>
  <c r="O136" i="7"/>
  <c r="O137" i="7" s="1"/>
  <c r="L129" i="7"/>
  <c r="L130" i="7" s="1"/>
  <c r="L136" i="7"/>
  <c r="L137" i="7" s="1"/>
  <c r="U121" i="6"/>
  <c r="Q128" i="6"/>
  <c r="C135" i="6"/>
  <c r="C136" i="6" s="1"/>
  <c r="C137" i="6" s="1"/>
  <c r="C129" i="6"/>
  <c r="C130" i="6" s="1"/>
  <c r="U24" i="6"/>
  <c r="Q29" i="6"/>
  <c r="P129" i="6"/>
  <c r="P130" i="6" s="1"/>
  <c r="P136" i="6"/>
  <c r="P137" i="6" s="1"/>
  <c r="E135" i="6"/>
  <c r="R135" i="6" s="1"/>
  <c r="R128" i="6"/>
  <c r="K129" i="6"/>
  <c r="K130" i="6" s="1"/>
  <c r="K136" i="6"/>
  <c r="K137" i="6" s="1"/>
  <c r="U95" i="6"/>
  <c r="E32" i="6"/>
  <c r="R32" i="6" s="1"/>
  <c r="R31" i="6"/>
  <c r="Q31" i="6"/>
  <c r="E33" i="6"/>
  <c r="R29" i="6"/>
  <c r="U48" i="6"/>
  <c r="G129" i="6"/>
  <c r="G130" i="6" s="1"/>
  <c r="G136" i="6"/>
  <c r="G137" i="6" s="1"/>
  <c r="U82" i="6"/>
  <c r="U76" i="6"/>
  <c r="U104" i="6"/>
  <c r="D129" i="6"/>
  <c r="D130" i="6" s="1"/>
  <c r="D136" i="6"/>
  <c r="D137" i="6" s="1"/>
  <c r="M129" i="6"/>
  <c r="M130" i="6" s="1"/>
  <c r="M136" i="6"/>
  <c r="M137" i="6" s="1"/>
  <c r="H136" i="6"/>
  <c r="H137" i="6" s="1"/>
  <c r="H129" i="6"/>
  <c r="H130" i="6" s="1"/>
  <c r="J129" i="6"/>
  <c r="J130" i="6" s="1"/>
  <c r="J136" i="6"/>
  <c r="J137" i="6" s="1"/>
  <c r="F129" i="6"/>
  <c r="F130" i="6" s="1"/>
  <c r="F136" i="6"/>
  <c r="F137" i="6" s="1"/>
  <c r="U62" i="6"/>
  <c r="L129" i="6"/>
  <c r="L130" i="6" s="1"/>
  <c r="L136" i="6"/>
  <c r="L137" i="6" s="1"/>
  <c r="I129" i="6"/>
  <c r="I130" i="6" s="1"/>
  <c r="I136" i="6"/>
  <c r="I137" i="6" s="1"/>
  <c r="D135" i="5"/>
  <c r="D136" i="5" s="1"/>
  <c r="D137" i="5" s="1"/>
  <c r="D129" i="5"/>
  <c r="D130" i="5" s="1"/>
  <c r="U128" i="5"/>
  <c r="Q135" i="5"/>
  <c r="K129" i="5"/>
  <c r="K130" i="5" s="1"/>
  <c r="K136" i="5"/>
  <c r="K137" i="5" s="1"/>
  <c r="Q29" i="5"/>
  <c r="U24" i="5"/>
  <c r="F129" i="5"/>
  <c r="F130" i="5" s="1"/>
  <c r="F136" i="5"/>
  <c r="F137" i="5" s="1"/>
  <c r="P135" i="5"/>
  <c r="P136" i="5" s="1"/>
  <c r="P137" i="5" s="1"/>
  <c r="I129" i="5"/>
  <c r="I130" i="5" s="1"/>
  <c r="I136" i="5"/>
  <c r="I137" i="5" s="1"/>
  <c r="E33" i="5"/>
  <c r="R29" i="5"/>
  <c r="U76" i="5"/>
  <c r="U127" i="5"/>
  <c r="U104" i="5"/>
  <c r="C129" i="5"/>
  <c r="C130" i="5" s="1"/>
  <c r="C136" i="5"/>
  <c r="C137" i="5" s="1"/>
  <c r="J129" i="5"/>
  <c r="J130" i="5" s="1"/>
  <c r="J136" i="5"/>
  <c r="J137" i="5" s="1"/>
  <c r="H136" i="5"/>
  <c r="H137" i="5" s="1"/>
  <c r="H129" i="5"/>
  <c r="H130" i="5" s="1"/>
  <c r="M129" i="5"/>
  <c r="M130" i="5" s="1"/>
  <c r="U121" i="5"/>
  <c r="G129" i="5"/>
  <c r="G130" i="5" s="1"/>
  <c r="G136" i="5"/>
  <c r="G137" i="5" s="1"/>
  <c r="U73" i="5"/>
  <c r="Q32" i="5"/>
  <c r="U32" i="5" s="1"/>
  <c r="U31" i="5"/>
  <c r="O135" i="5"/>
  <c r="O136" i="5" s="1"/>
  <c r="O137" i="5" s="1"/>
  <c r="N129" i="5"/>
  <c r="N130" i="5" s="1"/>
  <c r="N136" i="5"/>
  <c r="N137" i="5" s="1"/>
  <c r="U62" i="4"/>
  <c r="M135" i="4"/>
  <c r="M136" i="4" s="1"/>
  <c r="M137" i="4" s="1"/>
  <c r="H135" i="4"/>
  <c r="H136" i="4" s="1"/>
  <c r="H137" i="4" s="1"/>
  <c r="H129" i="4"/>
  <c r="H130" i="4" s="1"/>
  <c r="U113" i="4"/>
  <c r="U39" i="4"/>
  <c r="U108" i="4"/>
  <c r="U107" i="4"/>
  <c r="Q47" i="4"/>
  <c r="R43" i="4"/>
  <c r="Q43" i="4"/>
  <c r="R44" i="4"/>
  <c r="Q44" i="4"/>
  <c r="U59" i="4"/>
  <c r="U79" i="4"/>
  <c r="U82" i="4"/>
  <c r="U38" i="4"/>
  <c r="Q7" i="4"/>
  <c r="U76" i="4"/>
  <c r="G48" i="4"/>
  <c r="G128" i="4" s="1"/>
  <c r="E48" i="4"/>
  <c r="E128" i="4" s="1"/>
  <c r="E33" i="4"/>
  <c r="D135" i="4"/>
  <c r="D136" i="4" s="1"/>
  <c r="D137" i="4" s="1"/>
  <c r="R112" i="4"/>
  <c r="Q112" i="4"/>
  <c r="R40" i="4"/>
  <c r="C129" i="4"/>
  <c r="C130" i="4" s="1"/>
  <c r="U106" i="4"/>
  <c r="Q40" i="4"/>
  <c r="R45" i="4"/>
  <c r="Q45" i="4"/>
  <c r="U95" i="4"/>
  <c r="I129" i="4"/>
  <c r="I130" i="4" s="1"/>
  <c r="U37" i="4"/>
  <c r="N24" i="4"/>
  <c r="Q24" i="4" s="1"/>
  <c r="N14" i="4"/>
  <c r="R14" i="4" s="1"/>
  <c r="N104" i="4"/>
  <c r="O135" i="3"/>
  <c r="O136" i="3" s="1"/>
  <c r="O137" i="3" s="1"/>
  <c r="K135" i="3"/>
  <c r="K136" i="3" s="1"/>
  <c r="K137" i="3" s="1"/>
  <c r="M135" i="3"/>
  <c r="M136" i="3" s="1"/>
  <c r="M137" i="3" s="1"/>
  <c r="M129" i="3"/>
  <c r="M130" i="3" s="1"/>
  <c r="E128" i="3"/>
  <c r="J135" i="3"/>
  <c r="J136" i="3" s="1"/>
  <c r="J137" i="3" s="1"/>
  <c r="N129" i="3"/>
  <c r="N130" i="3" s="1"/>
  <c r="N135" i="3"/>
  <c r="N136" i="3" s="1"/>
  <c r="N137" i="3" s="1"/>
  <c r="U104" i="3"/>
  <c r="Q41" i="3"/>
  <c r="R75" i="3"/>
  <c r="R76" i="3"/>
  <c r="U121" i="3"/>
  <c r="U90" i="3"/>
  <c r="R40" i="3"/>
  <c r="U24" i="3"/>
  <c r="Q29" i="3"/>
  <c r="R44" i="3"/>
  <c r="Q44" i="3"/>
  <c r="U82" i="3"/>
  <c r="R45" i="3"/>
  <c r="Q45" i="3"/>
  <c r="R41" i="3"/>
  <c r="Q75" i="3"/>
  <c r="R43" i="3"/>
  <c r="Q43" i="3"/>
  <c r="F48" i="3"/>
  <c r="F128" i="3" s="1"/>
  <c r="D129" i="3"/>
  <c r="D130" i="3" s="1"/>
  <c r="D136" i="3"/>
  <c r="D137" i="3" s="1"/>
  <c r="Q47" i="3"/>
  <c r="U37" i="3"/>
  <c r="E34" i="3"/>
  <c r="R33" i="3"/>
  <c r="R14" i="3"/>
  <c r="U127" i="3"/>
  <c r="U39" i="3"/>
  <c r="U62" i="2"/>
  <c r="D135" i="2"/>
  <c r="D136" i="2" s="1"/>
  <c r="D137" i="2" s="1"/>
  <c r="D129" i="2"/>
  <c r="D130" i="2" s="1"/>
  <c r="E33" i="2"/>
  <c r="U24" i="2"/>
  <c r="C129" i="2"/>
  <c r="C130" i="2" s="1"/>
  <c r="R41" i="2"/>
  <c r="Q41" i="2"/>
  <c r="U45" i="2"/>
  <c r="R40" i="2"/>
  <c r="Q40" i="2"/>
  <c r="U90" i="2"/>
  <c r="U54" i="2"/>
  <c r="U127" i="2"/>
  <c r="U44" i="2"/>
  <c r="U82" i="2"/>
  <c r="E75" i="2"/>
  <c r="Q43" i="2"/>
  <c r="M13" i="2"/>
  <c r="L13" i="2"/>
  <c r="K13" i="2"/>
  <c r="U39" i="2"/>
  <c r="F104" i="2"/>
  <c r="F121" i="2" s="1"/>
  <c r="F14" i="2"/>
  <c r="F75" i="2" s="1"/>
  <c r="F76" i="2" s="1"/>
  <c r="G11" i="2"/>
  <c r="F25" i="2"/>
  <c r="F29" i="2" s="1"/>
  <c r="F33" i="2" s="1"/>
  <c r="F34" i="2" s="1"/>
  <c r="R47" i="2"/>
  <c r="Q47" i="2"/>
  <c r="E121" i="2"/>
  <c r="P12" i="2"/>
  <c r="O12" i="2"/>
  <c r="R12" i="2" s="1"/>
  <c r="N12" i="2"/>
  <c r="U95" i="2"/>
  <c r="E48" i="2"/>
  <c r="P129" i="1"/>
  <c r="P130" i="1" s="1"/>
  <c r="D135" i="1"/>
  <c r="D136" i="1" s="1"/>
  <c r="D137" i="1" s="1"/>
  <c r="D129" i="1"/>
  <c r="D130" i="1" s="1"/>
  <c r="C135" i="1"/>
  <c r="C136" i="1" s="1"/>
  <c r="C137" i="1" s="1"/>
  <c r="C129" i="1"/>
  <c r="C130" i="1" s="1"/>
  <c r="U90" i="1"/>
  <c r="U95" i="1"/>
  <c r="Q75" i="1"/>
  <c r="R75" i="1"/>
  <c r="E76" i="1"/>
  <c r="R76" i="1" s="1"/>
  <c r="U38" i="1"/>
  <c r="Q40" i="1"/>
  <c r="R40" i="1"/>
  <c r="Q43" i="1"/>
  <c r="H129" i="1"/>
  <c r="H130" i="1" s="1"/>
  <c r="Q41" i="1"/>
  <c r="R41" i="1"/>
  <c r="U37" i="1"/>
  <c r="U108" i="1"/>
  <c r="U104" i="1"/>
  <c r="R47" i="1"/>
  <c r="Q47" i="1"/>
  <c r="R28" i="1"/>
  <c r="Q28" i="1"/>
  <c r="U28" i="1" s="1"/>
  <c r="U82" i="1"/>
  <c r="U24" i="1"/>
  <c r="Q121" i="1"/>
  <c r="J136" i="1"/>
  <c r="J137" i="1" s="1"/>
  <c r="R44" i="1"/>
  <c r="Q44" i="1"/>
  <c r="U39" i="1"/>
  <c r="R45" i="1"/>
  <c r="Q45" i="1"/>
  <c r="U127" i="1"/>
  <c r="E33" i="1"/>
  <c r="R29" i="1"/>
  <c r="K129" i="1"/>
  <c r="K130" i="1" s="1"/>
  <c r="G136" i="1"/>
  <c r="G137" i="1" s="1"/>
  <c r="G129" i="1"/>
  <c r="G130" i="1" s="1"/>
  <c r="G129" i="3" l="1"/>
  <c r="G130" i="3" s="1"/>
  <c r="N129" i="1"/>
  <c r="N130" i="1" s="1"/>
  <c r="U43" i="28"/>
  <c r="U44" i="28"/>
  <c r="R48" i="28"/>
  <c r="E128" i="28"/>
  <c r="Q33" i="28"/>
  <c r="U29" i="28"/>
  <c r="U46" i="28"/>
  <c r="U45" i="28"/>
  <c r="U40" i="28"/>
  <c r="H135" i="28"/>
  <c r="H136" i="28" s="1"/>
  <c r="H137" i="28" s="1"/>
  <c r="H129" i="28"/>
  <c r="H130" i="28" s="1"/>
  <c r="U47" i="28"/>
  <c r="I135" i="28"/>
  <c r="I136" i="28" s="1"/>
  <c r="I137" i="28" s="1"/>
  <c r="I129" i="28"/>
  <c r="I130" i="28" s="1"/>
  <c r="Q48" i="28"/>
  <c r="U41" i="28"/>
  <c r="F135" i="1"/>
  <c r="F136" i="1" s="1"/>
  <c r="F137" i="1" s="1"/>
  <c r="F129" i="1"/>
  <c r="F130" i="1" s="1"/>
  <c r="H129" i="3"/>
  <c r="H130" i="3" s="1"/>
  <c r="R48" i="1"/>
  <c r="L135" i="3"/>
  <c r="L136" i="3" s="1"/>
  <c r="L137" i="3" s="1"/>
  <c r="O135" i="1"/>
  <c r="O136" i="1" s="1"/>
  <c r="O137" i="1" s="1"/>
  <c r="I129" i="3"/>
  <c r="I130" i="3" s="1"/>
  <c r="Q48" i="4"/>
  <c r="U48" i="4" s="1"/>
  <c r="J129" i="1"/>
  <c r="J130" i="1" s="1"/>
  <c r="F128" i="2"/>
  <c r="F135" i="2" s="1"/>
  <c r="F136" i="2" s="1"/>
  <c r="F137" i="2" s="1"/>
  <c r="M129" i="1"/>
  <c r="M130" i="1" s="1"/>
  <c r="L135" i="1"/>
  <c r="L136" i="1" s="1"/>
  <c r="L137" i="1" s="1"/>
  <c r="L129" i="4"/>
  <c r="L130" i="4" s="1"/>
  <c r="P135" i="4"/>
  <c r="P136" i="4" s="1"/>
  <c r="P137" i="4" s="1"/>
  <c r="O135" i="4"/>
  <c r="O136" i="4" s="1"/>
  <c r="O137" i="4" s="1"/>
  <c r="O129" i="4"/>
  <c r="O130" i="4" s="1"/>
  <c r="J135" i="4"/>
  <c r="J136" i="4" s="1"/>
  <c r="J137" i="4" s="1"/>
  <c r="R48" i="2"/>
  <c r="P135" i="3"/>
  <c r="P136" i="3" s="1"/>
  <c r="P137" i="3" s="1"/>
  <c r="F129" i="4"/>
  <c r="F130" i="4" s="1"/>
  <c r="K129" i="4"/>
  <c r="K130" i="4" s="1"/>
  <c r="Q48" i="1"/>
  <c r="I129" i="1"/>
  <c r="I130" i="1" s="1"/>
  <c r="Q32" i="19"/>
  <c r="U32" i="19" s="1"/>
  <c r="U31" i="19"/>
  <c r="E34" i="19"/>
  <c r="R33" i="19"/>
  <c r="U29" i="19"/>
  <c r="U128" i="19"/>
  <c r="Q135" i="19"/>
  <c r="E34" i="18"/>
  <c r="R33" i="18"/>
  <c r="U31" i="18"/>
  <c r="Q32" i="18"/>
  <c r="U32" i="18" s="1"/>
  <c r="U29" i="18"/>
  <c r="U121" i="18"/>
  <c r="Q128" i="18"/>
  <c r="Q33" i="17"/>
  <c r="U29" i="17"/>
  <c r="U31" i="17"/>
  <c r="Q32" i="17"/>
  <c r="U32" i="17" s="1"/>
  <c r="E33" i="17"/>
  <c r="U128" i="17"/>
  <c r="Q135" i="17"/>
  <c r="Q33" i="16"/>
  <c r="U29" i="16"/>
  <c r="U128" i="16"/>
  <c r="Q135" i="16"/>
  <c r="R33" i="16"/>
  <c r="E34" i="16"/>
  <c r="E33" i="15"/>
  <c r="U31" i="15"/>
  <c r="Q32" i="15"/>
  <c r="U32" i="15" s="1"/>
  <c r="U128" i="15"/>
  <c r="Q135" i="15"/>
  <c r="Q33" i="15"/>
  <c r="U29" i="15"/>
  <c r="U121" i="14"/>
  <c r="Q128" i="14"/>
  <c r="U31" i="14"/>
  <c r="Q32" i="14"/>
  <c r="U32" i="14" s="1"/>
  <c r="E33" i="14"/>
  <c r="Q33" i="14"/>
  <c r="U29" i="14"/>
  <c r="U128" i="13"/>
  <c r="Q135" i="13"/>
  <c r="Q33" i="13"/>
  <c r="U29" i="13"/>
  <c r="R129" i="13"/>
  <c r="E130" i="13"/>
  <c r="R130" i="13" s="1"/>
  <c r="R136" i="13"/>
  <c r="E137" i="13"/>
  <c r="R137" i="13" s="1"/>
  <c r="E34" i="12"/>
  <c r="R33" i="12"/>
  <c r="U31" i="12"/>
  <c r="Q32" i="12"/>
  <c r="U32" i="12" s="1"/>
  <c r="Q33" i="12"/>
  <c r="U29" i="12"/>
  <c r="U128" i="12"/>
  <c r="Q135" i="12"/>
  <c r="E34" i="11"/>
  <c r="R33" i="11"/>
  <c r="U29" i="11"/>
  <c r="Q32" i="11"/>
  <c r="U32" i="11" s="1"/>
  <c r="U31" i="11"/>
  <c r="U128" i="11"/>
  <c r="Q135" i="11"/>
  <c r="U121" i="10"/>
  <c r="Q128" i="10"/>
  <c r="U29" i="10"/>
  <c r="E33" i="10"/>
  <c r="U31" i="10"/>
  <c r="Q32" i="10"/>
  <c r="U32" i="10" s="1"/>
  <c r="U128" i="9"/>
  <c r="Q135" i="9"/>
  <c r="E34" i="9"/>
  <c r="R33" i="9"/>
  <c r="U31" i="9"/>
  <c r="Q32" i="9"/>
  <c r="U32" i="9" s="1"/>
  <c r="U29" i="9"/>
  <c r="Q33" i="9"/>
  <c r="E34" i="8"/>
  <c r="R33" i="8"/>
  <c r="U31" i="8"/>
  <c r="Q32" i="8"/>
  <c r="U32" i="8" s="1"/>
  <c r="U121" i="8"/>
  <c r="U128" i="8"/>
  <c r="Q135" i="8"/>
  <c r="Q33" i="8"/>
  <c r="U29" i="8"/>
  <c r="C135" i="7"/>
  <c r="C136" i="7" s="1"/>
  <c r="C137" i="7" s="1"/>
  <c r="C129" i="7"/>
  <c r="C130" i="7" s="1"/>
  <c r="U121" i="7"/>
  <c r="Q128" i="7"/>
  <c r="R33" i="7"/>
  <c r="E34" i="7"/>
  <c r="U32" i="7"/>
  <c r="Q33" i="7"/>
  <c r="U31" i="6"/>
  <c r="Q32" i="6"/>
  <c r="U32" i="6" s="1"/>
  <c r="E34" i="6"/>
  <c r="R33" i="6"/>
  <c r="U29" i="6"/>
  <c r="U128" i="6"/>
  <c r="Q135" i="6"/>
  <c r="E34" i="5"/>
  <c r="R33" i="5"/>
  <c r="U29" i="5"/>
  <c r="Q33" i="5"/>
  <c r="R135" i="5"/>
  <c r="U135" i="5"/>
  <c r="U24" i="4"/>
  <c r="Q29" i="4"/>
  <c r="E135" i="4"/>
  <c r="G129" i="4"/>
  <c r="G130" i="4" s="1"/>
  <c r="G135" i="4"/>
  <c r="G136" i="4" s="1"/>
  <c r="G137" i="4" s="1"/>
  <c r="U7" i="4"/>
  <c r="Q14" i="4"/>
  <c r="U14" i="4" s="1"/>
  <c r="U45" i="4"/>
  <c r="U43" i="4"/>
  <c r="U40" i="4"/>
  <c r="U47" i="4"/>
  <c r="N121" i="4"/>
  <c r="R104" i="4"/>
  <c r="Q104" i="4"/>
  <c r="U112" i="4"/>
  <c r="N29" i="4"/>
  <c r="R24" i="4"/>
  <c r="E34" i="4"/>
  <c r="U44" i="4"/>
  <c r="R48" i="4"/>
  <c r="F135" i="3"/>
  <c r="F136" i="3" s="1"/>
  <c r="F137" i="3" s="1"/>
  <c r="F129" i="3"/>
  <c r="F130" i="3" s="1"/>
  <c r="U75" i="3"/>
  <c r="Q76" i="3"/>
  <c r="U45" i="3"/>
  <c r="U41" i="3"/>
  <c r="U43" i="3"/>
  <c r="E129" i="3"/>
  <c r="R34" i="3"/>
  <c r="U44" i="3"/>
  <c r="Q48" i="3"/>
  <c r="Q33" i="3"/>
  <c r="U29" i="3"/>
  <c r="U47" i="3"/>
  <c r="E135" i="3"/>
  <c r="R128" i="3"/>
  <c r="R48" i="3"/>
  <c r="U41" i="2"/>
  <c r="U43" i="2"/>
  <c r="G104" i="2"/>
  <c r="G14" i="2"/>
  <c r="H11" i="2"/>
  <c r="G25" i="2"/>
  <c r="G29" i="2" s="1"/>
  <c r="G33" i="2" s="1"/>
  <c r="G34" i="2" s="1"/>
  <c r="Q48" i="2"/>
  <c r="Q12" i="2"/>
  <c r="U12" i="2" s="1"/>
  <c r="E34" i="2"/>
  <c r="E76" i="2"/>
  <c r="E128" i="2" s="1"/>
  <c r="U47" i="2"/>
  <c r="P13" i="2"/>
  <c r="O13" i="2"/>
  <c r="N13" i="2"/>
  <c r="R13" i="2" s="1"/>
  <c r="U40" i="2"/>
  <c r="U41" i="1"/>
  <c r="E34" i="1"/>
  <c r="R33" i="1"/>
  <c r="E128" i="1"/>
  <c r="U43" i="1"/>
  <c r="U40" i="1"/>
  <c r="Q29" i="1"/>
  <c r="U45" i="1"/>
  <c r="U47" i="1"/>
  <c r="U44" i="1"/>
  <c r="Q76" i="1"/>
  <c r="U75" i="1"/>
  <c r="U121" i="1"/>
  <c r="F129" i="2" l="1"/>
  <c r="F130" i="2" s="1"/>
  <c r="U33" i="28"/>
  <c r="Q34" i="28"/>
  <c r="R128" i="28"/>
  <c r="E135" i="28"/>
  <c r="E129" i="28"/>
  <c r="U48" i="28"/>
  <c r="Q128" i="28"/>
  <c r="Q128" i="1"/>
  <c r="R135" i="3"/>
  <c r="E136" i="3"/>
  <c r="E137" i="3" s="1"/>
  <c r="R137" i="3" s="1"/>
  <c r="U48" i="1"/>
  <c r="E136" i="19"/>
  <c r="E129" i="19"/>
  <c r="R34" i="19"/>
  <c r="U135" i="19"/>
  <c r="Q33" i="19"/>
  <c r="E136" i="18"/>
  <c r="E129" i="18"/>
  <c r="R34" i="18"/>
  <c r="U128" i="18"/>
  <c r="Q135" i="18"/>
  <c r="Q33" i="18"/>
  <c r="U135" i="17"/>
  <c r="E34" i="17"/>
  <c r="R33" i="17"/>
  <c r="U33" i="17"/>
  <c r="Q34" i="17"/>
  <c r="E136" i="16"/>
  <c r="R34" i="16"/>
  <c r="E129" i="16"/>
  <c r="U135" i="16"/>
  <c r="U33" i="16"/>
  <c r="Q34" i="16"/>
  <c r="U33" i="15"/>
  <c r="Q34" i="15"/>
  <c r="U135" i="15"/>
  <c r="E34" i="15"/>
  <c r="R33" i="15"/>
  <c r="U33" i="14"/>
  <c r="Q34" i="14"/>
  <c r="E34" i="14"/>
  <c r="R33" i="14"/>
  <c r="U128" i="14"/>
  <c r="T128" i="14"/>
  <c r="Q135" i="14"/>
  <c r="U33" i="13"/>
  <c r="Q34" i="13"/>
  <c r="U135" i="13"/>
  <c r="T135" i="13"/>
  <c r="U135" i="12"/>
  <c r="E136" i="12"/>
  <c r="E129" i="12"/>
  <c r="R34" i="12"/>
  <c r="U33" i="12"/>
  <c r="Q34" i="12"/>
  <c r="E136" i="11"/>
  <c r="E129" i="11"/>
  <c r="R34" i="11"/>
  <c r="U135" i="11"/>
  <c r="Q33" i="11"/>
  <c r="E34" i="10"/>
  <c r="R33" i="10"/>
  <c r="Q33" i="10"/>
  <c r="U128" i="10"/>
  <c r="Q135" i="10"/>
  <c r="U33" i="9"/>
  <c r="Q34" i="9"/>
  <c r="E136" i="9"/>
  <c r="E129" i="9"/>
  <c r="R34" i="9"/>
  <c r="U135" i="9"/>
  <c r="T135" i="9"/>
  <c r="U33" i="8"/>
  <c r="Q34" i="8"/>
  <c r="U135" i="8"/>
  <c r="T135" i="8"/>
  <c r="E136" i="8"/>
  <c r="E129" i="8"/>
  <c r="R34" i="8"/>
  <c r="U33" i="7"/>
  <c r="Q34" i="7"/>
  <c r="T128" i="7" s="1"/>
  <c r="E136" i="7"/>
  <c r="R34" i="7"/>
  <c r="E129" i="7"/>
  <c r="U128" i="7"/>
  <c r="Q135" i="7"/>
  <c r="U135" i="6"/>
  <c r="Q33" i="6"/>
  <c r="E136" i="6"/>
  <c r="R34" i="6"/>
  <c r="E129" i="6"/>
  <c r="Q34" i="5"/>
  <c r="U33" i="5"/>
  <c r="E136" i="5"/>
  <c r="E129" i="5"/>
  <c r="R34" i="5"/>
  <c r="N128" i="4"/>
  <c r="R121" i="4"/>
  <c r="E136" i="4"/>
  <c r="E129" i="4"/>
  <c r="N33" i="4"/>
  <c r="R29" i="4"/>
  <c r="U104" i="4"/>
  <c r="Q121" i="4"/>
  <c r="Q33" i="4"/>
  <c r="U29" i="4"/>
  <c r="R136" i="3"/>
  <c r="R129" i="3"/>
  <c r="E130" i="3"/>
  <c r="R130" i="3" s="1"/>
  <c r="U76" i="3"/>
  <c r="U33" i="3"/>
  <c r="Q34" i="3"/>
  <c r="U48" i="3"/>
  <c r="Q128" i="3"/>
  <c r="Q13" i="2"/>
  <c r="U13" i="2" s="1"/>
  <c r="U48" i="2"/>
  <c r="I11" i="2"/>
  <c r="H104" i="2"/>
  <c r="H121" i="2" s="1"/>
  <c r="H14" i="2"/>
  <c r="H75" i="2" s="1"/>
  <c r="H76" i="2" s="1"/>
  <c r="H25" i="2"/>
  <c r="G75" i="2"/>
  <c r="G121" i="2"/>
  <c r="E129" i="2"/>
  <c r="E135" i="2"/>
  <c r="E136" i="2" s="1"/>
  <c r="Q33" i="1"/>
  <c r="U29" i="1"/>
  <c r="R128" i="1"/>
  <c r="E135" i="1"/>
  <c r="R135" i="1" s="1"/>
  <c r="U76" i="1"/>
  <c r="U128" i="1"/>
  <c r="Q135" i="1"/>
  <c r="E129" i="1"/>
  <c r="R34" i="1"/>
  <c r="T99" i="28" l="1"/>
  <c r="U34" i="28"/>
  <c r="T92" i="28"/>
  <c r="T102" i="28"/>
  <c r="T94" i="28"/>
  <c r="T86" i="28"/>
  <c r="T78" i="28"/>
  <c r="Q129" i="28"/>
  <c r="T81" i="28"/>
  <c r="T65" i="28"/>
  <c r="T84" i="28"/>
  <c r="T120" i="28"/>
  <c r="T108" i="28"/>
  <c r="T68" i="28"/>
  <c r="T60" i="28"/>
  <c r="T100" i="28"/>
  <c r="T55" i="28"/>
  <c r="T123" i="28"/>
  <c r="T104" i="28"/>
  <c r="T88" i="28"/>
  <c r="T80" i="28"/>
  <c r="T64" i="28"/>
  <c r="T56" i="28"/>
  <c r="T51" i="28"/>
  <c r="T107" i="28"/>
  <c r="T75" i="28"/>
  <c r="T67" i="28"/>
  <c r="T59" i="28"/>
  <c r="T103" i="28"/>
  <c r="T87" i="28"/>
  <c r="T79" i="28"/>
  <c r="T50" i="28"/>
  <c r="T111" i="28"/>
  <c r="T121" i="28"/>
  <c r="T70" i="28"/>
  <c r="T113" i="28"/>
  <c r="T72" i="28"/>
  <c r="T106" i="28"/>
  <c r="T98" i="28"/>
  <c r="T85" i="28"/>
  <c r="T105" i="28"/>
  <c r="T110" i="28"/>
  <c r="T114" i="28"/>
  <c r="T61" i="28"/>
  <c r="T119" i="28"/>
  <c r="T117" i="28"/>
  <c r="T69" i="28"/>
  <c r="T53" i="28"/>
  <c r="T90" i="28"/>
  <c r="T89" i="28"/>
  <c r="T71" i="28"/>
  <c r="T134" i="28"/>
  <c r="T126" i="28"/>
  <c r="T109" i="28"/>
  <c r="T66" i="28"/>
  <c r="T58" i="28"/>
  <c r="T133" i="28"/>
  <c r="T101" i="28"/>
  <c r="T97" i="28"/>
  <c r="T76" i="28"/>
  <c r="T52" i="28"/>
  <c r="T116" i="28"/>
  <c r="T93" i="28"/>
  <c r="T124" i="28"/>
  <c r="T132" i="28"/>
  <c r="T118" i="28"/>
  <c r="T112" i="28"/>
  <c r="T95" i="28"/>
  <c r="T57" i="28"/>
  <c r="T115" i="28"/>
  <c r="T42" i="28"/>
  <c r="T127" i="28"/>
  <c r="T82" i="28"/>
  <c r="T37" i="28"/>
  <c r="T54" i="28"/>
  <c r="T62" i="28"/>
  <c r="T39" i="28"/>
  <c r="T38" i="28"/>
  <c r="T73" i="28"/>
  <c r="T47" i="28"/>
  <c r="T44" i="28"/>
  <c r="T41" i="28"/>
  <c r="T46" i="28"/>
  <c r="T45" i="28"/>
  <c r="T40" i="28"/>
  <c r="T43" i="28"/>
  <c r="U128" i="28"/>
  <c r="T128" i="28"/>
  <c r="Q135" i="28"/>
  <c r="T48" i="28"/>
  <c r="R135" i="28"/>
  <c r="E136" i="28"/>
  <c r="E130" i="28"/>
  <c r="R130" i="28" s="1"/>
  <c r="R129" i="28"/>
  <c r="E136" i="1"/>
  <c r="E137" i="1" s="1"/>
  <c r="R137" i="1" s="1"/>
  <c r="U33" i="19"/>
  <c r="Q34" i="19"/>
  <c r="R129" i="19"/>
  <c r="E130" i="19"/>
  <c r="R130" i="19" s="1"/>
  <c r="R136" i="19"/>
  <c r="E137" i="19"/>
  <c r="R137" i="19" s="1"/>
  <c r="R136" i="18"/>
  <c r="E137" i="18"/>
  <c r="R137" i="18" s="1"/>
  <c r="U33" i="18"/>
  <c r="Q34" i="18"/>
  <c r="U135" i="18"/>
  <c r="T135" i="18"/>
  <c r="R129" i="18"/>
  <c r="E130" i="18"/>
  <c r="R130" i="18" s="1"/>
  <c r="E136" i="17"/>
  <c r="E129" i="17"/>
  <c r="R34" i="17"/>
  <c r="T123" i="17"/>
  <c r="Q129" i="17"/>
  <c r="Q136" i="17"/>
  <c r="T100" i="17"/>
  <c r="T92" i="17"/>
  <c r="T66" i="17"/>
  <c r="T47" i="17"/>
  <c r="T43" i="17"/>
  <c r="U34" i="17"/>
  <c r="T101" i="17"/>
  <c r="T39" i="17"/>
  <c r="T70" i="17"/>
  <c r="T124" i="17"/>
  <c r="T40" i="17"/>
  <c r="T58" i="17"/>
  <c r="T45" i="17"/>
  <c r="T55" i="17"/>
  <c r="T105" i="17"/>
  <c r="T80" i="17"/>
  <c r="T75" i="17"/>
  <c r="T81" i="17"/>
  <c r="T48" i="17"/>
  <c r="T44" i="17"/>
  <c r="T79" i="17"/>
  <c r="T64" i="17"/>
  <c r="T59" i="17"/>
  <c r="T127" i="17"/>
  <c r="T53" i="17"/>
  <c r="T67" i="17"/>
  <c r="T84" i="17"/>
  <c r="T68" i="17"/>
  <c r="T95" i="17"/>
  <c r="T86" i="17"/>
  <c r="T134" i="17"/>
  <c r="T57" i="17"/>
  <c r="T71" i="17"/>
  <c r="T88" i="17"/>
  <c r="T72" i="17"/>
  <c r="T132" i="17"/>
  <c r="T61" i="17"/>
  <c r="T93" i="17"/>
  <c r="T99" i="17"/>
  <c r="T38" i="17"/>
  <c r="T108" i="17"/>
  <c r="T60" i="17"/>
  <c r="T102" i="17"/>
  <c r="T133" i="17"/>
  <c r="T94" i="17"/>
  <c r="T42" i="17"/>
  <c r="T126" i="17"/>
  <c r="T78" i="17"/>
  <c r="T103" i="17"/>
  <c r="T46" i="17"/>
  <c r="T111" i="17"/>
  <c r="T52" i="17"/>
  <c r="T87" i="17"/>
  <c r="T65" i="17"/>
  <c r="T56" i="17"/>
  <c r="T97" i="17"/>
  <c r="T85" i="17"/>
  <c r="T98" i="17"/>
  <c r="T69" i="17"/>
  <c r="T115" i="17"/>
  <c r="T107" i="17"/>
  <c r="T82" i="17"/>
  <c r="T89" i="17"/>
  <c r="T106" i="17"/>
  <c r="T119" i="17"/>
  <c r="T116" i="17"/>
  <c r="T113" i="17"/>
  <c r="T90" i="17"/>
  <c r="T110" i="17"/>
  <c r="T120" i="17"/>
  <c r="T117" i="17"/>
  <c r="T112" i="17"/>
  <c r="T114" i="17"/>
  <c r="T50" i="17"/>
  <c r="T37" i="17"/>
  <c r="T118" i="17"/>
  <c r="T54" i="17"/>
  <c r="T41" i="17"/>
  <c r="T51" i="17"/>
  <c r="T109" i="17"/>
  <c r="T62" i="17"/>
  <c r="T121" i="17"/>
  <c r="T104" i="17"/>
  <c r="T73" i="17"/>
  <c r="T76" i="17"/>
  <c r="T128" i="17"/>
  <c r="T135" i="17"/>
  <c r="T97" i="16"/>
  <c r="Q129" i="16"/>
  <c r="Q136" i="16"/>
  <c r="T123" i="16"/>
  <c r="T81" i="16"/>
  <c r="T71" i="16"/>
  <c r="T99" i="16"/>
  <c r="U34" i="16"/>
  <c r="T98" i="16"/>
  <c r="T93" i="16"/>
  <c r="T58" i="16"/>
  <c r="T54" i="16"/>
  <c r="T50" i="16"/>
  <c r="T68" i="16"/>
  <c r="T85" i="16"/>
  <c r="T120" i="16"/>
  <c r="T44" i="16"/>
  <c r="T89" i="16"/>
  <c r="T126" i="16"/>
  <c r="T39" i="16"/>
  <c r="T48" i="16"/>
  <c r="T92" i="16"/>
  <c r="T79" i="16"/>
  <c r="T102" i="16"/>
  <c r="T107" i="16"/>
  <c r="T43" i="16"/>
  <c r="T101" i="16"/>
  <c r="T47" i="16"/>
  <c r="T41" i="16"/>
  <c r="T84" i="16"/>
  <c r="T111" i="16"/>
  <c r="T40" i="16"/>
  <c r="T88" i="16"/>
  <c r="T132" i="16"/>
  <c r="T115" i="16"/>
  <c r="T52" i="16"/>
  <c r="T66" i="16"/>
  <c r="T70" i="16"/>
  <c r="T86" i="16"/>
  <c r="T62" i="16"/>
  <c r="T106" i="16"/>
  <c r="T119" i="16"/>
  <c r="T56" i="16"/>
  <c r="T110" i="16"/>
  <c r="T60" i="16"/>
  <c r="T53" i="16"/>
  <c r="T55" i="16"/>
  <c r="T37" i="16"/>
  <c r="T134" i="16"/>
  <c r="T114" i="16"/>
  <c r="T38" i="16"/>
  <c r="T100" i="16"/>
  <c r="T57" i="16"/>
  <c r="T109" i="16"/>
  <c r="T118" i="16"/>
  <c r="T72" i="16"/>
  <c r="T42" i="16"/>
  <c r="T103" i="16"/>
  <c r="T61" i="16"/>
  <c r="T94" i="16"/>
  <c r="T124" i="16"/>
  <c r="T46" i="16"/>
  <c r="T78" i="16"/>
  <c r="T87" i="16"/>
  <c r="T59" i="16"/>
  <c r="T108" i="16"/>
  <c r="T73" i="16"/>
  <c r="T67" i="16"/>
  <c r="T51" i="16"/>
  <c r="T65" i="16"/>
  <c r="T75" i="16"/>
  <c r="T105" i="16"/>
  <c r="T113" i="16"/>
  <c r="T133" i="16"/>
  <c r="T90" i="16"/>
  <c r="T45" i="16"/>
  <c r="T69" i="16"/>
  <c r="T112" i="16"/>
  <c r="T64" i="16"/>
  <c r="T80" i="16"/>
  <c r="T116" i="16"/>
  <c r="T117" i="16"/>
  <c r="T121" i="16"/>
  <c r="T127" i="16"/>
  <c r="T95" i="16"/>
  <c r="T104" i="16"/>
  <c r="T76" i="16"/>
  <c r="T82" i="16"/>
  <c r="T128" i="16"/>
  <c r="T135" i="16"/>
  <c r="R129" i="16"/>
  <c r="E130" i="16"/>
  <c r="R130" i="16" s="1"/>
  <c r="R136" i="16"/>
  <c r="E137" i="16"/>
  <c r="R137" i="16" s="1"/>
  <c r="T109" i="15"/>
  <c r="T113" i="15"/>
  <c r="T105" i="15"/>
  <c r="T101" i="15"/>
  <c r="T80" i="15"/>
  <c r="T59" i="15"/>
  <c r="T55" i="15"/>
  <c r="Q129" i="15"/>
  <c r="T117" i="15"/>
  <c r="Q136" i="15"/>
  <c r="T126" i="15"/>
  <c r="T119" i="15"/>
  <c r="T111" i="15"/>
  <c r="T103" i="15"/>
  <c r="U34" i="15"/>
  <c r="T61" i="15"/>
  <c r="T57" i="15"/>
  <c r="T53" i="15"/>
  <c r="T92" i="15"/>
  <c r="T81" i="15"/>
  <c r="T75" i="15"/>
  <c r="T60" i="15"/>
  <c r="T56" i="15"/>
  <c r="T52" i="15"/>
  <c r="T38" i="15"/>
  <c r="T88" i="15"/>
  <c r="T47" i="15"/>
  <c r="T78" i="15"/>
  <c r="T94" i="15"/>
  <c r="T100" i="15"/>
  <c r="T54" i="15"/>
  <c r="T93" i="15"/>
  <c r="T104" i="15"/>
  <c r="T85" i="15"/>
  <c r="T66" i="15"/>
  <c r="T108" i="15"/>
  <c r="T65" i="15"/>
  <c r="T134" i="15"/>
  <c r="T70" i="15"/>
  <c r="T127" i="15"/>
  <c r="T112" i="15"/>
  <c r="T107" i="15"/>
  <c r="T69" i="15"/>
  <c r="T82" i="15"/>
  <c r="T116" i="15"/>
  <c r="T72" i="15"/>
  <c r="T76" i="15"/>
  <c r="T58" i="15"/>
  <c r="T87" i="15"/>
  <c r="T40" i="15"/>
  <c r="T120" i="15"/>
  <c r="T86" i="15"/>
  <c r="T46" i="15"/>
  <c r="T98" i="15"/>
  <c r="T44" i="15"/>
  <c r="T37" i="15"/>
  <c r="T118" i="15"/>
  <c r="T115" i="15"/>
  <c r="T67" i="15"/>
  <c r="T41" i="15"/>
  <c r="T51" i="15"/>
  <c r="T123" i="15"/>
  <c r="T90" i="15"/>
  <c r="T132" i="15"/>
  <c r="T71" i="15"/>
  <c r="T45" i="15"/>
  <c r="T110" i="15"/>
  <c r="T39" i="15"/>
  <c r="T42" i="15"/>
  <c r="T133" i="15"/>
  <c r="T102" i="15"/>
  <c r="T84" i="15"/>
  <c r="T64" i="15"/>
  <c r="T79" i="15"/>
  <c r="T97" i="15"/>
  <c r="T106" i="15"/>
  <c r="T99" i="15"/>
  <c r="T68" i="15"/>
  <c r="T89" i="15"/>
  <c r="T95" i="15"/>
  <c r="T114" i="15"/>
  <c r="T50" i="15"/>
  <c r="T43" i="15"/>
  <c r="T62" i="15"/>
  <c r="T73" i="15"/>
  <c r="T48" i="15"/>
  <c r="T124" i="15"/>
  <c r="T121" i="15"/>
  <c r="T128" i="15"/>
  <c r="E136" i="15"/>
  <c r="R34" i="15"/>
  <c r="E129" i="15"/>
  <c r="T135" i="15"/>
  <c r="U135" i="14"/>
  <c r="T135" i="14"/>
  <c r="E136" i="14"/>
  <c r="E129" i="14"/>
  <c r="R34" i="14"/>
  <c r="T100" i="14"/>
  <c r="T89" i="14"/>
  <c r="Q129" i="14"/>
  <c r="T86" i="14"/>
  <c r="T60" i="14"/>
  <c r="T105" i="14"/>
  <c r="Q136" i="14"/>
  <c r="T79" i="14"/>
  <c r="T52" i="14"/>
  <c r="T117" i="14"/>
  <c r="U34" i="14"/>
  <c r="T56" i="14"/>
  <c r="T109" i="14"/>
  <c r="T97" i="14"/>
  <c r="T69" i="14"/>
  <c r="T113" i="14"/>
  <c r="T46" i="14"/>
  <c r="T43" i="14"/>
  <c r="T114" i="14"/>
  <c r="T67" i="14"/>
  <c r="T58" i="14"/>
  <c r="T94" i="14"/>
  <c r="T106" i="14"/>
  <c r="T44" i="14"/>
  <c r="T73" i="14"/>
  <c r="T47" i="14"/>
  <c r="T118" i="14"/>
  <c r="T78" i="14"/>
  <c r="T71" i="14"/>
  <c r="T103" i="14"/>
  <c r="T40" i="14"/>
  <c r="T93" i="14"/>
  <c r="T84" i="14"/>
  <c r="T88" i="14"/>
  <c r="T66" i="14"/>
  <c r="T102" i="14"/>
  <c r="T99" i="14"/>
  <c r="T90" i="14"/>
  <c r="T75" i="14"/>
  <c r="T53" i="14"/>
  <c r="T133" i="14"/>
  <c r="T108" i="14"/>
  <c r="T42" i="14"/>
  <c r="T81" i="14"/>
  <c r="T57" i="14"/>
  <c r="T112" i="14"/>
  <c r="T64" i="14"/>
  <c r="T76" i="14"/>
  <c r="T61" i="14"/>
  <c r="T116" i="14"/>
  <c r="T45" i="14"/>
  <c r="T50" i="14"/>
  <c r="T39" i="14"/>
  <c r="T92" i="14"/>
  <c r="T107" i="14"/>
  <c r="T120" i="14"/>
  <c r="T80" i="14"/>
  <c r="T124" i="14"/>
  <c r="T101" i="14"/>
  <c r="T70" i="14"/>
  <c r="T111" i="14"/>
  <c r="T123" i="14"/>
  <c r="T51" i="14"/>
  <c r="T54" i="14"/>
  <c r="T87" i="14"/>
  <c r="T115" i="14"/>
  <c r="T55" i="14"/>
  <c r="T110" i="14"/>
  <c r="T38" i="14"/>
  <c r="T98" i="14"/>
  <c r="T119" i="14"/>
  <c r="T59" i="14"/>
  <c r="T65" i="14"/>
  <c r="T134" i="14"/>
  <c r="T132" i="14"/>
  <c r="T126" i="14"/>
  <c r="T37" i="14"/>
  <c r="T72" i="14"/>
  <c r="T41" i="14"/>
  <c r="T85" i="14"/>
  <c r="T95" i="14"/>
  <c r="T68" i="14"/>
  <c r="T127" i="14"/>
  <c r="T104" i="14"/>
  <c r="T62" i="14"/>
  <c r="T48" i="14"/>
  <c r="T82" i="14"/>
  <c r="T121" i="14"/>
  <c r="T100" i="13"/>
  <c r="T51" i="13"/>
  <c r="Q129" i="13"/>
  <c r="T109" i="13"/>
  <c r="Q136" i="13"/>
  <c r="U34" i="13"/>
  <c r="T88" i="13"/>
  <c r="T84" i="13"/>
  <c r="T71" i="13"/>
  <c r="T67" i="13"/>
  <c r="T44" i="13"/>
  <c r="T40" i="13"/>
  <c r="T126" i="13"/>
  <c r="T119" i="13"/>
  <c r="T115" i="13"/>
  <c r="T111" i="13"/>
  <c r="T107" i="13"/>
  <c r="T78" i="13"/>
  <c r="T61" i="13"/>
  <c r="T57" i="13"/>
  <c r="T53" i="13"/>
  <c r="T113" i="13"/>
  <c r="T133" i="13"/>
  <c r="T98" i="13"/>
  <c r="T117" i="13"/>
  <c r="T59" i="13"/>
  <c r="T105" i="13"/>
  <c r="T80" i="13"/>
  <c r="T55" i="13"/>
  <c r="T95" i="13"/>
  <c r="T38" i="13"/>
  <c r="T81" i="13"/>
  <c r="T79" i="13"/>
  <c r="T85" i="13"/>
  <c r="T72" i="13"/>
  <c r="T94" i="13"/>
  <c r="T42" i="13"/>
  <c r="T66" i="13"/>
  <c r="T103" i="13"/>
  <c r="T89" i="13"/>
  <c r="T60" i="13"/>
  <c r="T104" i="13"/>
  <c r="T46" i="13"/>
  <c r="T70" i="13"/>
  <c r="T108" i="13"/>
  <c r="T54" i="13"/>
  <c r="T58" i="13"/>
  <c r="T65" i="13"/>
  <c r="T101" i="13"/>
  <c r="T87" i="13"/>
  <c r="T112" i="13"/>
  <c r="T43" i="13"/>
  <c r="T99" i="13"/>
  <c r="T69" i="13"/>
  <c r="T106" i="13"/>
  <c r="T116" i="13"/>
  <c r="T90" i="13"/>
  <c r="T121" i="13"/>
  <c r="T110" i="13"/>
  <c r="T120" i="13"/>
  <c r="T86" i="13"/>
  <c r="T114" i="13"/>
  <c r="T118" i="13"/>
  <c r="T47" i="13"/>
  <c r="T93" i="13"/>
  <c r="T123" i="13"/>
  <c r="T102" i="13"/>
  <c r="T37" i="13"/>
  <c r="T97" i="13"/>
  <c r="T41" i="13"/>
  <c r="T75" i="13"/>
  <c r="T132" i="13"/>
  <c r="T92" i="13"/>
  <c r="T45" i="13"/>
  <c r="T134" i="13"/>
  <c r="T52" i="13"/>
  <c r="T64" i="13"/>
  <c r="T56" i="13"/>
  <c r="T39" i="13"/>
  <c r="T50" i="13"/>
  <c r="T68" i="13"/>
  <c r="T76" i="13"/>
  <c r="T82" i="13"/>
  <c r="T62" i="13"/>
  <c r="T73" i="13"/>
  <c r="T124" i="13"/>
  <c r="T127" i="13"/>
  <c r="T48" i="13"/>
  <c r="T128" i="13"/>
  <c r="R136" i="12"/>
  <c r="E137" i="12"/>
  <c r="R137" i="12" s="1"/>
  <c r="T123" i="12"/>
  <c r="T80" i="12"/>
  <c r="T92" i="12"/>
  <c r="Q129" i="12"/>
  <c r="Q136" i="12"/>
  <c r="T100" i="12"/>
  <c r="T94" i="12"/>
  <c r="T60" i="12"/>
  <c r="U34" i="12"/>
  <c r="T84" i="12"/>
  <c r="T81" i="12"/>
  <c r="T93" i="12"/>
  <c r="T56" i="12"/>
  <c r="T101" i="12"/>
  <c r="T52" i="12"/>
  <c r="T75" i="12"/>
  <c r="T42" i="12"/>
  <c r="T58" i="12"/>
  <c r="T64" i="12"/>
  <c r="T69" i="12"/>
  <c r="T106" i="12"/>
  <c r="T132" i="12"/>
  <c r="T40" i="12"/>
  <c r="T79" i="12"/>
  <c r="T68" i="12"/>
  <c r="T110" i="12"/>
  <c r="T44" i="12"/>
  <c r="T103" i="12"/>
  <c r="T72" i="12"/>
  <c r="T86" i="12"/>
  <c r="T99" i="12"/>
  <c r="T45" i="12"/>
  <c r="T88" i="12"/>
  <c r="T90" i="12"/>
  <c r="T114" i="12"/>
  <c r="T53" i="12"/>
  <c r="T67" i="12"/>
  <c r="T46" i="12"/>
  <c r="T124" i="12"/>
  <c r="T61" i="12"/>
  <c r="T118" i="12"/>
  <c r="T57" i="12"/>
  <c r="T71" i="12"/>
  <c r="T89" i="12"/>
  <c r="T133" i="12"/>
  <c r="T108" i="12"/>
  <c r="T43" i="12"/>
  <c r="T119" i="12"/>
  <c r="T54" i="12"/>
  <c r="T39" i="12"/>
  <c r="T78" i="12"/>
  <c r="T112" i="12"/>
  <c r="T51" i="12"/>
  <c r="T87" i="12"/>
  <c r="T102" i="12"/>
  <c r="T116" i="12"/>
  <c r="T55" i="12"/>
  <c r="T85" i="12"/>
  <c r="T134" i="12"/>
  <c r="T47" i="12"/>
  <c r="T120" i="12"/>
  <c r="T59" i="12"/>
  <c r="T66" i="12"/>
  <c r="T105" i="12"/>
  <c r="T117" i="12"/>
  <c r="T95" i="12"/>
  <c r="T97" i="12"/>
  <c r="T126" i="12"/>
  <c r="T41" i="12"/>
  <c r="T38" i="12"/>
  <c r="T107" i="12"/>
  <c r="T50" i="12"/>
  <c r="T98" i="12"/>
  <c r="T65" i="12"/>
  <c r="T70" i="12"/>
  <c r="T111" i="12"/>
  <c r="T109" i="12"/>
  <c r="T76" i="12"/>
  <c r="T82" i="12"/>
  <c r="T115" i="12"/>
  <c r="T37" i="12"/>
  <c r="T113" i="12"/>
  <c r="T121" i="12"/>
  <c r="T48" i="12"/>
  <c r="T73" i="12"/>
  <c r="T104" i="12"/>
  <c r="T127" i="12"/>
  <c r="T62" i="12"/>
  <c r="T128" i="12"/>
  <c r="R129" i="12"/>
  <c r="E130" i="12"/>
  <c r="R130" i="12" s="1"/>
  <c r="T135" i="12"/>
  <c r="R136" i="11"/>
  <c r="E137" i="11"/>
  <c r="R137" i="11" s="1"/>
  <c r="Q34" i="11"/>
  <c r="U33" i="11"/>
  <c r="R129" i="11"/>
  <c r="E130" i="11"/>
  <c r="R130" i="11" s="1"/>
  <c r="U135" i="10"/>
  <c r="T135" i="10"/>
  <c r="U33" i="10"/>
  <c r="Q34" i="10"/>
  <c r="E136" i="10"/>
  <c r="R34" i="10"/>
  <c r="E129" i="10"/>
  <c r="R129" i="9"/>
  <c r="E130" i="9"/>
  <c r="R130" i="9" s="1"/>
  <c r="R136" i="9"/>
  <c r="E137" i="9"/>
  <c r="R137" i="9" s="1"/>
  <c r="T101" i="9"/>
  <c r="T92" i="9"/>
  <c r="T81" i="9"/>
  <c r="T70" i="9"/>
  <c r="T66" i="9"/>
  <c r="T47" i="9"/>
  <c r="T43" i="9"/>
  <c r="T39" i="9"/>
  <c r="T117" i="9"/>
  <c r="T113" i="9"/>
  <c r="T109" i="9"/>
  <c r="T105" i="9"/>
  <c r="T97" i="9"/>
  <c r="T87" i="9"/>
  <c r="Q129" i="9"/>
  <c r="T98" i="9"/>
  <c r="Q136" i="9"/>
  <c r="T65" i="9"/>
  <c r="T46" i="9"/>
  <c r="T42" i="9"/>
  <c r="T38" i="9"/>
  <c r="T61" i="9"/>
  <c r="T126" i="9"/>
  <c r="T123" i="9"/>
  <c r="T99" i="9"/>
  <c r="T88" i="9"/>
  <c r="T84" i="9"/>
  <c r="T58" i="9"/>
  <c r="T54" i="9"/>
  <c r="T50" i="9"/>
  <c r="T57" i="9"/>
  <c r="U34" i="9"/>
  <c r="T53" i="9"/>
  <c r="T60" i="9"/>
  <c r="T67" i="9"/>
  <c r="T55" i="9"/>
  <c r="T69" i="9"/>
  <c r="T134" i="9"/>
  <c r="T71" i="9"/>
  <c r="T37" i="9"/>
  <c r="T59" i="9"/>
  <c r="T75" i="9"/>
  <c r="T48" i="9"/>
  <c r="T78" i="9"/>
  <c r="T41" i="9"/>
  <c r="T85" i="9"/>
  <c r="T107" i="9"/>
  <c r="T93" i="9"/>
  <c r="T45" i="9"/>
  <c r="T89" i="9"/>
  <c r="T52" i="9"/>
  <c r="T119" i="9"/>
  <c r="T102" i="9"/>
  <c r="T64" i="9"/>
  <c r="T100" i="9"/>
  <c r="T62" i="9"/>
  <c r="T115" i="9"/>
  <c r="T68" i="9"/>
  <c r="T103" i="9"/>
  <c r="T106" i="9"/>
  <c r="T132" i="9"/>
  <c r="T72" i="9"/>
  <c r="T44" i="9"/>
  <c r="T90" i="9"/>
  <c r="T110" i="9"/>
  <c r="T108" i="9"/>
  <c r="T82" i="9"/>
  <c r="T114" i="9"/>
  <c r="T79" i="9"/>
  <c r="T112" i="9"/>
  <c r="T80" i="9"/>
  <c r="T95" i="9"/>
  <c r="T118" i="9"/>
  <c r="T94" i="9"/>
  <c r="T116" i="9"/>
  <c r="T40" i="9"/>
  <c r="T51" i="9"/>
  <c r="T124" i="9"/>
  <c r="T133" i="9"/>
  <c r="T120" i="9"/>
  <c r="T56" i="9"/>
  <c r="T86" i="9"/>
  <c r="T111" i="9"/>
  <c r="T73" i="9"/>
  <c r="T76" i="9"/>
  <c r="T104" i="9"/>
  <c r="T127" i="9"/>
  <c r="T121" i="9"/>
  <c r="T128" i="9"/>
  <c r="R129" i="8"/>
  <c r="E130" i="8"/>
  <c r="R130" i="8" s="1"/>
  <c r="R136" i="8"/>
  <c r="E137" i="8"/>
  <c r="R137" i="8" s="1"/>
  <c r="T100" i="8"/>
  <c r="T80" i="8"/>
  <c r="T59" i="8"/>
  <c r="T55" i="8"/>
  <c r="T69" i="8"/>
  <c r="T46" i="8"/>
  <c r="Q129" i="8"/>
  <c r="T120" i="8"/>
  <c r="T116" i="8"/>
  <c r="T112" i="8"/>
  <c r="T108" i="8"/>
  <c r="T89" i="8"/>
  <c r="T85" i="8"/>
  <c r="T72" i="8"/>
  <c r="T68" i="8"/>
  <c r="T45" i="8"/>
  <c r="T41" i="8"/>
  <c r="T117" i="8"/>
  <c r="Q136" i="8"/>
  <c r="T109" i="8"/>
  <c r="U34" i="8"/>
  <c r="T88" i="8"/>
  <c r="T84" i="8"/>
  <c r="T71" i="8"/>
  <c r="T67" i="8"/>
  <c r="T44" i="8"/>
  <c r="T40" i="8"/>
  <c r="T113" i="8"/>
  <c r="T105" i="8"/>
  <c r="T86" i="8"/>
  <c r="T47" i="8"/>
  <c r="T43" i="8"/>
  <c r="T97" i="8"/>
  <c r="T65" i="8"/>
  <c r="T42" i="8"/>
  <c r="T38" i="8"/>
  <c r="T101" i="8"/>
  <c r="T51" i="8"/>
  <c r="T107" i="8"/>
  <c r="T61" i="8"/>
  <c r="T98" i="8"/>
  <c r="T134" i="8"/>
  <c r="T111" i="8"/>
  <c r="T66" i="8"/>
  <c r="T106" i="8"/>
  <c r="T76" i="8"/>
  <c r="T115" i="8"/>
  <c r="T78" i="8"/>
  <c r="T114" i="8"/>
  <c r="T119" i="8"/>
  <c r="T37" i="8"/>
  <c r="T58" i="8"/>
  <c r="T110" i="8"/>
  <c r="T53" i="8"/>
  <c r="T126" i="8"/>
  <c r="T64" i="8"/>
  <c r="T133" i="8"/>
  <c r="T94" i="8"/>
  <c r="T39" i="8"/>
  <c r="T132" i="8"/>
  <c r="T95" i="8"/>
  <c r="T103" i="8"/>
  <c r="T75" i="8"/>
  <c r="T81" i="8"/>
  <c r="T70" i="8"/>
  <c r="T118" i="8"/>
  <c r="T52" i="8"/>
  <c r="T57" i="8"/>
  <c r="T56" i="8"/>
  <c r="T50" i="8"/>
  <c r="T90" i="8"/>
  <c r="T79" i="8"/>
  <c r="T60" i="8"/>
  <c r="T93" i="8"/>
  <c r="T54" i="8"/>
  <c r="T87" i="8"/>
  <c r="T92" i="8"/>
  <c r="T99" i="8"/>
  <c r="T123" i="8"/>
  <c r="T102" i="8"/>
  <c r="T127" i="8"/>
  <c r="T104" i="8"/>
  <c r="T48" i="8"/>
  <c r="T82" i="8"/>
  <c r="T124" i="8"/>
  <c r="T62" i="8"/>
  <c r="T73" i="8"/>
  <c r="T121" i="8"/>
  <c r="T128" i="8"/>
  <c r="U135" i="7"/>
  <c r="T135" i="7"/>
  <c r="T117" i="7"/>
  <c r="T113" i="7"/>
  <c r="T67" i="7"/>
  <c r="T58" i="7"/>
  <c r="T54" i="7"/>
  <c r="U34" i="7"/>
  <c r="T123" i="7"/>
  <c r="T101" i="7"/>
  <c r="Q129" i="7"/>
  <c r="T61" i="7"/>
  <c r="Q136" i="7"/>
  <c r="T81" i="7"/>
  <c r="T106" i="7"/>
  <c r="T84" i="7"/>
  <c r="T126" i="7"/>
  <c r="T103" i="7"/>
  <c r="T60" i="7"/>
  <c r="T44" i="7"/>
  <c r="T41" i="7"/>
  <c r="T38" i="7"/>
  <c r="T133" i="7"/>
  <c r="T102" i="7"/>
  <c r="T59" i="7"/>
  <c r="T110" i="7"/>
  <c r="T98" i="7"/>
  <c r="T88" i="7"/>
  <c r="T51" i="7"/>
  <c r="T105" i="7"/>
  <c r="T55" i="7"/>
  <c r="T132" i="7"/>
  <c r="T115" i="7"/>
  <c r="T116" i="7"/>
  <c r="T64" i="7"/>
  <c r="T119" i="7"/>
  <c r="T120" i="7"/>
  <c r="T45" i="7"/>
  <c r="T134" i="7"/>
  <c r="T68" i="7"/>
  <c r="T69" i="7"/>
  <c r="T70" i="7"/>
  <c r="T94" i="7"/>
  <c r="T127" i="7"/>
  <c r="T97" i="7"/>
  <c r="T93" i="7"/>
  <c r="T50" i="7"/>
  <c r="T114" i="7"/>
  <c r="T52" i="7"/>
  <c r="T92" i="7"/>
  <c r="T118" i="7"/>
  <c r="T85" i="7"/>
  <c r="T53" i="7"/>
  <c r="T75" i="7"/>
  <c r="T111" i="7"/>
  <c r="T124" i="7"/>
  <c r="T89" i="7"/>
  <c r="T90" i="7"/>
  <c r="T39" i="7"/>
  <c r="T76" i="7"/>
  <c r="T48" i="7"/>
  <c r="T107" i="7"/>
  <c r="T112" i="7"/>
  <c r="T87" i="7"/>
  <c r="T109" i="7"/>
  <c r="T37" i="7"/>
  <c r="T86" i="7"/>
  <c r="T46" i="7"/>
  <c r="T80" i="7"/>
  <c r="T40" i="7"/>
  <c r="T78" i="7"/>
  <c r="T42" i="7"/>
  <c r="T43" i="7"/>
  <c r="T108" i="7"/>
  <c r="T66" i="7"/>
  <c r="T100" i="7"/>
  <c r="T73" i="7"/>
  <c r="T47" i="7"/>
  <c r="T56" i="7"/>
  <c r="T57" i="7"/>
  <c r="T62" i="7"/>
  <c r="T72" i="7"/>
  <c r="T65" i="7"/>
  <c r="T71" i="7"/>
  <c r="T79" i="7"/>
  <c r="T99" i="7"/>
  <c r="T104" i="7"/>
  <c r="T95" i="7"/>
  <c r="T82" i="7"/>
  <c r="T121" i="7"/>
  <c r="R129" i="7"/>
  <c r="E130" i="7"/>
  <c r="R130" i="7" s="1"/>
  <c r="R136" i="7"/>
  <c r="E137" i="7"/>
  <c r="R137" i="7" s="1"/>
  <c r="R129" i="6"/>
  <c r="E130" i="6"/>
  <c r="R130" i="6" s="1"/>
  <c r="R136" i="6"/>
  <c r="E137" i="6"/>
  <c r="R137" i="6" s="1"/>
  <c r="U33" i="6"/>
  <c r="Q34" i="6"/>
  <c r="R129" i="5"/>
  <c r="E130" i="5"/>
  <c r="R130" i="5" s="1"/>
  <c r="E137" i="5"/>
  <c r="R137" i="5" s="1"/>
  <c r="R136" i="5"/>
  <c r="T101" i="5"/>
  <c r="T92" i="5"/>
  <c r="T70" i="5"/>
  <c r="T66" i="5"/>
  <c r="T47" i="5"/>
  <c r="T43" i="5"/>
  <c r="T39" i="5"/>
  <c r="T61" i="5"/>
  <c r="Q129" i="5"/>
  <c r="T87" i="5"/>
  <c r="Q136" i="5"/>
  <c r="T57" i="5"/>
  <c r="T100" i="5"/>
  <c r="T78" i="5"/>
  <c r="T123" i="5"/>
  <c r="U34" i="5"/>
  <c r="T98" i="5"/>
  <c r="T53" i="5"/>
  <c r="T134" i="5"/>
  <c r="T62" i="5"/>
  <c r="T54" i="5"/>
  <c r="T68" i="5"/>
  <c r="T60" i="5"/>
  <c r="T71" i="5"/>
  <c r="T79" i="5"/>
  <c r="T81" i="5"/>
  <c r="T64" i="5"/>
  <c r="T45" i="5"/>
  <c r="T48" i="5"/>
  <c r="T67" i="5"/>
  <c r="T58" i="5"/>
  <c r="T72" i="5"/>
  <c r="T108" i="5"/>
  <c r="T75" i="5"/>
  <c r="T112" i="5"/>
  <c r="T50" i="5"/>
  <c r="T118" i="5"/>
  <c r="T114" i="5"/>
  <c r="T93" i="5"/>
  <c r="T84" i="5"/>
  <c r="T94" i="5"/>
  <c r="T116" i="5"/>
  <c r="T86" i="5"/>
  <c r="T109" i="5"/>
  <c r="T120" i="5"/>
  <c r="T99" i="5"/>
  <c r="T133" i="5"/>
  <c r="T90" i="5"/>
  <c r="T102" i="5"/>
  <c r="T88" i="5"/>
  <c r="T103" i="5"/>
  <c r="T97" i="5"/>
  <c r="T40" i="5"/>
  <c r="T44" i="5"/>
  <c r="T124" i="5"/>
  <c r="T37" i="5"/>
  <c r="T38" i="5"/>
  <c r="T85" i="5"/>
  <c r="T95" i="5"/>
  <c r="T126" i="5"/>
  <c r="T42" i="5"/>
  <c r="T110" i="5"/>
  <c r="T41" i="5"/>
  <c r="T119" i="5"/>
  <c r="T105" i="5"/>
  <c r="T55" i="5"/>
  <c r="T113" i="5"/>
  <c r="T65" i="5"/>
  <c r="T80" i="5"/>
  <c r="T117" i="5"/>
  <c r="T46" i="5"/>
  <c r="T52" i="5"/>
  <c r="T59" i="5"/>
  <c r="T82" i="5"/>
  <c r="T89" i="5"/>
  <c r="T132" i="5"/>
  <c r="T107" i="5"/>
  <c r="T51" i="5"/>
  <c r="T56" i="5"/>
  <c r="T106" i="5"/>
  <c r="T111" i="5"/>
  <c r="T115" i="5"/>
  <c r="T69" i="5"/>
  <c r="T128" i="5"/>
  <c r="T73" i="5"/>
  <c r="T127" i="5"/>
  <c r="T104" i="5"/>
  <c r="T121" i="5"/>
  <c r="T76" i="5"/>
  <c r="T135" i="5"/>
  <c r="U33" i="4"/>
  <c r="Q34" i="4"/>
  <c r="N34" i="4"/>
  <c r="R33" i="4"/>
  <c r="E130" i="4"/>
  <c r="U121" i="4"/>
  <c r="T121" i="4"/>
  <c r="Q128" i="4"/>
  <c r="E137" i="4"/>
  <c r="N135" i="4"/>
  <c r="R135" i="4" s="1"/>
  <c r="R128" i="4"/>
  <c r="T101" i="3"/>
  <c r="T93" i="3"/>
  <c r="T85" i="3"/>
  <c r="T59" i="3"/>
  <c r="Q129" i="3"/>
  <c r="T98" i="3"/>
  <c r="U34" i="3"/>
  <c r="T70" i="3"/>
  <c r="T115" i="3"/>
  <c r="T67" i="3"/>
  <c r="T119" i="3"/>
  <c r="T99" i="3"/>
  <c r="T71" i="3"/>
  <c r="T123" i="3"/>
  <c r="T118" i="3"/>
  <c r="T126" i="3"/>
  <c r="T107" i="3"/>
  <c r="T52" i="3"/>
  <c r="T38" i="3"/>
  <c r="T80" i="3"/>
  <c r="T42" i="3"/>
  <c r="T57" i="3"/>
  <c r="T65" i="3"/>
  <c r="T64" i="3"/>
  <c r="T61" i="3"/>
  <c r="T108" i="3"/>
  <c r="T134" i="3"/>
  <c r="T69" i="3"/>
  <c r="T62" i="3"/>
  <c r="T53" i="3"/>
  <c r="T50" i="3"/>
  <c r="T113" i="3"/>
  <c r="T117" i="3"/>
  <c r="T78" i="3"/>
  <c r="T133" i="3"/>
  <c r="T58" i="3"/>
  <c r="T106" i="3"/>
  <c r="T87" i="3"/>
  <c r="T56" i="3"/>
  <c r="T105" i="3"/>
  <c r="T86" i="3"/>
  <c r="T116" i="3"/>
  <c r="T84" i="3"/>
  <c r="T120" i="3"/>
  <c r="T132" i="3"/>
  <c r="T81" i="3"/>
  <c r="T94" i="3"/>
  <c r="T60" i="3"/>
  <c r="T46" i="3"/>
  <c r="T72" i="3"/>
  <c r="T89" i="3"/>
  <c r="T66" i="3"/>
  <c r="T54" i="3"/>
  <c r="T111" i="3"/>
  <c r="T73" i="3"/>
  <c r="T112" i="3"/>
  <c r="T102" i="3"/>
  <c r="T68" i="3"/>
  <c r="T124" i="3"/>
  <c r="T97" i="3"/>
  <c r="T95" i="3"/>
  <c r="T51" i="3"/>
  <c r="T92" i="3"/>
  <c r="T114" i="3"/>
  <c r="T103" i="3"/>
  <c r="T110" i="3"/>
  <c r="T88" i="3"/>
  <c r="T109" i="3"/>
  <c r="T79" i="3"/>
  <c r="T100" i="3"/>
  <c r="T55" i="3"/>
  <c r="T90" i="3"/>
  <c r="T40" i="3"/>
  <c r="T37" i="3"/>
  <c r="T82" i="3"/>
  <c r="T127" i="3"/>
  <c r="T104" i="3"/>
  <c r="T121" i="3"/>
  <c r="T39" i="3"/>
  <c r="T44" i="3"/>
  <c r="T75" i="3"/>
  <c r="T47" i="3"/>
  <c r="T45" i="3"/>
  <c r="T43" i="3"/>
  <c r="T41" i="3"/>
  <c r="T48" i="3"/>
  <c r="T76" i="3"/>
  <c r="U128" i="3"/>
  <c r="T128" i="3"/>
  <c r="Q135" i="3"/>
  <c r="Q136" i="3" s="1"/>
  <c r="G76" i="2"/>
  <c r="G128" i="2" s="1"/>
  <c r="H128" i="2"/>
  <c r="H135" i="2" s="1"/>
  <c r="E137" i="2"/>
  <c r="H29" i="2"/>
  <c r="J11" i="2"/>
  <c r="I14" i="2"/>
  <c r="I104" i="2"/>
  <c r="I25" i="2"/>
  <c r="I29" i="2" s="1"/>
  <c r="I33" i="2" s="1"/>
  <c r="I34" i="2" s="1"/>
  <c r="E130" i="2"/>
  <c r="U33" i="1"/>
  <c r="Q34" i="1"/>
  <c r="R129" i="1"/>
  <c r="E130" i="1"/>
  <c r="R130" i="1" s="1"/>
  <c r="U135" i="1"/>
  <c r="T135" i="1"/>
  <c r="R136" i="1" l="1"/>
  <c r="R136" i="28"/>
  <c r="E137" i="28"/>
  <c r="R137" i="28" s="1"/>
  <c r="U135" i="28"/>
  <c r="T135" i="28"/>
  <c r="U129" i="28"/>
  <c r="Q130" i="28"/>
  <c r="U130" i="28" s="1"/>
  <c r="T129" i="28"/>
  <c r="Q136" i="28"/>
  <c r="T118" i="19"/>
  <c r="T78" i="19"/>
  <c r="T57" i="19"/>
  <c r="T101" i="19"/>
  <c r="T114" i="19"/>
  <c r="T117" i="19"/>
  <c r="T113" i="19"/>
  <c r="T109" i="19"/>
  <c r="T92" i="19"/>
  <c r="T81" i="19"/>
  <c r="T75" i="19"/>
  <c r="T60" i="19"/>
  <c r="T56" i="19"/>
  <c r="T52" i="19"/>
  <c r="T53" i="19"/>
  <c r="Q129" i="19"/>
  <c r="Q136" i="19"/>
  <c r="T97" i="19"/>
  <c r="T86" i="19"/>
  <c r="T69" i="19"/>
  <c r="T65" i="19"/>
  <c r="T106" i="19"/>
  <c r="T61" i="19"/>
  <c r="T39" i="19"/>
  <c r="T120" i="19"/>
  <c r="T116" i="19"/>
  <c r="T112" i="19"/>
  <c r="T108" i="19"/>
  <c r="T80" i="19"/>
  <c r="T59" i="19"/>
  <c r="T55" i="19"/>
  <c r="T51" i="19"/>
  <c r="T110" i="19"/>
  <c r="T119" i="19"/>
  <c r="T115" i="19"/>
  <c r="T111" i="19"/>
  <c r="T107" i="19"/>
  <c r="T94" i="19"/>
  <c r="T79" i="19"/>
  <c r="T58" i="19"/>
  <c r="T54" i="19"/>
  <c r="T50" i="19"/>
  <c r="U34" i="19"/>
  <c r="T47" i="19"/>
  <c r="T44" i="19"/>
  <c r="T40" i="19"/>
  <c r="T93" i="19"/>
  <c r="T123" i="19"/>
  <c r="T43" i="19"/>
  <c r="T41" i="19"/>
  <c r="T48" i="19"/>
  <c r="T127" i="19"/>
  <c r="T98" i="19"/>
  <c r="T103" i="19"/>
  <c r="T66" i="19"/>
  <c r="T102" i="19"/>
  <c r="T37" i="19"/>
  <c r="T100" i="19"/>
  <c r="T124" i="19"/>
  <c r="T133" i="19"/>
  <c r="T45" i="19"/>
  <c r="T62" i="19"/>
  <c r="T126" i="19"/>
  <c r="T87" i="19"/>
  <c r="T67" i="19"/>
  <c r="T71" i="19"/>
  <c r="T90" i="19"/>
  <c r="T84" i="19"/>
  <c r="T70" i="19"/>
  <c r="T134" i="19"/>
  <c r="T88" i="19"/>
  <c r="T64" i="19"/>
  <c r="T99" i="19"/>
  <c r="T68" i="19"/>
  <c r="T89" i="19"/>
  <c r="T72" i="19"/>
  <c r="T82" i="19"/>
  <c r="T132" i="19"/>
  <c r="T105" i="19"/>
  <c r="T42" i="19"/>
  <c r="T38" i="19"/>
  <c r="T85" i="19"/>
  <c r="T46" i="19"/>
  <c r="T95" i="19"/>
  <c r="T121" i="19"/>
  <c r="T73" i="19"/>
  <c r="T76" i="19"/>
  <c r="T104" i="19"/>
  <c r="T128" i="19"/>
  <c r="T135" i="19"/>
  <c r="T117" i="18"/>
  <c r="T113" i="18"/>
  <c r="T109" i="18"/>
  <c r="T105" i="18"/>
  <c r="T97" i="18"/>
  <c r="T86" i="18"/>
  <c r="T75" i="18"/>
  <c r="T60" i="18"/>
  <c r="T56" i="18"/>
  <c r="T52" i="18"/>
  <c r="Q129" i="18"/>
  <c r="Q136" i="18"/>
  <c r="T80" i="18"/>
  <c r="T69" i="18"/>
  <c r="T65" i="18"/>
  <c r="T46" i="18"/>
  <c r="T42" i="18"/>
  <c r="T38" i="18"/>
  <c r="T120" i="18"/>
  <c r="T116" i="18"/>
  <c r="T112" i="18"/>
  <c r="T108" i="18"/>
  <c r="T123" i="18"/>
  <c r="T119" i="18"/>
  <c r="T115" i="18"/>
  <c r="T111" i="18"/>
  <c r="T107" i="18"/>
  <c r="T88" i="18"/>
  <c r="T84" i="18"/>
  <c r="U34" i="18"/>
  <c r="T132" i="18"/>
  <c r="T102" i="18"/>
  <c r="T93" i="18"/>
  <c r="T78" i="18"/>
  <c r="T71" i="18"/>
  <c r="T67" i="18"/>
  <c r="T44" i="18"/>
  <c r="T40" i="18"/>
  <c r="T41" i="18"/>
  <c r="T37" i="18"/>
  <c r="T47" i="18"/>
  <c r="T90" i="18"/>
  <c r="T45" i="18"/>
  <c r="T59" i="18"/>
  <c r="T92" i="18"/>
  <c r="T66" i="18"/>
  <c r="T106" i="18"/>
  <c r="T64" i="18"/>
  <c r="T81" i="18"/>
  <c r="T110" i="18"/>
  <c r="T68" i="18"/>
  <c r="T101" i="18"/>
  <c r="T55" i="18"/>
  <c r="T114" i="18"/>
  <c r="T72" i="18"/>
  <c r="T98" i="18"/>
  <c r="T70" i="18"/>
  <c r="T118" i="18"/>
  <c r="T54" i="18"/>
  <c r="T50" i="18"/>
  <c r="T39" i="18"/>
  <c r="T124" i="18"/>
  <c r="T79" i="18"/>
  <c r="T82" i="18"/>
  <c r="T89" i="18"/>
  <c r="T58" i="18"/>
  <c r="T94" i="18"/>
  <c r="T100" i="18"/>
  <c r="T51" i="18"/>
  <c r="T99" i="18"/>
  <c r="T48" i="18"/>
  <c r="T76" i="18"/>
  <c r="T133" i="18"/>
  <c r="T103" i="18"/>
  <c r="T43" i="18"/>
  <c r="T87" i="18"/>
  <c r="T61" i="18"/>
  <c r="T57" i="18"/>
  <c r="T126" i="18"/>
  <c r="T85" i="18"/>
  <c r="T53" i="18"/>
  <c r="T134" i="18"/>
  <c r="T104" i="18"/>
  <c r="T73" i="18"/>
  <c r="T127" i="18"/>
  <c r="T62" i="18"/>
  <c r="T95" i="18"/>
  <c r="T121" i="18"/>
  <c r="T128" i="18"/>
  <c r="U136" i="17"/>
  <c r="Q137" i="17"/>
  <c r="U137" i="17" s="1"/>
  <c r="T136" i="17"/>
  <c r="U129" i="17"/>
  <c r="Q130" i="17"/>
  <c r="U130" i="17" s="1"/>
  <c r="T129" i="17"/>
  <c r="R129" i="17"/>
  <c r="E130" i="17"/>
  <c r="R130" i="17" s="1"/>
  <c r="R136" i="17"/>
  <c r="E137" i="17"/>
  <c r="R137" i="17" s="1"/>
  <c r="U136" i="16"/>
  <c r="Q137" i="16"/>
  <c r="U137" i="16" s="1"/>
  <c r="T136" i="16"/>
  <c r="U129" i="16"/>
  <c r="Q130" i="16"/>
  <c r="U130" i="16" s="1"/>
  <c r="T129" i="16"/>
  <c r="R129" i="15"/>
  <c r="E130" i="15"/>
  <c r="R130" i="15" s="1"/>
  <c r="U136" i="15"/>
  <c r="Q137" i="15"/>
  <c r="U137" i="15" s="1"/>
  <c r="T136" i="15"/>
  <c r="U129" i="15"/>
  <c r="Q130" i="15"/>
  <c r="U130" i="15" s="1"/>
  <c r="T129" i="15"/>
  <c r="R136" i="15"/>
  <c r="E137" i="15"/>
  <c r="R137" i="15" s="1"/>
  <c r="U136" i="14"/>
  <c r="Q137" i="14"/>
  <c r="U137" i="14" s="1"/>
  <c r="T136" i="14"/>
  <c r="U129" i="14"/>
  <c r="Q130" i="14"/>
  <c r="U130" i="14" s="1"/>
  <c r="T129" i="14"/>
  <c r="R129" i="14"/>
  <c r="E130" i="14"/>
  <c r="R130" i="14" s="1"/>
  <c r="E137" i="14"/>
  <c r="R137" i="14" s="1"/>
  <c r="R136" i="14"/>
  <c r="U136" i="13"/>
  <c r="Q137" i="13"/>
  <c r="U137" i="13" s="1"/>
  <c r="T136" i="13"/>
  <c r="U129" i="13"/>
  <c r="Q130" i="13"/>
  <c r="U130" i="13" s="1"/>
  <c r="T129" i="13"/>
  <c r="U136" i="12"/>
  <c r="Q137" i="12"/>
  <c r="U137" i="12" s="1"/>
  <c r="T136" i="12"/>
  <c r="U129" i="12"/>
  <c r="Q130" i="12"/>
  <c r="U130" i="12" s="1"/>
  <c r="T129" i="12"/>
  <c r="T97" i="11"/>
  <c r="T86" i="11"/>
  <c r="T81" i="11"/>
  <c r="T70" i="11"/>
  <c r="Q129" i="11"/>
  <c r="T101" i="11"/>
  <c r="Q136" i="11"/>
  <c r="T123" i="11"/>
  <c r="T57" i="11"/>
  <c r="T99" i="11"/>
  <c r="T88" i="11"/>
  <c r="T84" i="11"/>
  <c r="T79" i="11"/>
  <c r="T72" i="11"/>
  <c r="T68" i="11"/>
  <c r="T64" i="11"/>
  <c r="T45" i="11"/>
  <c r="T41" i="11"/>
  <c r="T53" i="11"/>
  <c r="U34" i="11"/>
  <c r="T92" i="11"/>
  <c r="T61" i="11"/>
  <c r="T98" i="11"/>
  <c r="T126" i="11"/>
  <c r="T108" i="11"/>
  <c r="T95" i="11"/>
  <c r="T58" i="11"/>
  <c r="T93" i="11"/>
  <c r="T109" i="11"/>
  <c r="T37" i="11"/>
  <c r="T116" i="11"/>
  <c r="T43" i="11"/>
  <c r="T90" i="11"/>
  <c r="T120" i="11"/>
  <c r="T102" i="11"/>
  <c r="T105" i="11"/>
  <c r="T38" i="11"/>
  <c r="T52" i="11"/>
  <c r="T106" i="11"/>
  <c r="T42" i="11"/>
  <c r="T56" i="11"/>
  <c r="T47" i="11"/>
  <c r="T110" i="11"/>
  <c r="T107" i="11"/>
  <c r="T46" i="11"/>
  <c r="T60" i="11"/>
  <c r="T117" i="11"/>
  <c r="T114" i="11"/>
  <c r="T111" i="11"/>
  <c r="T65" i="11"/>
  <c r="T75" i="11"/>
  <c r="T134" i="11"/>
  <c r="T66" i="11"/>
  <c r="T40" i="11"/>
  <c r="T118" i="11"/>
  <c r="T115" i="11"/>
  <c r="T69" i="11"/>
  <c r="T87" i="11"/>
  <c r="T50" i="11"/>
  <c r="T44" i="11"/>
  <c r="T124" i="11"/>
  <c r="T119" i="11"/>
  <c r="T71" i="11"/>
  <c r="T59" i="11"/>
  <c r="T112" i="11"/>
  <c r="T48" i="11"/>
  <c r="T54" i="11"/>
  <c r="T82" i="11"/>
  <c r="T62" i="11"/>
  <c r="T132" i="11"/>
  <c r="T133" i="11"/>
  <c r="T80" i="11"/>
  <c r="T55" i="11"/>
  <c r="T78" i="11"/>
  <c r="T100" i="11"/>
  <c r="T113" i="11"/>
  <c r="T67" i="11"/>
  <c r="T51" i="11"/>
  <c r="T85" i="11"/>
  <c r="T89" i="11"/>
  <c r="T39" i="11"/>
  <c r="T94" i="11"/>
  <c r="T103" i="11"/>
  <c r="T73" i="11"/>
  <c r="T127" i="11"/>
  <c r="T121" i="11"/>
  <c r="T76" i="11"/>
  <c r="T104" i="11"/>
  <c r="T128" i="11"/>
  <c r="T135" i="11"/>
  <c r="R129" i="10"/>
  <c r="E130" i="10"/>
  <c r="R130" i="10" s="1"/>
  <c r="T46" i="10"/>
  <c r="T52" i="10"/>
  <c r="Q129" i="10"/>
  <c r="T101" i="10"/>
  <c r="Q136" i="10"/>
  <c r="T100" i="10"/>
  <c r="T45" i="10"/>
  <c r="T41" i="10"/>
  <c r="T92" i="10"/>
  <c r="T60" i="10"/>
  <c r="T56" i="10"/>
  <c r="T75" i="10"/>
  <c r="U34" i="10"/>
  <c r="T81" i="10"/>
  <c r="T123" i="10"/>
  <c r="T93" i="10"/>
  <c r="T78" i="10"/>
  <c r="T86" i="10"/>
  <c r="T134" i="10"/>
  <c r="T107" i="10"/>
  <c r="T126" i="10"/>
  <c r="T120" i="10"/>
  <c r="T105" i="10"/>
  <c r="T88" i="10"/>
  <c r="T66" i="10"/>
  <c r="T111" i="10"/>
  <c r="T109" i="10"/>
  <c r="T89" i="10"/>
  <c r="T70" i="10"/>
  <c r="T115" i="10"/>
  <c r="T113" i="10"/>
  <c r="T82" i="10"/>
  <c r="T119" i="10"/>
  <c r="T117" i="10"/>
  <c r="T87" i="10"/>
  <c r="T50" i="10"/>
  <c r="T37" i="10"/>
  <c r="T95" i="10"/>
  <c r="T65" i="10"/>
  <c r="T98" i="10"/>
  <c r="T54" i="10"/>
  <c r="T64" i="10"/>
  <c r="T59" i="10"/>
  <c r="T43" i="10"/>
  <c r="T76" i="10"/>
  <c r="T40" i="10"/>
  <c r="T58" i="10"/>
  <c r="T68" i="10"/>
  <c r="T108" i="10"/>
  <c r="T112" i="10"/>
  <c r="T42" i="10"/>
  <c r="T106" i="10"/>
  <c r="T132" i="10"/>
  <c r="T44" i="10"/>
  <c r="T79" i="10"/>
  <c r="T72" i="10"/>
  <c r="T102" i="10"/>
  <c r="T85" i="10"/>
  <c r="T110" i="10"/>
  <c r="T67" i="10"/>
  <c r="T94" i="10"/>
  <c r="T39" i="10"/>
  <c r="T80" i="10"/>
  <c r="T114" i="10"/>
  <c r="T53" i="10"/>
  <c r="T71" i="10"/>
  <c r="T103" i="10"/>
  <c r="T69" i="10"/>
  <c r="T90" i="10"/>
  <c r="T118" i="10"/>
  <c r="T57" i="10"/>
  <c r="T84" i="10"/>
  <c r="T116" i="10"/>
  <c r="T97" i="10"/>
  <c r="T124" i="10"/>
  <c r="T61" i="10"/>
  <c r="T99" i="10"/>
  <c r="T51" i="10"/>
  <c r="T38" i="10"/>
  <c r="T133" i="10"/>
  <c r="T55" i="10"/>
  <c r="T47" i="10"/>
  <c r="T127" i="10"/>
  <c r="T62" i="10"/>
  <c r="T48" i="10"/>
  <c r="T104" i="10"/>
  <c r="T73" i="10"/>
  <c r="T121" i="10"/>
  <c r="T128" i="10"/>
  <c r="R136" i="10"/>
  <c r="E137" i="10"/>
  <c r="R137" i="10" s="1"/>
  <c r="U136" i="9"/>
  <c r="Q137" i="9"/>
  <c r="U137" i="9" s="1"/>
  <c r="T136" i="9"/>
  <c r="U129" i="9"/>
  <c r="Q130" i="9"/>
  <c r="U130" i="9" s="1"/>
  <c r="T129" i="9"/>
  <c r="U129" i="8"/>
  <c r="Q130" i="8"/>
  <c r="U130" i="8" s="1"/>
  <c r="T129" i="8"/>
  <c r="U136" i="8"/>
  <c r="Q137" i="8"/>
  <c r="U137" i="8" s="1"/>
  <c r="T136" i="8"/>
  <c r="U136" i="7"/>
  <c r="Q137" i="7"/>
  <c r="U137" i="7" s="1"/>
  <c r="T136" i="7"/>
  <c r="U129" i="7"/>
  <c r="Q130" i="7"/>
  <c r="U130" i="7" s="1"/>
  <c r="T129" i="7"/>
  <c r="T97" i="6"/>
  <c r="T86" i="6"/>
  <c r="T80" i="6"/>
  <c r="T59" i="6"/>
  <c r="T55" i="6"/>
  <c r="T51" i="6"/>
  <c r="Q129" i="6"/>
  <c r="T69" i="6"/>
  <c r="Q136" i="6"/>
  <c r="T127" i="6"/>
  <c r="T120" i="6"/>
  <c r="T116" i="6"/>
  <c r="T112" i="6"/>
  <c r="T108" i="6"/>
  <c r="T65" i="6"/>
  <c r="T58" i="6"/>
  <c r="T126" i="6"/>
  <c r="U34" i="6"/>
  <c r="T38" i="6"/>
  <c r="T42" i="6"/>
  <c r="T102" i="6"/>
  <c r="T93" i="6"/>
  <c r="T78" i="6"/>
  <c r="T61" i="6"/>
  <c r="T57" i="6"/>
  <c r="T53" i="6"/>
  <c r="T46" i="6"/>
  <c r="T123" i="6"/>
  <c r="T43" i="6"/>
  <c r="T39" i="6"/>
  <c r="T89" i="6"/>
  <c r="T88" i="6"/>
  <c r="T68" i="6"/>
  <c r="T45" i="6"/>
  <c r="T118" i="6"/>
  <c r="T54" i="6"/>
  <c r="T52" i="6"/>
  <c r="T64" i="6"/>
  <c r="T107" i="6"/>
  <c r="T71" i="6"/>
  <c r="T37" i="6"/>
  <c r="T56" i="6"/>
  <c r="T106" i="6"/>
  <c r="T66" i="6"/>
  <c r="T99" i="6"/>
  <c r="T73" i="6"/>
  <c r="T47" i="6"/>
  <c r="T60" i="6"/>
  <c r="T75" i="6"/>
  <c r="T113" i="6"/>
  <c r="T84" i="6"/>
  <c r="T90" i="6"/>
  <c r="T87" i="6"/>
  <c r="T72" i="6"/>
  <c r="T81" i="6"/>
  <c r="T111" i="6"/>
  <c r="T70" i="6"/>
  <c r="T124" i="6"/>
  <c r="T100" i="6"/>
  <c r="T115" i="6"/>
  <c r="T110" i="6"/>
  <c r="T98" i="6"/>
  <c r="T109" i="6"/>
  <c r="T92" i="6"/>
  <c r="T119" i="6"/>
  <c r="T79" i="6"/>
  <c r="T41" i="6"/>
  <c r="T105" i="6"/>
  <c r="T101" i="6"/>
  <c r="T94" i="6"/>
  <c r="T85" i="6"/>
  <c r="T50" i="6"/>
  <c r="T114" i="6"/>
  <c r="T40" i="6"/>
  <c r="T103" i="6"/>
  <c r="T67" i="6"/>
  <c r="T132" i="6"/>
  <c r="T44" i="6"/>
  <c r="T117" i="6"/>
  <c r="T134" i="6"/>
  <c r="T133" i="6"/>
  <c r="T48" i="6"/>
  <c r="T104" i="6"/>
  <c r="T82" i="6"/>
  <c r="T62" i="6"/>
  <c r="T95" i="6"/>
  <c r="T121" i="6"/>
  <c r="T76" i="6"/>
  <c r="T128" i="6"/>
  <c r="T135" i="6"/>
  <c r="U129" i="5"/>
  <c r="Q130" i="5"/>
  <c r="U130" i="5" s="1"/>
  <c r="T129" i="5"/>
  <c r="U136" i="5"/>
  <c r="Q137" i="5"/>
  <c r="U137" i="5" s="1"/>
  <c r="T136" i="5"/>
  <c r="U128" i="4"/>
  <c r="T128" i="4"/>
  <c r="Q135" i="4"/>
  <c r="Q136" i="4" s="1"/>
  <c r="N129" i="4"/>
  <c r="N136" i="4"/>
  <c r="R34" i="4"/>
  <c r="T118" i="4"/>
  <c r="T54" i="4"/>
  <c r="T110" i="4"/>
  <c r="T66" i="4"/>
  <c r="Q129" i="4"/>
  <c r="T120" i="4"/>
  <c r="T65" i="4"/>
  <c r="T68" i="4"/>
  <c r="T60" i="4"/>
  <c r="T56" i="4"/>
  <c r="T51" i="4"/>
  <c r="U34" i="4"/>
  <c r="T71" i="4"/>
  <c r="T42" i="4"/>
  <c r="T102" i="4"/>
  <c r="T57" i="4"/>
  <c r="T99" i="4"/>
  <c r="T100" i="4"/>
  <c r="T114" i="4"/>
  <c r="T86" i="4"/>
  <c r="T127" i="4"/>
  <c r="T94" i="4"/>
  <c r="T115" i="4"/>
  <c r="T64" i="4"/>
  <c r="T116" i="4"/>
  <c r="T90" i="4"/>
  <c r="T123" i="4"/>
  <c r="T103" i="4"/>
  <c r="T72" i="4"/>
  <c r="T133" i="4"/>
  <c r="T93" i="4"/>
  <c r="T132" i="4"/>
  <c r="T87" i="4"/>
  <c r="T50" i="4"/>
  <c r="T67" i="4"/>
  <c r="T78" i="4"/>
  <c r="T117" i="4"/>
  <c r="T73" i="4"/>
  <c r="T55" i="4"/>
  <c r="T111" i="4"/>
  <c r="T46" i="4"/>
  <c r="T52" i="4"/>
  <c r="T69" i="4"/>
  <c r="T119" i="4"/>
  <c r="T80" i="4"/>
  <c r="T98" i="4"/>
  <c r="T61" i="4"/>
  <c r="T53" i="4"/>
  <c r="T75" i="4"/>
  <c r="T81" i="4"/>
  <c r="T126" i="4"/>
  <c r="T58" i="4"/>
  <c r="T88" i="4"/>
  <c r="T70" i="4"/>
  <c r="T89" i="4"/>
  <c r="T101" i="4"/>
  <c r="T84" i="4"/>
  <c r="T105" i="4"/>
  <c r="T85" i="4"/>
  <c r="T124" i="4"/>
  <c r="T134" i="4"/>
  <c r="T92" i="4"/>
  <c r="T97" i="4"/>
  <c r="T109" i="4"/>
  <c r="T62" i="4"/>
  <c r="T59" i="4"/>
  <c r="T37" i="4"/>
  <c r="T113" i="4"/>
  <c r="T79" i="4"/>
  <c r="T82" i="4"/>
  <c r="T39" i="4"/>
  <c r="T41" i="4"/>
  <c r="T108" i="4"/>
  <c r="T95" i="4"/>
  <c r="T107" i="4"/>
  <c r="T106" i="4"/>
  <c r="T38" i="4"/>
  <c r="T76" i="4"/>
  <c r="T112" i="4"/>
  <c r="T48" i="4"/>
  <c r="T43" i="4"/>
  <c r="T47" i="4"/>
  <c r="Q49" i="4"/>
  <c r="T45" i="4"/>
  <c r="T40" i="4"/>
  <c r="T44" i="4"/>
  <c r="T104" i="4"/>
  <c r="U136" i="3"/>
  <c r="Q137" i="3"/>
  <c r="U137" i="3" s="1"/>
  <c r="T136" i="3"/>
  <c r="U129" i="3"/>
  <c r="Q130" i="3"/>
  <c r="U130" i="3" s="1"/>
  <c r="T129" i="3"/>
  <c r="U135" i="3"/>
  <c r="T135" i="3"/>
  <c r="L11" i="2"/>
  <c r="K11" i="2"/>
  <c r="J25" i="2"/>
  <c r="J29" i="2" s="1"/>
  <c r="J33" i="2" s="1"/>
  <c r="J34" i="2" s="1"/>
  <c r="J104" i="2"/>
  <c r="J121" i="2" s="1"/>
  <c r="J14" i="2"/>
  <c r="J75" i="2" s="1"/>
  <c r="J76" i="2" s="1"/>
  <c r="M11" i="2"/>
  <c r="G135" i="2"/>
  <c r="G129" i="2"/>
  <c r="I75" i="2"/>
  <c r="I121" i="2"/>
  <c r="H33" i="2"/>
  <c r="T100" i="1"/>
  <c r="T84" i="1"/>
  <c r="T52" i="1"/>
  <c r="U34" i="1"/>
  <c r="Q129" i="1"/>
  <c r="T118" i="1"/>
  <c r="Q136" i="1"/>
  <c r="T54" i="1"/>
  <c r="T115" i="1"/>
  <c r="T55" i="1"/>
  <c r="T89" i="1"/>
  <c r="T123" i="1"/>
  <c r="T101" i="1"/>
  <c r="T111" i="1"/>
  <c r="T46" i="1"/>
  <c r="T62" i="1"/>
  <c r="T105" i="1"/>
  <c r="T116" i="1"/>
  <c r="T120" i="1"/>
  <c r="T113" i="1"/>
  <c r="T107" i="1"/>
  <c r="T65" i="1"/>
  <c r="T97" i="1"/>
  <c r="T112" i="1"/>
  <c r="T109" i="1"/>
  <c r="T88" i="1"/>
  <c r="T124" i="1"/>
  <c r="T61" i="1"/>
  <c r="T64" i="1"/>
  <c r="T99" i="1"/>
  <c r="T117" i="1"/>
  <c r="T110" i="1"/>
  <c r="T51" i="1"/>
  <c r="T57" i="1"/>
  <c r="T134" i="1"/>
  <c r="T73" i="1"/>
  <c r="T93" i="1"/>
  <c r="T126" i="1"/>
  <c r="T132" i="1"/>
  <c r="T69" i="1"/>
  <c r="T42" i="1"/>
  <c r="T92" i="1"/>
  <c r="T60" i="1"/>
  <c r="T103" i="1"/>
  <c r="T56" i="1"/>
  <c r="T71" i="1"/>
  <c r="T114" i="1"/>
  <c r="T102" i="1"/>
  <c r="T53" i="1"/>
  <c r="T58" i="1"/>
  <c r="T78" i="1"/>
  <c r="T68" i="1"/>
  <c r="T98" i="1"/>
  <c r="T133" i="1"/>
  <c r="T66" i="1"/>
  <c r="T70" i="1"/>
  <c r="T119" i="1"/>
  <c r="T50" i="1"/>
  <c r="T86" i="1"/>
  <c r="T94" i="1"/>
  <c r="T67" i="1"/>
  <c r="T79" i="1"/>
  <c r="T87" i="1"/>
  <c r="T106" i="1"/>
  <c r="T80" i="1"/>
  <c r="T59" i="1"/>
  <c r="T81" i="1"/>
  <c r="T72" i="1"/>
  <c r="T85" i="1"/>
  <c r="T90" i="1"/>
  <c r="T108" i="1"/>
  <c r="T39" i="1"/>
  <c r="T95" i="1"/>
  <c r="T37" i="1"/>
  <c r="T38" i="1"/>
  <c r="T104" i="1"/>
  <c r="T127" i="1"/>
  <c r="T82" i="1"/>
  <c r="T44" i="1"/>
  <c r="T121" i="1"/>
  <c r="T40" i="1"/>
  <c r="T47" i="1"/>
  <c r="T43" i="1"/>
  <c r="T41" i="1"/>
  <c r="T45" i="1"/>
  <c r="T48" i="1"/>
  <c r="T75" i="1"/>
  <c r="T76" i="1"/>
  <c r="T128" i="1"/>
  <c r="U136" i="28" l="1"/>
  <c r="Q137" i="28"/>
  <c r="U137" i="28" s="1"/>
  <c r="T136" i="28"/>
  <c r="J128" i="2"/>
  <c r="J135" i="2" s="1"/>
  <c r="U129" i="19"/>
  <c r="Q130" i="19"/>
  <c r="U130" i="19" s="1"/>
  <c r="T129" i="19"/>
  <c r="U136" i="19"/>
  <c r="Q137" i="19"/>
  <c r="U137" i="19" s="1"/>
  <c r="T136" i="19"/>
  <c r="U136" i="18"/>
  <c r="Q137" i="18"/>
  <c r="U137" i="18" s="1"/>
  <c r="T136" i="18"/>
  <c r="U129" i="18"/>
  <c r="Q130" i="18"/>
  <c r="U130" i="18" s="1"/>
  <c r="T129" i="18"/>
  <c r="U136" i="11"/>
  <c r="Q137" i="11"/>
  <c r="U137" i="11" s="1"/>
  <c r="T136" i="11"/>
  <c r="U129" i="11"/>
  <c r="Q130" i="11"/>
  <c r="U130" i="11" s="1"/>
  <c r="T129" i="11"/>
  <c r="U136" i="10"/>
  <c r="Q137" i="10"/>
  <c r="U137" i="10" s="1"/>
  <c r="T136" i="10"/>
  <c r="U129" i="10"/>
  <c r="Q130" i="10"/>
  <c r="U130" i="10" s="1"/>
  <c r="T129" i="10"/>
  <c r="U136" i="6"/>
  <c r="Q137" i="6"/>
  <c r="U137" i="6" s="1"/>
  <c r="T136" i="6"/>
  <c r="U129" i="6"/>
  <c r="Q130" i="6"/>
  <c r="U130" i="6" s="1"/>
  <c r="T129" i="6"/>
  <c r="U129" i="4"/>
  <c r="Q130" i="4"/>
  <c r="U130" i="4" s="1"/>
  <c r="T129" i="4"/>
  <c r="N137" i="4"/>
  <c r="R137" i="4" s="1"/>
  <c r="R136" i="4"/>
  <c r="N130" i="4"/>
  <c r="R130" i="4" s="1"/>
  <c r="R129" i="4"/>
  <c r="U135" i="4"/>
  <c r="T135" i="4"/>
  <c r="U136" i="4"/>
  <c r="Q137" i="4"/>
  <c r="U137" i="4" s="1"/>
  <c r="T136" i="4"/>
  <c r="I76" i="2"/>
  <c r="I128" i="2" s="1"/>
  <c r="G130" i="2"/>
  <c r="G136" i="2"/>
  <c r="M25" i="2"/>
  <c r="M29" i="2" s="1"/>
  <c r="M33" i="2" s="1"/>
  <c r="M34" i="2" s="1"/>
  <c r="M104" i="2"/>
  <c r="M121" i="2" s="1"/>
  <c r="M14" i="2"/>
  <c r="M75" i="2" s="1"/>
  <c r="M76" i="2" s="1"/>
  <c r="P11" i="2"/>
  <c r="O11" i="2"/>
  <c r="N11" i="2"/>
  <c r="J129" i="2"/>
  <c r="J130" i="2" s="1"/>
  <c r="J136" i="2"/>
  <c r="J137" i="2" s="1"/>
  <c r="H34" i="2"/>
  <c r="K25" i="2"/>
  <c r="K104" i="2"/>
  <c r="K121" i="2" s="1"/>
  <c r="K14" i="2"/>
  <c r="L25" i="2"/>
  <c r="L29" i="2" s="1"/>
  <c r="L33" i="2" s="1"/>
  <c r="L34" i="2" s="1"/>
  <c r="L104" i="2"/>
  <c r="L121" i="2" s="1"/>
  <c r="L14" i="2"/>
  <c r="L75" i="2" s="1"/>
  <c r="L76" i="2" s="1"/>
  <c r="U136" i="1"/>
  <c r="Q137" i="1"/>
  <c r="U137" i="1" s="1"/>
  <c r="T136" i="1"/>
  <c r="U129" i="1"/>
  <c r="Q130" i="1"/>
  <c r="U130" i="1" s="1"/>
  <c r="T129" i="1"/>
  <c r="N25" i="2" l="1"/>
  <c r="N29" i="2" s="1"/>
  <c r="N33" i="2" s="1"/>
  <c r="N34" i="2" s="1"/>
  <c r="N104" i="2"/>
  <c r="N14" i="2"/>
  <c r="N75" i="2" s="1"/>
  <c r="N76" i="2" s="1"/>
  <c r="O25" i="2"/>
  <c r="O29" i="2" s="1"/>
  <c r="O33" i="2" s="1"/>
  <c r="O34" i="2" s="1"/>
  <c r="O104" i="2"/>
  <c r="O121" i="2" s="1"/>
  <c r="O14" i="2"/>
  <c r="O75" i="2" s="1"/>
  <c r="O76" i="2" s="1"/>
  <c r="I135" i="2"/>
  <c r="I129" i="2"/>
  <c r="I130" i="2" s="1"/>
  <c r="P25" i="2"/>
  <c r="P104" i="2"/>
  <c r="P121" i="2" s="1"/>
  <c r="P14" i="2"/>
  <c r="P75" i="2" s="1"/>
  <c r="P76" i="2" s="1"/>
  <c r="R11" i="2"/>
  <c r="M128" i="2"/>
  <c r="M135" i="2" s="1"/>
  <c r="M136" i="2" s="1"/>
  <c r="M137" i="2" s="1"/>
  <c r="L128" i="2"/>
  <c r="L135" i="2" s="1"/>
  <c r="L136" i="2" s="1"/>
  <c r="L137" i="2" s="1"/>
  <c r="G137" i="2"/>
  <c r="H129" i="2"/>
  <c r="H136" i="2"/>
  <c r="H137" i="2" s="1"/>
  <c r="Q11" i="2"/>
  <c r="K75" i="2"/>
  <c r="R14" i="2"/>
  <c r="K29" i="2"/>
  <c r="R25" i="2"/>
  <c r="L129" i="2" l="1"/>
  <c r="L130" i="2" s="1"/>
  <c r="M129" i="2"/>
  <c r="M130" i="2" s="1"/>
  <c r="P128" i="2"/>
  <c r="P135" i="2" s="1"/>
  <c r="K76" i="2"/>
  <c r="K128" i="2" s="1"/>
  <c r="Q75" i="2"/>
  <c r="R75" i="2"/>
  <c r="P29" i="2"/>
  <c r="P33" i="2" s="1"/>
  <c r="P34" i="2" s="1"/>
  <c r="Q25" i="2"/>
  <c r="U11" i="2"/>
  <c r="Q14" i="2"/>
  <c r="U14" i="2" s="1"/>
  <c r="I136" i="2"/>
  <c r="I137" i="2" s="1"/>
  <c r="H130" i="2"/>
  <c r="O128" i="2"/>
  <c r="O135" i="2" s="1"/>
  <c r="O136" i="2" s="1"/>
  <c r="O137" i="2" s="1"/>
  <c r="N121" i="2"/>
  <c r="N128" i="2" s="1"/>
  <c r="N135" i="2" s="1"/>
  <c r="N136" i="2" s="1"/>
  <c r="N137" i="2" s="1"/>
  <c r="R104" i="2"/>
  <c r="Q104" i="2"/>
  <c r="K33" i="2"/>
  <c r="R29" i="2"/>
  <c r="R121" i="2"/>
  <c r="N129" i="2" l="1"/>
  <c r="N130" i="2" s="1"/>
  <c r="K34" i="2"/>
  <c r="R33" i="2"/>
  <c r="U75" i="2"/>
  <c r="Q76" i="2"/>
  <c r="U25" i="2"/>
  <c r="Q29" i="2"/>
  <c r="K135" i="2"/>
  <c r="R135" i="2" s="1"/>
  <c r="R128" i="2"/>
  <c r="U104" i="2"/>
  <c r="Q121" i="2"/>
  <c r="P129" i="2"/>
  <c r="P130" i="2" s="1"/>
  <c r="P136" i="2"/>
  <c r="P137" i="2" s="1"/>
  <c r="O129" i="2"/>
  <c r="O130" i="2" s="1"/>
  <c r="R76" i="2"/>
  <c r="U121" i="2" l="1"/>
  <c r="Q128" i="2"/>
  <c r="Q33" i="2"/>
  <c r="U29" i="2"/>
  <c r="U76" i="2"/>
  <c r="K129" i="2"/>
  <c r="K136" i="2"/>
  <c r="R34" i="2"/>
  <c r="K130" i="2" l="1"/>
  <c r="R130" i="2" s="1"/>
  <c r="R129" i="2"/>
  <c r="Q34" i="2"/>
  <c r="U33" i="2"/>
  <c r="U128" i="2"/>
  <c r="T128" i="2"/>
  <c r="Q135" i="2"/>
  <c r="K137" i="2"/>
  <c r="R137" i="2" s="1"/>
  <c r="R136" i="2"/>
  <c r="U135" i="2" l="1"/>
  <c r="T135" i="2"/>
  <c r="T98" i="2"/>
  <c r="T105" i="2"/>
  <c r="T51" i="2"/>
  <c r="T101" i="2"/>
  <c r="T93" i="2"/>
  <c r="T85" i="2"/>
  <c r="T118" i="2"/>
  <c r="T59" i="2"/>
  <c r="T123" i="2"/>
  <c r="Q129" i="2"/>
  <c r="Q136" i="2"/>
  <c r="T42" i="2"/>
  <c r="T64" i="2"/>
  <c r="T67" i="2"/>
  <c r="T56" i="2"/>
  <c r="U34" i="2"/>
  <c r="T119" i="2"/>
  <c r="T86" i="2"/>
  <c r="T68" i="2"/>
  <c r="T110" i="2"/>
  <c r="T50" i="2"/>
  <c r="T37" i="2"/>
  <c r="T94" i="2"/>
  <c r="T53" i="2"/>
  <c r="T79" i="2"/>
  <c r="T58" i="2"/>
  <c r="T80" i="2"/>
  <c r="T70" i="2"/>
  <c r="T102" i="2"/>
  <c r="T112" i="2"/>
  <c r="T87" i="2"/>
  <c r="T66" i="2"/>
  <c r="T114" i="2"/>
  <c r="T132" i="2"/>
  <c r="T126" i="2"/>
  <c r="T120" i="2"/>
  <c r="T108" i="2"/>
  <c r="T81" i="2"/>
  <c r="T124" i="2"/>
  <c r="T52" i="2"/>
  <c r="T113" i="2"/>
  <c r="T89" i="2"/>
  <c r="T57" i="2"/>
  <c r="T61" i="2"/>
  <c r="T111" i="2"/>
  <c r="T134" i="2"/>
  <c r="T133" i="2"/>
  <c r="T100" i="2"/>
  <c r="T88" i="2"/>
  <c r="T71" i="2"/>
  <c r="T65" i="2"/>
  <c r="T60" i="2"/>
  <c r="T115" i="2"/>
  <c r="T99" i="2"/>
  <c r="T69" i="2"/>
  <c r="T84" i="2"/>
  <c r="T109" i="2"/>
  <c r="T97" i="2"/>
  <c r="T38" i="2"/>
  <c r="T106" i="2"/>
  <c r="T103" i="2"/>
  <c r="T73" i="2"/>
  <c r="T107" i="2"/>
  <c r="T55" i="2"/>
  <c r="T46" i="2"/>
  <c r="T116" i="2"/>
  <c r="T72" i="2"/>
  <c r="T117" i="2"/>
  <c r="T92" i="2"/>
  <c r="T78" i="2"/>
  <c r="T62" i="2"/>
  <c r="T95" i="2"/>
  <c r="T45" i="2"/>
  <c r="T90" i="2"/>
  <c r="T39" i="2"/>
  <c r="T44" i="2"/>
  <c r="T54" i="2"/>
  <c r="T127" i="2"/>
  <c r="T82" i="2"/>
  <c r="T40" i="2"/>
  <c r="T41" i="2"/>
  <c r="T43" i="2"/>
  <c r="T47" i="2"/>
  <c r="T48" i="2"/>
  <c r="T75" i="2"/>
  <c r="T104" i="2"/>
  <c r="T121" i="2"/>
  <c r="T76" i="2"/>
  <c r="U129" i="2" l="1"/>
  <c r="Q130" i="2"/>
  <c r="U130" i="2" s="1"/>
  <c r="T129" i="2"/>
  <c r="U136" i="2"/>
  <c r="Q137" i="2"/>
  <c r="U137" i="2" s="1"/>
  <c r="T136" i="2"/>
</calcChain>
</file>

<file path=xl/sharedStrings.xml><?xml version="1.0" encoding="utf-8"?>
<sst xmlns="http://schemas.openxmlformats.org/spreadsheetml/2006/main" count="3846" uniqueCount="422">
  <si>
    <t>P&amp;L</t>
  </si>
  <si>
    <t xml:space="preserve"> </t>
  </si>
  <si>
    <t>2024 Budget</t>
  </si>
  <si>
    <t>2023
Annualized</t>
  </si>
  <si>
    <t>2023
Average</t>
  </si>
  <si>
    <t>Jan 2024
Budget</t>
  </si>
  <si>
    <t>Feb 2024
Budget</t>
  </si>
  <si>
    <t>Mar 2024
Budget</t>
  </si>
  <si>
    <t>Apr 2024
Budget</t>
  </si>
  <si>
    <t>May 2024
Budget</t>
  </si>
  <si>
    <t>Jun 2024
Budget</t>
  </si>
  <si>
    <t>Jul 2024
Budget</t>
  </si>
  <si>
    <t>Aug 2024
Budget</t>
  </si>
  <si>
    <t>Sept 2024
Budget</t>
  </si>
  <si>
    <t>Oct 2024
Budget</t>
  </si>
  <si>
    <t>Nov 2024
Budget</t>
  </si>
  <si>
    <t>Dec 2024
Budget</t>
  </si>
  <si>
    <t>2024 Total</t>
  </si>
  <si>
    <t>Average 2024</t>
  </si>
  <si>
    <t>% of Gross Profit</t>
  </si>
  <si>
    <t>% Incr/Decr from 2023 Annualized</t>
  </si>
  <si>
    <t>Census</t>
  </si>
  <si>
    <t>Detox ADC</t>
  </si>
  <si>
    <t>RTC ADC</t>
  </si>
  <si>
    <t>PHP ADC</t>
  </si>
  <si>
    <t>IOP ADC</t>
  </si>
  <si>
    <t>SOP ADC</t>
  </si>
  <si>
    <t>Aftercare ADC</t>
  </si>
  <si>
    <t>Sober Living ADC</t>
  </si>
  <si>
    <t>Total ADC</t>
  </si>
  <si>
    <t>Rates</t>
  </si>
  <si>
    <t>Detox Rate</t>
  </si>
  <si>
    <t>RTC Rate</t>
  </si>
  <si>
    <t>PHP Rate</t>
  </si>
  <si>
    <t>IOP Rate</t>
  </si>
  <si>
    <t>SOP Rate</t>
  </si>
  <si>
    <t>Sober Living Rate</t>
  </si>
  <si>
    <t>Patient Income</t>
  </si>
  <si>
    <t>40000 Inpatient Income</t>
  </si>
  <si>
    <t>41000 Outpatient Income - Owned</t>
  </si>
  <si>
    <t>41100 Outpatient Income - Affiliate</t>
  </si>
  <si>
    <t>42000 Sober Living Income</t>
  </si>
  <si>
    <t>42400 Program Fee</t>
  </si>
  <si>
    <t>Total Patient Income</t>
  </si>
  <si>
    <t>Due to IOP Mgrs</t>
  </si>
  <si>
    <t>50000 Due to IOP Managers</t>
  </si>
  <si>
    <t>Total Due to IOP Mgrs</t>
  </si>
  <si>
    <t>Total Income</t>
  </si>
  <si>
    <t/>
  </si>
  <si>
    <t>Gross Profit</t>
  </si>
  <si>
    <t>Expenses</t>
  </si>
  <si>
    <t>Labor Costs</t>
  </si>
  <si>
    <t>64610 Wages-Clinical</t>
  </si>
  <si>
    <t>64620 Wages-Executive</t>
  </si>
  <si>
    <t>64630 Wages-Nonclinical</t>
  </si>
  <si>
    <t>64700 Health Insurance</t>
  </si>
  <si>
    <t>64750 Retirement/401k</t>
  </si>
  <si>
    <t>64760 Tuition Reimbursement</t>
  </si>
  <si>
    <t>64810 Payroll Tax Exp-Clinical</t>
  </si>
  <si>
    <t>64820 Payroll Tax Exp-Executive</t>
  </si>
  <si>
    <t>64830 Payroll Tax Exp-Non-Clinical</t>
  </si>
  <si>
    <t>64900 Payroll Service Fee</t>
  </si>
  <si>
    <t>64960 HSA Expense</t>
  </si>
  <si>
    <t>Total Labor Costs</t>
  </si>
  <si>
    <t>Facility Expense</t>
  </si>
  <si>
    <t>62800 Janitorial Expense</t>
  </si>
  <si>
    <t>62850 Landscaping</t>
  </si>
  <si>
    <t>62860 Garden Expense</t>
  </si>
  <si>
    <t>62900 Pest Control</t>
  </si>
  <si>
    <t>63300 Insurance Expense</t>
  </si>
  <si>
    <t>64225 Facility Expense</t>
  </si>
  <si>
    <t>64230 Septic System Expense</t>
  </si>
  <si>
    <t>64235 Pool Expense</t>
  </si>
  <si>
    <t>66000 Repairs and Maintenance</t>
  </si>
  <si>
    <t>66500 Lease Expense</t>
  </si>
  <si>
    <t>66510 Property Tax</t>
  </si>
  <si>
    <t>66650 Equipment</t>
  </si>
  <si>
    <t>Total Facility Expense</t>
  </si>
  <si>
    <t>Utilities</t>
  </si>
  <si>
    <t>60400 Automobile Expense</t>
  </si>
  <si>
    <t>60410 Fuel and Related Automobile Exp</t>
  </si>
  <si>
    <t>60420 Automobile Insurance</t>
  </si>
  <si>
    <t>65700 Gas</t>
  </si>
  <si>
    <t>66100 Waste Management</t>
  </si>
  <si>
    <t>67300 Cable, Internet, Telephone expense</t>
  </si>
  <si>
    <t>67850 Energy</t>
  </si>
  <si>
    <t>67900 Alarms</t>
  </si>
  <si>
    <t>87870 Water</t>
  </si>
  <si>
    <t>Total Utilities</t>
  </si>
  <si>
    <t>Food</t>
  </si>
  <si>
    <t>63500 Food</t>
  </si>
  <si>
    <t>Total Food</t>
  </si>
  <si>
    <t>Patient Expense</t>
  </si>
  <si>
    <t>64250 Patient Expense</t>
  </si>
  <si>
    <t>64260 Alumni Expense</t>
  </si>
  <si>
    <t>65550 Medication</t>
  </si>
  <si>
    <t>66600 Small Medical Equipment and Supplies</t>
  </si>
  <si>
    <t>Total Patient Expense</t>
  </si>
  <si>
    <t>Travel and Entertainment Cost</t>
  </si>
  <si>
    <t>63610 Mileage</t>
  </si>
  <si>
    <t>63620 Vehicle Rental</t>
  </si>
  <si>
    <t>63630 Airfare</t>
  </si>
  <si>
    <t>63640 Lodging</t>
  </si>
  <si>
    <t>63650 Miscellaneous Travel Expense</t>
  </si>
  <si>
    <t>64300 Meals, Travel, and Entertainment</t>
  </si>
  <si>
    <t>Total Travel and Entertainment Cost</t>
  </si>
  <si>
    <t>IT Expense</t>
  </si>
  <si>
    <t>61500 MSP Professional Fees</t>
  </si>
  <si>
    <t>61700 Computer and Internet Expenses</t>
  </si>
  <si>
    <t>66800 Software and licenses</t>
  </si>
  <si>
    <t>Total IT Expense</t>
  </si>
  <si>
    <t>General and Administrative</t>
  </si>
  <si>
    <t>60600 Bank Service Charges</t>
  </si>
  <si>
    <t>60610 Bank Service Charges-WF Advisors Fund</t>
  </si>
  <si>
    <t>60650 Credit Card Fees</t>
  </si>
  <si>
    <t>60800 Business Licenses and Permits</t>
  </si>
  <si>
    <t>61300 Training</t>
  </si>
  <si>
    <t>63400 Interest Expense</t>
  </si>
  <si>
    <t>63450 Recruitment, Retention, and Strategic Development</t>
  </si>
  <si>
    <t>63800 Electronic Medical Records</t>
  </si>
  <si>
    <t>64200 Office Supplies</t>
  </si>
  <si>
    <t>65200 Postage and Delivery</t>
  </si>
  <si>
    <t>65300 Accounting Fees</t>
  </si>
  <si>
    <t>65350 Medical Director Fees</t>
  </si>
  <si>
    <t>65400 Professional Fees</t>
  </si>
  <si>
    <t>65450 Legal Fees</t>
  </si>
  <si>
    <t>62500 Dues and Subscriptions</t>
  </si>
  <si>
    <t>67000 Sponsorship/Donation</t>
  </si>
  <si>
    <t>82000 Franchise Tax</t>
  </si>
  <si>
    <t>87900 Other Expense</t>
  </si>
  <si>
    <t>88000 Bad Debt Expense</t>
  </si>
  <si>
    <t>88100 Bad Debt Collection Fees</t>
  </si>
  <si>
    <t>88850 Unrealized Gain/Loss on Investments</t>
  </si>
  <si>
    <t>88889 Interest/Dividends Investment Account</t>
  </si>
  <si>
    <t>88888 Interest Income-Loans</t>
  </si>
  <si>
    <t>88800 Other Miscellaneous Income</t>
  </si>
  <si>
    <t>Total General &amp; Administrative</t>
  </si>
  <si>
    <t>Marketing Expenses</t>
  </si>
  <si>
    <t>60200 Advertising, Promotion, and Business Development</t>
  </si>
  <si>
    <t>Total Marketing Expenses</t>
  </si>
  <si>
    <t>Revenue Adjustment</t>
  </si>
  <si>
    <t>79999 Insurance Recoupment</t>
  </si>
  <si>
    <t>Total Revenue Adjustment</t>
  </si>
  <si>
    <t>Total Expenses</t>
  </si>
  <si>
    <t>EBITDA</t>
  </si>
  <si>
    <t>EBITDA %</t>
  </si>
  <si>
    <t>Depreciation and Amortization</t>
  </si>
  <si>
    <t>62400 Depreciation Expense</t>
  </si>
  <si>
    <t>62410 Amortization Expense</t>
  </si>
  <si>
    <t>Total Depreciation &amp; Amortization</t>
  </si>
  <si>
    <t>Total Expenses + Depreciation &amp; Amortization</t>
  </si>
  <si>
    <t>EBIT</t>
  </si>
  <si>
    <t>EBIT %</t>
  </si>
  <si>
    <t>% Incr/Decr from 2022 Annualized</t>
  </si>
  <si>
    <t>Average 2023</t>
  </si>
  <si>
    <t>Billable Expense Income</t>
  </si>
  <si>
    <t>Client Refunds</t>
  </si>
  <si>
    <t>Inpatient Income</t>
  </si>
  <si>
    <t>Markup</t>
  </si>
  <si>
    <t>Outpatient Income - Affiliate</t>
  </si>
  <si>
    <t>Outpatient Income - Owned</t>
  </si>
  <si>
    <t>Program Fee</t>
  </si>
  <si>
    <t>Refunds</t>
  </si>
  <si>
    <t>Sales</t>
  </si>
  <si>
    <t>Sales of Product Income</t>
  </si>
  <si>
    <t>Sober Living Income</t>
  </si>
  <si>
    <t>Unapplied Cash Payment Income</t>
  </si>
  <si>
    <t>Uncategorized Income</t>
  </si>
  <si>
    <t>Cost of Goods Sold</t>
  </si>
  <si>
    <t>Due to IOP Managers</t>
  </si>
  <si>
    <t>Accounting Fees</t>
  </si>
  <si>
    <t>Advertising, Promotion, and Business Development</t>
  </si>
  <si>
    <t>Airfare</t>
  </si>
  <si>
    <t>Alarms</t>
  </si>
  <si>
    <t>Alumni Expense</t>
  </si>
  <si>
    <t>Amortization Expense</t>
  </si>
  <si>
    <t>Automobile Expense</t>
  </si>
  <si>
    <t>Automobile Insurance</t>
  </si>
  <si>
    <t>Bad Debt Collection Fees</t>
  </si>
  <si>
    <t>Bad Debt Expense</t>
  </si>
  <si>
    <t>Bank Service Charges</t>
  </si>
  <si>
    <t>Bank Service Charges-WF Advisors Fund</t>
  </si>
  <si>
    <t>Business Licenses and Permits</t>
  </si>
  <si>
    <t>Cable, Internet, Telephone expense</t>
  </si>
  <si>
    <t>Computer and Internet Expenses</t>
  </si>
  <si>
    <t>Continuing Education</t>
  </si>
  <si>
    <t>Credit Card Fees</t>
  </si>
  <si>
    <t>Depreciation Expense</t>
  </si>
  <si>
    <t>DO NOT USE Dues &amp; Subscriptions</t>
  </si>
  <si>
    <t>Dues and Subscriptions</t>
  </si>
  <si>
    <t>Electronic Medical Records</t>
  </si>
  <si>
    <t>Energy</t>
  </si>
  <si>
    <t>Equipment</t>
  </si>
  <si>
    <t>Facility Insurance</t>
  </si>
  <si>
    <t>Franchise Tax</t>
  </si>
  <si>
    <t>Fuel and Related Automobile Exp</t>
  </si>
  <si>
    <t>Garden Expense</t>
  </si>
  <si>
    <t>Garnishment/Child Support</t>
  </si>
  <si>
    <t>Gas</t>
  </si>
  <si>
    <t>Health Insurance</t>
  </si>
  <si>
    <t>HSA Expense</t>
  </si>
  <si>
    <t>Insurance Expense</t>
  </si>
  <si>
    <t>Insurance Recoupment</t>
  </si>
  <si>
    <t>Interest Expense</t>
  </si>
  <si>
    <t>IOP Manager Fees</t>
  </si>
  <si>
    <t>Janitorial Expense</t>
  </si>
  <si>
    <t>Landscaping</t>
  </si>
  <si>
    <t>Lease Expense</t>
  </si>
  <si>
    <t>Legal Fees</t>
  </si>
  <si>
    <t>Lodging</t>
  </si>
  <si>
    <t>Management Fee</t>
  </si>
  <si>
    <t>Meals, Travel, and Entertainment</t>
  </si>
  <si>
    <t>Medical Director Fees</t>
  </si>
  <si>
    <t>Medication</t>
  </si>
  <si>
    <t>Mileage</t>
  </si>
  <si>
    <t>Miscellaneous Travel Expense</t>
  </si>
  <si>
    <t>MSP Professional Fees</t>
  </si>
  <si>
    <t>Office Supplies</t>
  </si>
  <si>
    <t>Office Supplies &amp; Software</t>
  </si>
  <si>
    <t>Payroll Expenses</t>
  </si>
  <si>
    <t>Payroll Service Fee</t>
  </si>
  <si>
    <t>Payroll Tax Exp-Clinical</t>
  </si>
  <si>
    <t>Payroll Tax Exp-Executive</t>
  </si>
  <si>
    <t>Payroll Tax Exp-Non-Clinical</t>
  </si>
  <si>
    <t>Payroll Taxes</t>
  </si>
  <si>
    <t>Pest Control</t>
  </si>
  <si>
    <t>Pool Expense</t>
  </si>
  <si>
    <t>Postage and Delivery</t>
  </si>
  <si>
    <t>Professional Fees</t>
  </si>
  <si>
    <t>Property Tax</t>
  </si>
  <si>
    <t>Purchases</t>
  </si>
  <si>
    <t>Recruitment, Retention, and Strategic Development</t>
  </si>
  <si>
    <t>Repairs and Maintenance</t>
  </si>
  <si>
    <t>Retirement/401k</t>
  </si>
  <si>
    <t>Septic System Expense</t>
  </si>
  <si>
    <t>SM Payroll reimb</t>
  </si>
  <si>
    <t>Small Medical Equipment and Supplies</t>
  </si>
  <si>
    <t>Software and Licenses</t>
  </si>
  <si>
    <t>Sponsorship/Donation</t>
  </si>
  <si>
    <t>Telephone Expense</t>
  </si>
  <si>
    <t>Training</t>
  </si>
  <si>
    <t>Tuition Reimbursement</t>
  </si>
  <si>
    <t>Unapplied Cash Bill Payment Expense</t>
  </si>
  <si>
    <t>Uncategorized Expense</t>
  </si>
  <si>
    <t>Vehicle Rental</t>
  </si>
  <si>
    <t>Wages-Clinical</t>
  </si>
  <si>
    <t>Wages-Executive</t>
  </si>
  <si>
    <t>Wages-Nonclinical</t>
  </si>
  <si>
    <t>Waste Management</t>
  </si>
  <si>
    <t>Water</t>
  </si>
  <si>
    <t>Interest Income-Loans</t>
  </si>
  <si>
    <t>Interest/Dividends Investment Account</t>
  </si>
  <si>
    <t>Other Miscellaneous Income</t>
  </si>
  <si>
    <t>Unrealized Gain/Loss on Investments</t>
  </si>
  <si>
    <t>Ask George</t>
  </si>
  <si>
    <t>Other Expense</t>
  </si>
  <si>
    <t>Ask My Accountant</t>
  </si>
  <si>
    <t>Reconciliation Discrepancies</t>
  </si>
  <si>
    <t>103</t>
  </si>
  <si>
    <t>34</t>
  </si>
  <si>
    <t>107</t>
  </si>
  <si>
    <t>145</t>
  </si>
  <si>
    <t>193</t>
  </si>
  <si>
    <t>175</t>
  </si>
  <si>
    <t>62</t>
  </si>
  <si>
    <t>53</t>
  </si>
  <si>
    <t>35</t>
  </si>
  <si>
    <t>124</t>
  </si>
  <si>
    <t>206</t>
  </si>
  <si>
    <t>198</t>
  </si>
  <si>
    <t>36</t>
  </si>
  <si>
    <t>197</t>
  </si>
  <si>
    <t>81</t>
  </si>
  <si>
    <t>37</t>
  </si>
  <si>
    <t>108</t>
  </si>
  <si>
    <t>217</t>
  </si>
  <si>
    <t>38</t>
  </si>
  <si>
    <t>39</t>
  </si>
  <si>
    <t>89</t>
  </si>
  <si>
    <t>93</t>
  </si>
  <si>
    <t>40</t>
  </si>
  <si>
    <t>161</t>
  </si>
  <si>
    <t>33</t>
  </si>
  <si>
    <t>41</t>
  </si>
  <si>
    <t>102</t>
  </si>
  <si>
    <t>144</t>
  </si>
  <si>
    <t>166</t>
  </si>
  <si>
    <t>130</t>
  </si>
  <si>
    <t>120</t>
  </si>
  <si>
    <t>127</t>
  </si>
  <si>
    <t>146</t>
  </si>
  <si>
    <t>123</t>
  </si>
  <si>
    <t>210</t>
  </si>
  <si>
    <t>138</t>
  </si>
  <si>
    <t>141</t>
  </si>
  <si>
    <t>135</t>
  </si>
  <si>
    <t>139</t>
  </si>
  <si>
    <t>122</t>
  </si>
  <si>
    <t>42</t>
  </si>
  <si>
    <t>104</t>
  </si>
  <si>
    <t>43</t>
  </si>
  <si>
    <t>202</t>
  </si>
  <si>
    <t>203</t>
  </si>
  <si>
    <t>80</t>
  </si>
  <si>
    <t>125</t>
  </si>
  <si>
    <t>99</t>
  </si>
  <si>
    <t>49</t>
  </si>
  <si>
    <t>101</t>
  </si>
  <si>
    <t>115</t>
  </si>
  <si>
    <t>92</t>
  </si>
  <si>
    <t>64</t>
  </si>
  <si>
    <t>44</t>
  </si>
  <si>
    <t>109</t>
  </si>
  <si>
    <t>140</t>
  </si>
  <si>
    <t>105</t>
  </si>
  <si>
    <t>129</t>
  </si>
  <si>
    <t>174</t>
  </si>
  <si>
    <t>45</t>
  </si>
  <si>
    <t>218</t>
  </si>
  <si>
    <t>171</t>
  </si>
  <si>
    <t>184</t>
  </si>
  <si>
    <t>183</t>
  </si>
  <si>
    <t>75</t>
  </si>
  <si>
    <t>131</t>
  </si>
  <si>
    <t>60</t>
  </si>
  <si>
    <t>137</t>
  </si>
  <si>
    <t>180</t>
  </si>
  <si>
    <t>181</t>
  </si>
  <si>
    <t>182</t>
  </si>
  <si>
    <t>121</t>
  </si>
  <si>
    <t>126</t>
  </si>
  <si>
    <t>192</t>
  </si>
  <si>
    <t>46</t>
  </si>
  <si>
    <t>48</t>
  </si>
  <si>
    <t>32</t>
  </si>
  <si>
    <t>143</t>
  </si>
  <si>
    <t>69</t>
  </si>
  <si>
    <t>97</t>
  </si>
  <si>
    <t>106</t>
  </si>
  <si>
    <t>216</t>
  </si>
  <si>
    <t>50</t>
  </si>
  <si>
    <t>136</t>
  </si>
  <si>
    <t>63</t>
  </si>
  <si>
    <t>70</t>
  </si>
  <si>
    <t>191</t>
  </si>
  <si>
    <t>100</t>
  </si>
  <si>
    <t>47</t>
  </si>
  <si>
    <t>65</t>
  </si>
  <si>
    <t>96</t>
  </si>
  <si>
    <t>91</t>
  </si>
  <si>
    <t>51</t>
  </si>
  <si>
    <t>94</t>
  </si>
  <si>
    <t>170</t>
  </si>
  <si>
    <t>90</t>
  </si>
  <si>
    <t>77</t>
  </si>
  <si>
    <t>66</t>
  </si>
  <si>
    <t>188</t>
  </si>
  <si>
    <t>199</t>
  </si>
  <si>
    <t>52</t>
  </si>
  <si>
    <t>128</t>
  </si>
  <si>
    <t>132</t>
  </si>
  <si>
    <t>133</t>
  </si>
  <si>
    <t>134</t>
  </si>
  <si>
    <t>142</t>
  </si>
  <si>
    <t>147</t>
  </si>
  <si>
    <t>Dallas</t>
  </si>
  <si>
    <t>Garden Oaks</t>
  </si>
  <si>
    <t>Hill Country</t>
  </si>
  <si>
    <t>Montrose</t>
  </si>
  <si>
    <t>Austin</t>
  </si>
  <si>
    <t>Cinco Ranch</t>
  </si>
  <si>
    <t>Clear Lake</t>
  </si>
  <si>
    <t>Conroe</t>
  </si>
  <si>
    <t>Energy Corridor</t>
  </si>
  <si>
    <t>Galleria</t>
  </si>
  <si>
    <t>Humble</t>
  </si>
  <si>
    <t>Jersey Village</t>
  </si>
  <si>
    <t>North Loop</t>
  </si>
  <si>
    <t>Pasadena</t>
  </si>
  <si>
    <t>Round Rock</t>
  </si>
  <si>
    <t>San Antonio</t>
  </si>
  <si>
    <t>San Marcos</t>
  </si>
  <si>
    <t>Sugar Land</t>
  </si>
  <si>
    <t>Woodlands</t>
  </si>
  <si>
    <t>Notes</t>
  </si>
  <si>
    <t>Admin Cost Center</t>
  </si>
  <si>
    <t>Increased due to 1 additional FTE (UR Specialist)</t>
  </si>
  <si>
    <t>See payroll 2024 tab for details</t>
  </si>
  <si>
    <t>Increased due to 6 additional FTE (Admissions Specialist, Compliance, Collector, RCM, Community Liaison)</t>
  </si>
  <si>
    <t>5.90% of total wages / Increased because of additional FTE during 2023</t>
  </si>
  <si>
    <t>1.75% of total wages</t>
  </si>
  <si>
    <t>Bumped up due to increase in reimbursement + budget for LCDC training through University</t>
  </si>
  <si>
    <t>7.86% of Wages - Clinical</t>
  </si>
  <si>
    <t>7.86% of Wages - Executive</t>
  </si>
  <si>
    <t>7.86% of Wages - Non-Clinical</t>
  </si>
  <si>
    <t>.5% of Wages for ALL Locations</t>
  </si>
  <si>
    <t>.8% of total wages (factors in current enrollees + small % for future enrollees)</t>
  </si>
  <si>
    <t>Based on 2024 Estimate</t>
  </si>
  <si>
    <t>Based on 2023 actuals</t>
  </si>
  <si>
    <t>Based on Renewal Premium</t>
  </si>
  <si>
    <t>Based on estimate</t>
  </si>
  <si>
    <t xml:space="preserve">Posting Error </t>
  </si>
  <si>
    <t>Based on 2023 actuals, actuals had miscoded expense in it</t>
  </si>
  <si>
    <t>Posting Error</t>
  </si>
  <si>
    <t>Based on 2023 actuals + slight increase for increase in Alumni expense</t>
  </si>
  <si>
    <t>Based on 2022 actuals, actuals had miscoded expense in it</t>
  </si>
  <si>
    <t>Need estimates from Paul</t>
  </si>
  <si>
    <t>Based on 2024 Estimate (Not using AMEX as much)</t>
  </si>
  <si>
    <t>Based on 2024 Estimate due to an increase in trade activity</t>
  </si>
  <si>
    <t>Posting Error / Admin doesn't usually have CC fee's</t>
  </si>
  <si>
    <t>Increased due to 2023 JC Fee</t>
  </si>
  <si>
    <t>Includes Training for IOP at $40 x's 15 (In 2024 illback IOP's over 2 users)</t>
  </si>
  <si>
    <t xml:space="preserve">Based on estimate due to WF LOC </t>
  </si>
  <si>
    <t>Based on Estimate</t>
  </si>
  <si>
    <t>Based on Census</t>
  </si>
  <si>
    <t>Based on 2023 actuals + Loren Stark Miscoded / Professional Fee</t>
  </si>
  <si>
    <t>Based on 2024 Estimated (should be less during 2024) David James, Innovative Legal (e-Filing), E-Advisors)</t>
  </si>
  <si>
    <t>75k Annual and need to post all entities to Admin.</t>
  </si>
  <si>
    <t xml:space="preserve">Should be posted against unrealized profit on Balance Sheet </t>
  </si>
  <si>
    <t>SocialtyPro is going away  / Excludes SEO Exp.</t>
  </si>
  <si>
    <t>Not budgeting to this account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</si>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</sst>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0.0%"/>
    <numFmt numFmtId="166" formatCode="&quot;$&quot;#,##0"/>
    <numFmt numFmtId="167" formatCode="&quot;$&quot;#,##0.00"/>
    <numFmt numFmtId="168" formatCode="_(* #,##0_);_(* \(#,##0\);_(* &quot;-&quot;??_);_(@_)"/>
    <numFmt numFmtId="169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b/>
      <sz val="9"/>
      <color theme="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.85"/>
      <color rgb="FF000000"/>
      <name val="Arial"/>
      <family val="2"/>
    </font>
    <font>
      <b/>
      <i/>
      <sz val="8"/>
      <color indexed="8"/>
      <name val="Arial"/>
      <family val="2"/>
    </font>
    <font>
      <i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sz val="8"/>
      <color theme="0"/>
      <name val="Arial"/>
      <family val="2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/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thin">
        <color auto="1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 style="thin">
        <color auto="1"/>
      </top>
      <bottom style="medium">
        <color theme="0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Alignment="0"/>
    <xf numFmtId="0" fontId="1" fillId="0" borderId="0"/>
    <xf numFmtId="169" fontId="1" fillId="0" borderId="0" applyFont="0" applyFill="0" applyBorder="0" applyAlignment="0" applyProtection="0"/>
    <xf numFmtId="0" fontId="21" fillId="0" borderId="0"/>
    <xf numFmtId="0" fontId="22" fillId="0" borderId="0"/>
  </cellStyleXfs>
  <cellXfs count="405">
    <xf numFmtId="0" fontId="0" fillId="0" borderId="0" xfId="0"/>
    <xf numFmtId="0" fontId="6" fillId="0" borderId="0" xfId="0" applyFont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3" fillId="0" borderId="0" xfId="0" applyFont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8" fillId="0" borderId="6" xfId="0" quotePrefix="1" applyFont="1" applyBorder="1" applyAlignment="1">
      <alignment horizontal="center" wrapText="1"/>
    </xf>
    <xf numFmtId="0" fontId="8" fillId="0" borderId="7" xfId="0" quotePrefix="1" applyFont="1" applyBorder="1" applyAlignment="1">
      <alignment horizontal="center" wrapText="1"/>
    </xf>
    <xf numFmtId="0" fontId="8" fillId="0" borderId="8" xfId="0" quotePrefix="1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9" fillId="0" borderId="0" xfId="0" applyFont="1" applyAlignment="1">
      <alignment horizontal="left" wrapText="1"/>
    </xf>
    <xf numFmtId="164" fontId="9" fillId="0" borderId="11" xfId="0" applyNumberFormat="1" applyFont="1" applyBorder="1" applyAlignment="1">
      <alignment horizontal="right" wrapText="1"/>
    </xf>
    <xf numFmtId="164" fontId="9" fillId="0" borderId="12" xfId="0" applyNumberFormat="1" applyFont="1" applyBorder="1" applyAlignment="1">
      <alignment horizontal="right" wrapText="1"/>
    </xf>
    <xf numFmtId="164" fontId="9" fillId="0" borderId="0" xfId="0" applyNumberFormat="1" applyFont="1" applyAlignment="1">
      <alignment horizontal="right" wrapText="1"/>
    </xf>
    <xf numFmtId="43" fontId="9" fillId="0" borderId="0" xfId="1" applyFont="1" applyFill="1" applyAlignment="1">
      <alignment horizontal="right" wrapText="1"/>
    </xf>
    <xf numFmtId="43" fontId="9" fillId="0" borderId="13" xfId="1" applyFont="1" applyFill="1" applyBorder="1" applyAlignment="1">
      <alignment horizontal="right" wrapText="1"/>
    </xf>
    <xf numFmtId="165" fontId="9" fillId="2" borderId="13" xfId="3" applyNumberFormat="1" applyFont="1" applyFill="1" applyBorder="1" applyAlignment="1">
      <alignment horizontal="right" wrapText="1"/>
    </xf>
    <xf numFmtId="165" fontId="9" fillId="0" borderId="13" xfId="3" applyNumberFormat="1" applyFont="1" applyFill="1" applyBorder="1" applyAlignment="1">
      <alignment horizontal="right" wrapText="1"/>
    </xf>
    <xf numFmtId="43" fontId="0" fillId="0" borderId="0" xfId="1" applyFont="1"/>
    <xf numFmtId="9" fontId="0" fillId="0" borderId="0" xfId="3" applyFont="1"/>
    <xf numFmtId="0" fontId="10" fillId="0" borderId="0" xfId="0" applyFont="1" applyAlignment="1">
      <alignment horizontal="left" wrapText="1"/>
    </xf>
    <xf numFmtId="43" fontId="10" fillId="0" borderId="14" xfId="1" applyFont="1" applyBorder="1" applyAlignment="1">
      <alignment horizontal="right" wrapText="1"/>
    </xf>
    <xf numFmtId="43" fontId="10" fillId="0" borderId="15" xfId="1" applyFont="1" applyBorder="1" applyAlignment="1">
      <alignment horizontal="right" wrapText="1"/>
    </xf>
    <xf numFmtId="43" fontId="10" fillId="0" borderId="16" xfId="1" applyFont="1" applyBorder="1" applyAlignment="1">
      <alignment horizontal="right" wrapText="1"/>
    </xf>
    <xf numFmtId="43" fontId="10" fillId="0" borderId="17" xfId="1" applyFont="1" applyBorder="1" applyAlignment="1">
      <alignment horizontal="right" wrapText="1"/>
    </xf>
    <xf numFmtId="165" fontId="10" fillId="2" borderId="17" xfId="3" applyNumberFormat="1" applyFont="1" applyFill="1" applyBorder="1" applyAlignment="1">
      <alignment horizontal="right" wrapText="1"/>
    </xf>
    <xf numFmtId="165" fontId="10" fillId="0" borderId="17" xfId="3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8" fillId="0" borderId="11" xfId="0" quotePrefix="1" applyFont="1" applyBorder="1" applyAlignment="1">
      <alignment horizontal="center" wrapText="1"/>
    </xf>
    <xf numFmtId="0" fontId="8" fillId="0" borderId="12" xfId="0" quotePrefix="1" applyFont="1" applyBorder="1" applyAlignment="1">
      <alignment horizontal="center" wrapText="1"/>
    </xf>
    <xf numFmtId="0" fontId="8" fillId="0" borderId="0" xfId="0" quotePrefix="1" applyFont="1" applyAlignment="1">
      <alignment horizontal="center" wrapText="1"/>
    </xf>
    <xf numFmtId="17" fontId="8" fillId="0" borderId="0" xfId="0" quotePrefix="1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165" fontId="8" fillId="0" borderId="13" xfId="3" quotePrefix="1" applyNumberFormat="1" applyFont="1" applyFill="1" applyBorder="1" applyAlignment="1">
      <alignment horizontal="center" wrapText="1"/>
    </xf>
    <xf numFmtId="166" fontId="9" fillId="2" borderId="11" xfId="2" applyNumberFormat="1" applyFont="1" applyFill="1" applyBorder="1" applyAlignment="1">
      <alignment horizontal="right" wrapText="1"/>
    </xf>
    <xf numFmtId="166" fontId="9" fillId="2" borderId="12" xfId="2" applyNumberFormat="1" applyFont="1" applyFill="1" applyBorder="1" applyAlignment="1">
      <alignment horizontal="right" wrapText="1"/>
    </xf>
    <xf numFmtId="166" fontId="9" fillId="0" borderId="0" xfId="2" applyNumberFormat="1" applyFont="1" applyFill="1" applyAlignment="1">
      <alignment horizontal="right" wrapText="1"/>
    </xf>
    <xf numFmtId="166" fontId="9" fillId="0" borderId="13" xfId="2" applyNumberFormat="1" applyFont="1" applyFill="1" applyBorder="1" applyAlignment="1">
      <alignment horizontal="right" wrapText="1"/>
    </xf>
    <xf numFmtId="0" fontId="11" fillId="0" borderId="0" xfId="4"/>
    <xf numFmtId="43" fontId="11" fillId="0" borderId="0" xfId="1" applyFont="1"/>
    <xf numFmtId="166" fontId="9" fillId="0" borderId="11" xfId="2" applyNumberFormat="1" applyFont="1" applyFill="1" applyBorder="1" applyAlignment="1">
      <alignment horizontal="right" wrapText="1"/>
    </xf>
    <xf numFmtId="166" fontId="9" fillId="0" borderId="12" xfId="2" applyNumberFormat="1" applyFont="1" applyFill="1" applyBorder="1" applyAlignment="1">
      <alignment horizontal="right" wrapText="1"/>
    </xf>
    <xf numFmtId="0" fontId="11" fillId="0" borderId="13" xfId="4" applyBorder="1"/>
    <xf numFmtId="167" fontId="11" fillId="0" borderId="0" xfId="4" applyNumberFormat="1"/>
    <xf numFmtId="165" fontId="11" fillId="0" borderId="13" xfId="3" applyNumberFormat="1" applyFont="1" applyBorder="1"/>
    <xf numFmtId="0" fontId="10" fillId="0" borderId="11" xfId="0" applyFont="1" applyBorder="1" applyAlignment="1">
      <alignment horizontal="left" wrapText="1"/>
    </xf>
    <xf numFmtId="0" fontId="10" fillId="0" borderId="12" xfId="0" applyFont="1" applyBorder="1" applyAlignment="1">
      <alignment horizontal="left" wrapText="1"/>
    </xf>
    <xf numFmtId="164" fontId="9" fillId="0" borderId="0" xfId="0" applyNumberFormat="1" applyFont="1" applyAlignment="1">
      <alignment wrapText="1"/>
    </xf>
    <xf numFmtId="164" fontId="9" fillId="0" borderId="13" xfId="0" applyNumberFormat="1" applyFont="1" applyBorder="1" applyAlignment="1">
      <alignment wrapText="1"/>
    </xf>
    <xf numFmtId="165" fontId="9" fillId="0" borderId="13" xfId="3" applyNumberFormat="1" applyFont="1" applyBorder="1" applyAlignment="1">
      <alignment wrapText="1"/>
    </xf>
    <xf numFmtId="168" fontId="9" fillId="0" borderId="11" xfId="1" applyNumberFormat="1" applyFont="1" applyFill="1" applyBorder="1" applyAlignment="1">
      <alignment wrapText="1"/>
    </xf>
    <xf numFmtId="168" fontId="9" fillId="0" borderId="12" xfId="1" applyNumberFormat="1" applyFont="1" applyFill="1" applyBorder="1" applyAlignment="1">
      <alignment wrapText="1"/>
    </xf>
    <xf numFmtId="168" fontId="9" fillId="0" borderId="0" xfId="1" applyNumberFormat="1" applyFont="1" applyFill="1" applyAlignment="1">
      <alignment wrapText="1"/>
    </xf>
    <xf numFmtId="168" fontId="9" fillId="0" borderId="0" xfId="1" applyNumberFormat="1" applyFont="1" applyFill="1" applyAlignment="1">
      <alignment horizontal="right" wrapText="1"/>
    </xf>
    <xf numFmtId="168" fontId="9" fillId="0" borderId="13" xfId="1" applyNumberFormat="1" applyFont="1" applyFill="1" applyBorder="1" applyAlignment="1">
      <alignment horizontal="right" wrapText="1"/>
    </xf>
    <xf numFmtId="165" fontId="9" fillId="2" borderId="13" xfId="3" applyNumberFormat="1" applyFont="1" applyFill="1" applyBorder="1" applyAlignment="1">
      <alignment wrapText="1"/>
    </xf>
    <xf numFmtId="165" fontId="9" fillId="0" borderId="13" xfId="3" applyNumberFormat="1" applyFont="1" applyFill="1" applyBorder="1" applyAlignment="1">
      <alignment wrapText="1"/>
    </xf>
    <xf numFmtId="0" fontId="12" fillId="0" borderId="0" xfId="0" applyFont="1" applyAlignment="1">
      <alignment horizontal="right" wrapText="1"/>
    </xf>
    <xf numFmtId="168" fontId="12" fillId="0" borderId="11" xfId="1" applyNumberFormat="1" applyFont="1" applyBorder="1" applyAlignment="1">
      <alignment wrapText="1"/>
    </xf>
    <xf numFmtId="168" fontId="12" fillId="0" borderId="12" xfId="1" applyNumberFormat="1" applyFont="1" applyBorder="1" applyAlignment="1">
      <alignment wrapText="1"/>
    </xf>
    <xf numFmtId="168" fontId="12" fillId="0" borderId="0" xfId="1" applyNumberFormat="1" applyFont="1" applyBorder="1" applyAlignment="1">
      <alignment wrapText="1"/>
    </xf>
    <xf numFmtId="168" fontId="12" fillId="0" borderId="13" xfId="1" applyNumberFormat="1" applyFont="1" applyBorder="1" applyAlignment="1">
      <alignment wrapText="1"/>
    </xf>
    <xf numFmtId="165" fontId="12" fillId="2" borderId="13" xfId="3" applyNumberFormat="1" applyFont="1" applyFill="1" applyBorder="1" applyAlignment="1">
      <alignment wrapText="1"/>
    </xf>
    <xf numFmtId="165" fontId="12" fillId="0" borderId="13" xfId="3" applyNumberFormat="1" applyFont="1" applyBorder="1" applyAlignment="1">
      <alignment wrapText="1"/>
    </xf>
    <xf numFmtId="0" fontId="13" fillId="0" borderId="0" xfId="0" applyFont="1"/>
    <xf numFmtId="168" fontId="12" fillId="0" borderId="14" xfId="1" applyNumberFormat="1" applyFont="1" applyBorder="1" applyAlignment="1">
      <alignment horizontal="right" wrapText="1"/>
    </xf>
    <xf numFmtId="168" fontId="12" fillId="0" borderId="15" xfId="1" applyNumberFormat="1" applyFont="1" applyBorder="1" applyAlignment="1">
      <alignment horizontal="right" wrapText="1"/>
    </xf>
    <xf numFmtId="168" fontId="12" fillId="0" borderId="16" xfId="1" applyNumberFormat="1" applyFont="1" applyBorder="1" applyAlignment="1">
      <alignment horizontal="right" wrapText="1"/>
    </xf>
    <xf numFmtId="168" fontId="12" fillId="0" borderId="17" xfId="1" applyNumberFormat="1" applyFont="1" applyBorder="1" applyAlignment="1">
      <alignment horizontal="right" wrapText="1"/>
    </xf>
    <xf numFmtId="165" fontId="12" fillId="2" borderId="17" xfId="3" applyNumberFormat="1" applyFont="1" applyFill="1" applyBorder="1" applyAlignment="1">
      <alignment horizontal="right" wrapText="1"/>
    </xf>
    <xf numFmtId="165" fontId="12" fillId="0" borderId="17" xfId="3" applyNumberFormat="1" applyFont="1" applyBorder="1" applyAlignment="1">
      <alignment horizontal="right" wrapText="1"/>
    </xf>
    <xf numFmtId="168" fontId="13" fillId="0" borderId="0" xfId="0" applyNumberFormat="1" applyFont="1"/>
    <xf numFmtId="0" fontId="10" fillId="0" borderId="0" xfId="0" applyFont="1" applyAlignment="1">
      <alignment horizontal="right" wrapText="1"/>
    </xf>
    <xf numFmtId="168" fontId="10" fillId="0" borderId="14" xfId="1" applyNumberFormat="1" applyFont="1" applyBorder="1" applyAlignment="1">
      <alignment horizontal="right" wrapText="1"/>
    </xf>
    <xf numFmtId="168" fontId="10" fillId="0" borderId="15" xfId="1" applyNumberFormat="1" applyFont="1" applyBorder="1" applyAlignment="1">
      <alignment horizontal="right" wrapText="1"/>
    </xf>
    <xf numFmtId="168" fontId="10" fillId="0" borderId="16" xfId="1" applyNumberFormat="1" applyFont="1" applyBorder="1" applyAlignment="1">
      <alignment horizontal="right" wrapText="1"/>
    </xf>
    <xf numFmtId="168" fontId="10" fillId="0" borderId="17" xfId="1" applyNumberFormat="1" applyFont="1" applyBorder="1" applyAlignment="1">
      <alignment horizontal="right" wrapText="1"/>
    </xf>
    <xf numFmtId="43" fontId="9" fillId="0" borderId="11" xfId="1" applyFont="1" applyBorder="1" applyAlignment="1">
      <alignment wrapText="1"/>
    </xf>
    <xf numFmtId="43" fontId="9" fillId="0" borderId="12" xfId="1" applyFont="1" applyBorder="1" applyAlignment="1">
      <alignment wrapText="1"/>
    </xf>
    <xf numFmtId="43" fontId="9" fillId="0" borderId="0" xfId="1" applyFont="1" applyAlignment="1">
      <alignment wrapText="1"/>
    </xf>
    <xf numFmtId="43" fontId="10" fillId="0" borderId="0" xfId="1" applyFont="1" applyAlignment="1">
      <alignment horizontal="left" wrapText="1"/>
    </xf>
    <xf numFmtId="43" fontId="9" fillId="0" borderId="13" xfId="1" applyFont="1" applyBorder="1" applyAlignment="1">
      <alignment wrapText="1"/>
    </xf>
    <xf numFmtId="168" fontId="10" fillId="0" borderId="0" xfId="0" applyNumberFormat="1" applyFont="1" applyAlignment="1">
      <alignment horizontal="left" wrapText="1"/>
    </xf>
    <xf numFmtId="168" fontId="9" fillId="0" borderId="13" xfId="1" applyNumberFormat="1" applyFont="1" applyFill="1" applyBorder="1" applyAlignment="1">
      <alignment wrapText="1"/>
    </xf>
    <xf numFmtId="0" fontId="9" fillId="3" borderId="0" xfId="0" applyFont="1" applyFill="1" applyAlignment="1">
      <alignment horizontal="left" wrapText="1"/>
    </xf>
    <xf numFmtId="168" fontId="10" fillId="0" borderId="11" xfId="1" applyNumberFormat="1" applyFont="1" applyFill="1" applyBorder="1" applyAlignment="1">
      <alignment wrapText="1"/>
    </xf>
    <xf numFmtId="168" fontId="10" fillId="0" borderId="12" xfId="1" applyNumberFormat="1" applyFont="1" applyFill="1" applyBorder="1" applyAlignment="1">
      <alignment wrapText="1"/>
    </xf>
    <xf numFmtId="168" fontId="10" fillId="0" borderId="0" xfId="1" applyNumberFormat="1" applyFont="1" applyFill="1" applyAlignment="1">
      <alignment wrapText="1"/>
    </xf>
    <xf numFmtId="168" fontId="10" fillId="0" borderId="13" xfId="1" applyNumberFormat="1" applyFont="1" applyFill="1" applyBorder="1" applyAlignment="1">
      <alignment wrapText="1"/>
    </xf>
    <xf numFmtId="9" fontId="10" fillId="0" borderId="0" xfId="3" applyFont="1" applyFill="1" applyBorder="1" applyAlignment="1">
      <alignment wrapText="1"/>
    </xf>
    <xf numFmtId="165" fontId="10" fillId="0" borderId="13" xfId="3" applyNumberFormat="1" applyFont="1" applyFill="1" applyBorder="1" applyAlignment="1">
      <alignment wrapText="1"/>
    </xf>
    <xf numFmtId="168" fontId="9" fillId="0" borderId="11" xfId="1" applyNumberFormat="1" applyFont="1" applyBorder="1" applyAlignment="1">
      <alignment wrapText="1"/>
    </xf>
    <xf numFmtId="168" fontId="9" fillId="0" borderId="12" xfId="1" applyNumberFormat="1" applyFont="1" applyBorder="1" applyAlignment="1">
      <alignment wrapText="1"/>
    </xf>
    <xf numFmtId="168" fontId="9" fillId="0" borderId="0" xfId="1" applyNumberFormat="1" applyFont="1" applyAlignment="1">
      <alignment wrapText="1"/>
    </xf>
    <xf numFmtId="168" fontId="10" fillId="0" borderId="0" xfId="1" applyNumberFormat="1" applyFont="1" applyAlignment="1">
      <alignment horizontal="left" wrapText="1"/>
    </xf>
    <xf numFmtId="9" fontId="9" fillId="0" borderId="0" xfId="3" applyFont="1" applyAlignment="1">
      <alignment wrapText="1"/>
    </xf>
    <xf numFmtId="168" fontId="9" fillId="0" borderId="13" xfId="1" applyNumberFormat="1" applyFont="1" applyBorder="1" applyAlignment="1">
      <alignment wrapText="1"/>
    </xf>
    <xf numFmtId="168" fontId="9" fillId="0" borderId="11" xfId="1" applyNumberFormat="1" applyFont="1" applyBorder="1" applyAlignment="1">
      <alignment horizontal="right" wrapText="1"/>
    </xf>
    <xf numFmtId="168" fontId="9" fillId="0" borderId="12" xfId="1" applyNumberFormat="1" applyFont="1" applyBorder="1" applyAlignment="1">
      <alignment horizontal="right" wrapText="1"/>
    </xf>
    <xf numFmtId="168" fontId="9" fillId="0" borderId="0" xfId="1" applyNumberFormat="1" applyFont="1" applyAlignment="1">
      <alignment horizontal="right" wrapText="1"/>
    </xf>
    <xf numFmtId="168" fontId="9" fillId="0" borderId="13" xfId="1" applyNumberFormat="1" applyFont="1" applyBorder="1" applyAlignment="1">
      <alignment horizontal="right" wrapText="1"/>
    </xf>
    <xf numFmtId="165" fontId="9" fillId="0" borderId="13" xfId="3" applyNumberFormat="1" applyFont="1" applyBorder="1" applyAlignment="1">
      <alignment horizontal="right" wrapText="1"/>
    </xf>
    <xf numFmtId="168" fontId="12" fillId="0" borderId="11" xfId="1" applyNumberFormat="1" applyFont="1" applyFill="1" applyBorder="1" applyAlignment="1">
      <alignment horizontal="right" wrapText="1"/>
    </xf>
    <xf numFmtId="168" fontId="12" fillId="0" borderId="12" xfId="1" applyNumberFormat="1" applyFont="1" applyFill="1" applyBorder="1" applyAlignment="1">
      <alignment horizontal="right" wrapText="1"/>
    </xf>
    <xf numFmtId="168" fontId="12" fillId="0" borderId="0" xfId="1" applyNumberFormat="1" applyFont="1" applyFill="1" applyAlignment="1">
      <alignment horizontal="right" wrapText="1"/>
    </xf>
    <xf numFmtId="168" fontId="12" fillId="0" borderId="13" xfId="1" applyNumberFormat="1" applyFont="1" applyFill="1" applyBorder="1" applyAlignment="1">
      <alignment horizontal="right" wrapText="1"/>
    </xf>
    <xf numFmtId="165" fontId="12" fillId="0" borderId="13" xfId="3" applyNumberFormat="1" applyFont="1" applyFill="1" applyBorder="1" applyAlignment="1">
      <alignment horizontal="right" wrapText="1"/>
    </xf>
    <xf numFmtId="168" fontId="0" fillId="0" borderId="0" xfId="0" applyNumberFormat="1"/>
    <xf numFmtId="168" fontId="9" fillId="0" borderId="11" xfId="1" applyNumberFormat="1" applyFont="1" applyFill="1" applyBorder="1" applyAlignment="1">
      <alignment horizontal="right" wrapText="1"/>
    </xf>
    <xf numFmtId="168" fontId="9" fillId="0" borderId="12" xfId="1" applyNumberFormat="1" applyFont="1" applyFill="1" applyBorder="1" applyAlignment="1">
      <alignment horizontal="right" wrapText="1"/>
    </xf>
    <xf numFmtId="168" fontId="12" fillId="0" borderId="0" xfId="1" applyNumberFormat="1" applyFont="1" applyAlignment="1">
      <alignment wrapText="1"/>
    </xf>
    <xf numFmtId="0" fontId="10" fillId="0" borderId="1" xfId="0" applyFont="1" applyBorder="1" applyAlignment="1">
      <alignment horizontal="left" wrapText="1"/>
    </xf>
    <xf numFmtId="0" fontId="9" fillId="0" borderId="18" xfId="0" applyFont="1" applyBorder="1" applyAlignment="1">
      <alignment horizontal="left" wrapText="1"/>
    </xf>
    <xf numFmtId="168" fontId="9" fillId="0" borderId="18" xfId="1" applyNumberFormat="1" applyFont="1" applyFill="1" applyBorder="1" applyAlignment="1">
      <alignment wrapText="1"/>
    </xf>
    <xf numFmtId="165" fontId="9" fillId="0" borderId="19" xfId="3" applyNumberFormat="1" applyFont="1" applyFill="1" applyBorder="1" applyAlignment="1">
      <alignment wrapText="1"/>
    </xf>
    <xf numFmtId="0" fontId="10" fillId="4" borderId="1" xfId="0" applyFont="1" applyFill="1" applyBorder="1" applyAlignment="1">
      <alignment horizontal="left" wrapText="1"/>
    </xf>
    <xf numFmtId="0" fontId="9" fillId="4" borderId="18" xfId="0" applyFont="1" applyFill="1" applyBorder="1" applyAlignment="1">
      <alignment horizontal="left" wrapText="1"/>
    </xf>
    <xf numFmtId="168" fontId="9" fillId="4" borderId="20" xfId="1" applyNumberFormat="1" applyFont="1" applyFill="1" applyBorder="1" applyAlignment="1">
      <alignment wrapText="1"/>
    </xf>
    <xf numFmtId="168" fontId="9" fillId="4" borderId="21" xfId="1" applyNumberFormat="1" applyFont="1" applyFill="1" applyBorder="1" applyAlignment="1">
      <alignment wrapText="1"/>
    </xf>
    <xf numFmtId="168" fontId="9" fillId="4" borderId="22" xfId="1" applyNumberFormat="1" applyFont="1" applyFill="1" applyBorder="1" applyAlignment="1">
      <alignment wrapText="1"/>
    </xf>
    <xf numFmtId="168" fontId="9" fillId="4" borderId="23" xfId="1" applyNumberFormat="1" applyFont="1" applyFill="1" applyBorder="1" applyAlignment="1">
      <alignment wrapText="1"/>
    </xf>
    <xf numFmtId="168" fontId="9" fillId="4" borderId="24" xfId="1" applyNumberFormat="1" applyFont="1" applyFill="1" applyBorder="1" applyAlignment="1">
      <alignment wrapText="1"/>
    </xf>
    <xf numFmtId="0" fontId="9" fillId="3" borderId="25" xfId="0" applyFont="1" applyFill="1" applyBorder="1" applyAlignment="1">
      <alignment horizontal="left" wrapText="1"/>
    </xf>
    <xf numFmtId="165" fontId="9" fillId="4" borderId="25" xfId="3" applyNumberFormat="1" applyFont="1" applyFill="1" applyBorder="1" applyAlignment="1">
      <alignment wrapText="1"/>
    </xf>
    <xf numFmtId="165" fontId="9" fillId="4" borderId="24" xfId="3" applyNumberFormat="1" applyFont="1" applyFill="1" applyBorder="1" applyAlignment="1">
      <alignment wrapText="1"/>
    </xf>
    <xf numFmtId="168" fontId="9" fillId="0" borderId="20" xfId="1" applyNumberFormat="1" applyFont="1" applyFill="1" applyBorder="1" applyAlignment="1">
      <alignment wrapText="1"/>
    </xf>
    <xf numFmtId="168" fontId="9" fillId="0" borderId="5" xfId="1" applyNumberFormat="1" applyFont="1" applyFill="1" applyBorder="1" applyAlignment="1">
      <alignment wrapText="1"/>
    </xf>
    <xf numFmtId="0" fontId="9" fillId="0" borderId="25" xfId="0" applyFont="1" applyBorder="1" applyAlignment="1">
      <alignment horizontal="left" wrapText="1"/>
    </xf>
    <xf numFmtId="165" fontId="9" fillId="0" borderId="25" xfId="3" applyNumberFormat="1" applyFont="1" applyFill="1" applyBorder="1" applyAlignment="1">
      <alignment wrapText="1"/>
    </xf>
    <xf numFmtId="168" fontId="9" fillId="0" borderId="23" xfId="1" applyNumberFormat="1" applyFont="1" applyFill="1" applyBorder="1" applyAlignment="1">
      <alignment wrapText="1"/>
    </xf>
    <xf numFmtId="0" fontId="0" fillId="0" borderId="0" xfId="0" applyAlignment="1">
      <alignment vertical="center"/>
    </xf>
    <xf numFmtId="168" fontId="12" fillId="0" borderId="11" xfId="1" applyNumberFormat="1" applyFont="1" applyBorder="1" applyAlignment="1">
      <alignment horizontal="right" wrapText="1"/>
    </xf>
    <xf numFmtId="168" fontId="12" fillId="0" borderId="12" xfId="1" applyNumberFormat="1" applyFont="1" applyBorder="1" applyAlignment="1">
      <alignment horizontal="right" wrapText="1"/>
    </xf>
    <xf numFmtId="168" fontId="12" fillId="0" borderId="0" xfId="1" applyNumberFormat="1" applyFont="1" applyAlignment="1">
      <alignment horizontal="right" wrapText="1"/>
    </xf>
    <xf numFmtId="168" fontId="12" fillId="0" borderId="13" xfId="1" applyNumberFormat="1" applyFont="1" applyBorder="1" applyAlignment="1">
      <alignment horizontal="right" wrapText="1"/>
    </xf>
    <xf numFmtId="165" fontId="12" fillId="0" borderId="13" xfId="3" applyNumberFormat="1" applyFont="1" applyBorder="1" applyAlignment="1">
      <alignment horizontal="right" wrapText="1"/>
    </xf>
    <xf numFmtId="0" fontId="14" fillId="0" borderId="0" xfId="0" applyFont="1"/>
    <xf numFmtId="168" fontId="12" fillId="0" borderId="26" xfId="1" applyNumberFormat="1" applyFont="1" applyBorder="1" applyAlignment="1">
      <alignment horizontal="right" wrapText="1"/>
    </xf>
    <xf numFmtId="168" fontId="12" fillId="0" borderId="27" xfId="1" applyNumberFormat="1" applyFont="1" applyBorder="1" applyAlignment="1">
      <alignment horizontal="right" wrapText="1"/>
    </xf>
    <xf numFmtId="168" fontId="12" fillId="0" borderId="28" xfId="1" applyNumberFormat="1" applyFont="1" applyBorder="1" applyAlignment="1">
      <alignment horizontal="right" wrapText="1"/>
    </xf>
    <xf numFmtId="168" fontId="12" fillId="0" borderId="29" xfId="1" applyNumberFormat="1" applyFont="1" applyBorder="1" applyAlignment="1">
      <alignment horizontal="right" wrapText="1"/>
    </xf>
    <xf numFmtId="168" fontId="12" fillId="0" borderId="30" xfId="1" applyNumberFormat="1" applyFont="1" applyBorder="1" applyAlignment="1">
      <alignment horizontal="right" wrapText="1"/>
    </xf>
    <xf numFmtId="168" fontId="12" fillId="0" borderId="31" xfId="1" applyNumberFormat="1" applyFont="1" applyBorder="1" applyAlignment="1">
      <alignment horizontal="right" wrapText="1"/>
    </xf>
    <xf numFmtId="168" fontId="10" fillId="0" borderId="26" xfId="1" applyNumberFormat="1" applyFont="1" applyBorder="1" applyAlignment="1">
      <alignment horizontal="right" wrapText="1"/>
    </xf>
    <xf numFmtId="168" fontId="10" fillId="0" borderId="27" xfId="1" applyNumberFormat="1" applyFont="1" applyBorder="1" applyAlignment="1">
      <alignment horizontal="right" wrapText="1"/>
    </xf>
    <xf numFmtId="168" fontId="10" fillId="0" borderId="28" xfId="1" applyNumberFormat="1" applyFont="1" applyBorder="1" applyAlignment="1">
      <alignment horizontal="right" wrapText="1"/>
    </xf>
    <xf numFmtId="168" fontId="10" fillId="0" borderId="29" xfId="1" applyNumberFormat="1" applyFont="1" applyBorder="1" applyAlignment="1">
      <alignment horizontal="right" wrapText="1"/>
    </xf>
    <xf numFmtId="168" fontId="10" fillId="0" borderId="30" xfId="1" applyNumberFormat="1" applyFont="1" applyBorder="1" applyAlignment="1">
      <alignment horizontal="right" wrapText="1"/>
    </xf>
    <xf numFmtId="168" fontId="10" fillId="0" borderId="31" xfId="1" applyNumberFormat="1" applyFont="1" applyBorder="1" applyAlignment="1">
      <alignment horizontal="right" wrapText="1"/>
    </xf>
    <xf numFmtId="9" fontId="10" fillId="0" borderId="32" xfId="3" applyFont="1" applyBorder="1" applyAlignment="1">
      <alignment horizontal="right" wrapText="1"/>
    </xf>
    <xf numFmtId="9" fontId="10" fillId="0" borderId="33" xfId="3" applyFont="1" applyBorder="1" applyAlignment="1">
      <alignment horizontal="right" wrapText="1"/>
    </xf>
    <xf numFmtId="9" fontId="10" fillId="0" borderId="34" xfId="3" applyFont="1" applyBorder="1" applyAlignment="1">
      <alignment horizontal="right" wrapText="1"/>
    </xf>
    <xf numFmtId="9" fontId="10" fillId="0" borderId="35" xfId="3" applyFont="1" applyBorder="1" applyAlignment="1">
      <alignment horizontal="right" wrapText="1"/>
    </xf>
    <xf numFmtId="9" fontId="10" fillId="0" borderId="36" xfId="3" applyFont="1" applyBorder="1" applyAlignment="1">
      <alignment horizontal="right" wrapText="1"/>
    </xf>
    <xf numFmtId="9" fontId="10" fillId="0" borderId="19" xfId="3" applyFont="1" applyBorder="1" applyAlignment="1">
      <alignment horizontal="right" wrapText="1"/>
    </xf>
    <xf numFmtId="0" fontId="0" fillId="0" borderId="22" xfId="0" applyBorder="1"/>
    <xf numFmtId="0" fontId="0" fillId="0" borderId="21" xfId="0" applyBorder="1"/>
    <xf numFmtId="0" fontId="0" fillId="0" borderId="37" xfId="0" applyBorder="1"/>
    <xf numFmtId="0" fontId="0" fillId="0" borderId="23" xfId="0" applyBorder="1"/>
    <xf numFmtId="164" fontId="9" fillId="0" borderId="38" xfId="0" applyNumberFormat="1" applyFont="1" applyBorder="1" applyAlignment="1">
      <alignment wrapText="1"/>
    </xf>
    <xf numFmtId="0" fontId="0" fillId="0" borderId="24" xfId="0" applyBorder="1"/>
    <xf numFmtId="164" fontId="9" fillId="0" borderId="22" xfId="0" applyNumberFormat="1" applyFont="1" applyBorder="1" applyAlignment="1">
      <alignment horizontal="right" wrapText="1"/>
    </xf>
    <xf numFmtId="164" fontId="9" fillId="0" borderId="21" xfId="0" applyNumberFormat="1" applyFont="1" applyBorder="1" applyAlignment="1">
      <alignment horizontal="right" wrapText="1"/>
    </xf>
    <xf numFmtId="164" fontId="9" fillId="0" borderId="37" xfId="0" applyNumberFormat="1" applyFont="1" applyBorder="1" applyAlignment="1">
      <alignment horizontal="right" wrapText="1"/>
    </xf>
    <xf numFmtId="168" fontId="9" fillId="0" borderId="38" xfId="1" applyNumberFormat="1" applyFont="1" applyFill="1" applyBorder="1" applyAlignment="1">
      <alignment wrapText="1"/>
    </xf>
    <xf numFmtId="168" fontId="9" fillId="0" borderId="24" xfId="1" applyNumberFormat="1" applyFont="1" applyFill="1" applyBorder="1" applyAlignment="1">
      <alignment wrapText="1"/>
    </xf>
    <xf numFmtId="168" fontId="12" fillId="0" borderId="39" xfId="1" applyNumberFormat="1" applyFont="1" applyBorder="1" applyAlignment="1">
      <alignment horizontal="right" wrapText="1"/>
    </xf>
    <xf numFmtId="168" fontId="12" fillId="0" borderId="40" xfId="1" applyNumberFormat="1" applyFont="1" applyBorder="1" applyAlignment="1">
      <alignment horizontal="right" wrapText="1"/>
    </xf>
    <xf numFmtId="168" fontId="12" fillId="0" borderId="41" xfId="1" applyNumberFormat="1" applyFont="1" applyBorder="1" applyAlignment="1">
      <alignment horizontal="right" wrapText="1"/>
    </xf>
    <xf numFmtId="168" fontId="12" fillId="0" borderId="42" xfId="1" applyNumberFormat="1" applyFont="1" applyBorder="1" applyAlignment="1">
      <alignment horizontal="right" wrapText="1"/>
    </xf>
    <xf numFmtId="168" fontId="12" fillId="0" borderId="43" xfId="1" applyNumberFormat="1" applyFont="1" applyBorder="1" applyAlignment="1">
      <alignment horizontal="right" wrapText="1"/>
    </xf>
    <xf numFmtId="168" fontId="12" fillId="0" borderId="44" xfId="1" applyNumberFormat="1" applyFont="1" applyBorder="1" applyAlignment="1">
      <alignment horizontal="right" wrapText="1"/>
    </xf>
    <xf numFmtId="9" fontId="10" fillId="0" borderId="45" xfId="3" applyFont="1" applyBorder="1" applyAlignment="1">
      <alignment horizontal="right" wrapText="1"/>
    </xf>
    <xf numFmtId="9" fontId="10" fillId="0" borderId="46" xfId="3" applyFont="1" applyBorder="1" applyAlignment="1">
      <alignment horizontal="right" wrapText="1"/>
    </xf>
    <xf numFmtId="9" fontId="10" fillId="0" borderId="47" xfId="3" applyFont="1" applyBorder="1" applyAlignment="1">
      <alignment horizontal="right" wrapText="1"/>
    </xf>
    <xf numFmtId="165" fontId="10" fillId="0" borderId="48" xfId="3" applyNumberFormat="1" applyFont="1" applyBorder="1" applyAlignment="1">
      <alignment horizontal="right" wrapText="1"/>
    </xf>
    <xf numFmtId="0" fontId="8" fillId="0" borderId="49" xfId="0" applyFont="1" applyBorder="1" applyAlignment="1">
      <alignment horizontal="center" wrapText="1"/>
    </xf>
    <xf numFmtId="43" fontId="9" fillId="0" borderId="17" xfId="1" applyFont="1" applyFill="1" applyBorder="1" applyAlignment="1">
      <alignment horizontal="right" wrapText="1"/>
    </xf>
    <xf numFmtId="165" fontId="0" fillId="0" borderId="0" xfId="3" applyNumberFormat="1" applyFont="1"/>
    <xf numFmtId="43" fontId="0" fillId="0" borderId="0" xfId="0" applyNumberFormat="1"/>
    <xf numFmtId="0" fontId="10" fillId="0" borderId="50" xfId="0" applyFont="1" applyBorder="1" applyAlignment="1">
      <alignment horizontal="left" wrapText="1"/>
    </xf>
    <xf numFmtId="0" fontId="9" fillId="4" borderId="51" xfId="0" applyFont="1" applyFill="1" applyBorder="1" applyAlignment="1">
      <alignment horizontal="left" wrapText="1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/>
    <xf numFmtId="0" fontId="15" fillId="0" borderId="0" xfId="0" applyFont="1" applyAlignment="1">
      <alignment wrapText="1"/>
    </xf>
    <xf numFmtId="0" fontId="5" fillId="0" borderId="6" xfId="0" quotePrefix="1" applyFont="1" applyBorder="1" applyAlignment="1">
      <alignment horizontal="center" wrapText="1"/>
    </xf>
    <xf numFmtId="0" fontId="5" fillId="0" borderId="7" xfId="0" quotePrefix="1" applyFont="1" applyBorder="1" applyAlignment="1">
      <alignment horizontal="center" wrapText="1"/>
    </xf>
    <xf numFmtId="0" fontId="5" fillId="0" borderId="8" xfId="0" quotePrefix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52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5" fillId="0" borderId="53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164" fontId="15" fillId="0" borderId="11" xfId="0" applyNumberFormat="1" applyFont="1" applyBorder="1" applyAlignment="1">
      <alignment horizontal="right" wrapText="1"/>
    </xf>
    <xf numFmtId="164" fontId="15" fillId="0" borderId="12" xfId="0" applyNumberFormat="1" applyFont="1" applyBorder="1" applyAlignment="1">
      <alignment horizontal="right" wrapText="1"/>
    </xf>
    <xf numFmtId="164" fontId="15" fillId="0" borderId="0" xfId="0" applyNumberFormat="1" applyFont="1" applyAlignment="1">
      <alignment horizontal="right" wrapText="1"/>
    </xf>
    <xf numFmtId="43" fontId="15" fillId="0" borderId="0" xfId="1" applyFont="1" applyFill="1" applyAlignment="1">
      <alignment horizontal="right" wrapText="1"/>
    </xf>
    <xf numFmtId="43" fontId="15" fillId="0" borderId="13" xfId="1" applyFont="1" applyFill="1" applyBorder="1" applyAlignment="1">
      <alignment horizontal="right" wrapText="1"/>
    </xf>
    <xf numFmtId="165" fontId="15" fillId="2" borderId="13" xfId="3" applyNumberFormat="1" applyFont="1" applyFill="1" applyBorder="1" applyAlignment="1">
      <alignment horizontal="right" wrapText="1"/>
    </xf>
    <xf numFmtId="165" fontId="15" fillId="0" borderId="13" xfId="3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 wrapText="1"/>
    </xf>
    <xf numFmtId="43" fontId="5" fillId="0" borderId="14" xfId="1" applyFont="1" applyBorder="1" applyAlignment="1">
      <alignment horizontal="right" wrapText="1"/>
    </xf>
    <xf numFmtId="43" fontId="5" fillId="0" borderId="15" xfId="1" applyFont="1" applyBorder="1" applyAlignment="1">
      <alignment horizontal="right" wrapText="1"/>
    </xf>
    <xf numFmtId="43" fontId="5" fillId="0" borderId="16" xfId="1" applyFont="1" applyBorder="1" applyAlignment="1">
      <alignment horizontal="right" wrapText="1"/>
    </xf>
    <xf numFmtId="43" fontId="5" fillId="0" borderId="17" xfId="1" applyFont="1" applyBorder="1" applyAlignment="1">
      <alignment horizontal="right" wrapText="1"/>
    </xf>
    <xf numFmtId="165" fontId="5" fillId="2" borderId="17" xfId="3" applyNumberFormat="1" applyFont="1" applyFill="1" applyBorder="1" applyAlignment="1">
      <alignment horizontal="right" wrapText="1"/>
    </xf>
    <xf numFmtId="165" fontId="5" fillId="0" borderId="17" xfId="3" applyNumberFormat="1" applyFont="1" applyBorder="1" applyAlignment="1">
      <alignment horizontal="right" wrapText="1"/>
    </xf>
    <xf numFmtId="0" fontId="5" fillId="0" borderId="11" xfId="0" quotePrefix="1" applyFont="1" applyBorder="1" applyAlignment="1">
      <alignment horizontal="center" wrapText="1"/>
    </xf>
    <xf numFmtId="0" fontId="5" fillId="0" borderId="12" xfId="0" quotePrefix="1" applyFont="1" applyBorder="1" applyAlignment="1">
      <alignment horizontal="center" wrapText="1"/>
    </xf>
    <xf numFmtId="0" fontId="5" fillId="0" borderId="0" xfId="0" quotePrefix="1" applyFont="1" applyAlignment="1">
      <alignment horizontal="center" wrapText="1"/>
    </xf>
    <xf numFmtId="17" fontId="5" fillId="0" borderId="0" xfId="0" quotePrefix="1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165" fontId="5" fillId="0" borderId="13" xfId="3" quotePrefix="1" applyNumberFormat="1" applyFont="1" applyFill="1" applyBorder="1" applyAlignment="1">
      <alignment horizontal="center" wrapText="1"/>
    </xf>
    <xf numFmtId="166" fontId="15" fillId="2" borderId="11" xfId="2" applyNumberFormat="1" applyFont="1" applyFill="1" applyBorder="1" applyAlignment="1">
      <alignment horizontal="right" wrapText="1"/>
    </xf>
    <xf numFmtId="166" fontId="15" fillId="2" borderId="12" xfId="2" applyNumberFormat="1" applyFont="1" applyFill="1" applyBorder="1" applyAlignment="1">
      <alignment horizontal="right" wrapText="1"/>
    </xf>
    <xf numFmtId="166" fontId="15" fillId="0" borderId="0" xfId="2" applyNumberFormat="1" applyFont="1" applyFill="1" applyAlignment="1">
      <alignment horizontal="right" wrapText="1"/>
    </xf>
    <xf numFmtId="166" fontId="15" fillId="0" borderId="13" xfId="2" applyNumberFormat="1" applyFont="1" applyFill="1" applyBorder="1" applyAlignment="1">
      <alignment horizontal="right" wrapText="1"/>
    </xf>
    <xf numFmtId="0" fontId="19" fillId="0" borderId="0" xfId="4" applyFont="1"/>
    <xf numFmtId="166" fontId="15" fillId="0" borderId="11" xfId="2" applyNumberFormat="1" applyFont="1" applyFill="1" applyBorder="1" applyAlignment="1">
      <alignment horizontal="right" wrapText="1"/>
    </xf>
    <xf numFmtId="166" fontId="15" fillId="0" borderId="12" xfId="2" applyNumberFormat="1" applyFont="1" applyFill="1" applyBorder="1" applyAlignment="1">
      <alignment horizontal="right" wrapText="1"/>
    </xf>
    <xf numFmtId="0" fontId="19" fillId="0" borderId="13" xfId="4" applyFont="1" applyBorder="1"/>
    <xf numFmtId="167" fontId="19" fillId="0" borderId="0" xfId="4" applyNumberFormat="1" applyFont="1"/>
    <xf numFmtId="165" fontId="19" fillId="0" borderId="13" xfId="3" applyNumberFormat="1" applyFont="1" applyBorder="1"/>
    <xf numFmtId="0" fontId="5" fillId="0" borderId="11" xfId="0" applyFont="1" applyBorder="1" applyAlignment="1">
      <alignment horizontal="left" wrapText="1"/>
    </xf>
    <xf numFmtId="0" fontId="5" fillId="0" borderId="12" xfId="0" applyFont="1" applyBorder="1" applyAlignment="1">
      <alignment horizontal="left" wrapText="1"/>
    </xf>
    <xf numFmtId="164" fontId="15" fillId="0" borderId="0" xfId="0" applyNumberFormat="1" applyFont="1" applyAlignment="1">
      <alignment wrapText="1"/>
    </xf>
    <xf numFmtId="164" fontId="15" fillId="0" borderId="13" xfId="0" applyNumberFormat="1" applyFont="1" applyBorder="1" applyAlignment="1">
      <alignment wrapText="1"/>
    </xf>
    <xf numFmtId="165" fontId="15" fillId="0" borderId="13" xfId="3" applyNumberFormat="1" applyFont="1" applyBorder="1" applyAlignment="1">
      <alignment wrapText="1"/>
    </xf>
    <xf numFmtId="168" fontId="15" fillId="0" borderId="11" xfId="1" applyNumberFormat="1" applyFont="1" applyFill="1" applyBorder="1" applyAlignment="1">
      <alignment wrapText="1"/>
    </xf>
    <xf numFmtId="168" fontId="15" fillId="0" borderId="12" xfId="1" applyNumberFormat="1" applyFont="1" applyFill="1" applyBorder="1" applyAlignment="1">
      <alignment wrapText="1"/>
    </xf>
    <xf numFmtId="168" fontId="15" fillId="0" borderId="0" xfId="1" applyNumberFormat="1" applyFont="1" applyFill="1" applyAlignment="1">
      <alignment wrapText="1"/>
    </xf>
    <xf numFmtId="168" fontId="15" fillId="0" borderId="0" xfId="1" applyNumberFormat="1" applyFont="1" applyFill="1" applyAlignment="1">
      <alignment horizontal="right" wrapText="1"/>
    </xf>
    <xf numFmtId="168" fontId="15" fillId="0" borderId="13" xfId="1" applyNumberFormat="1" applyFont="1" applyFill="1" applyBorder="1" applyAlignment="1">
      <alignment horizontal="right" wrapText="1"/>
    </xf>
    <xf numFmtId="165" fontId="15" fillId="2" borderId="13" xfId="3" applyNumberFormat="1" applyFont="1" applyFill="1" applyBorder="1" applyAlignment="1">
      <alignment wrapText="1"/>
    </xf>
    <xf numFmtId="165" fontId="15" fillId="0" borderId="13" xfId="3" applyNumberFormat="1" applyFont="1" applyFill="1" applyBorder="1" applyAlignment="1">
      <alignment wrapText="1"/>
    </xf>
    <xf numFmtId="0" fontId="5" fillId="0" borderId="0" xfId="0" applyFont="1" applyAlignment="1">
      <alignment horizontal="right" wrapText="1"/>
    </xf>
    <xf numFmtId="168" fontId="5" fillId="0" borderId="11" xfId="1" applyNumberFormat="1" applyFont="1" applyBorder="1" applyAlignment="1">
      <alignment wrapText="1"/>
    </xf>
    <xf numFmtId="168" fontId="5" fillId="0" borderId="12" xfId="1" applyNumberFormat="1" applyFont="1" applyBorder="1" applyAlignment="1">
      <alignment wrapText="1"/>
    </xf>
    <xf numFmtId="168" fontId="5" fillId="0" borderId="0" xfId="1" applyNumberFormat="1" applyFont="1" applyBorder="1" applyAlignment="1">
      <alignment wrapText="1"/>
    </xf>
    <xf numFmtId="168" fontId="5" fillId="0" borderId="13" xfId="1" applyNumberFormat="1" applyFont="1" applyBorder="1" applyAlignment="1">
      <alignment wrapText="1"/>
    </xf>
    <xf numFmtId="165" fontId="5" fillId="2" borderId="13" xfId="3" applyNumberFormat="1" applyFont="1" applyFill="1" applyBorder="1" applyAlignment="1">
      <alignment wrapText="1"/>
    </xf>
    <xf numFmtId="165" fontId="5" fillId="0" borderId="13" xfId="3" applyNumberFormat="1" applyFont="1" applyBorder="1" applyAlignment="1">
      <alignment wrapText="1"/>
    </xf>
    <xf numFmtId="168" fontId="5" fillId="0" borderId="14" xfId="1" applyNumberFormat="1" applyFont="1" applyBorder="1" applyAlignment="1">
      <alignment horizontal="right" wrapText="1"/>
    </xf>
    <xf numFmtId="168" fontId="5" fillId="0" borderId="15" xfId="1" applyNumberFormat="1" applyFont="1" applyBorder="1" applyAlignment="1">
      <alignment horizontal="right" wrapText="1"/>
    </xf>
    <xf numFmtId="168" fontId="5" fillId="0" borderId="16" xfId="1" applyNumberFormat="1" applyFont="1" applyBorder="1" applyAlignment="1">
      <alignment horizontal="right" wrapText="1"/>
    </xf>
    <xf numFmtId="168" fontId="5" fillId="0" borderId="17" xfId="1" applyNumberFormat="1" applyFont="1" applyBorder="1" applyAlignment="1">
      <alignment horizontal="right" wrapText="1"/>
    </xf>
    <xf numFmtId="168" fontId="15" fillId="0" borderId="0" xfId="0" applyNumberFormat="1" applyFont="1"/>
    <xf numFmtId="43" fontId="15" fillId="0" borderId="11" xfId="1" applyFont="1" applyBorder="1" applyAlignment="1">
      <alignment wrapText="1"/>
    </xf>
    <xf numFmtId="43" fontId="15" fillId="0" borderId="12" xfId="1" applyFont="1" applyBorder="1" applyAlignment="1">
      <alignment wrapText="1"/>
    </xf>
    <xf numFmtId="43" fontId="15" fillId="0" borderId="0" xfId="1" applyFont="1" applyAlignment="1">
      <alignment wrapText="1"/>
    </xf>
    <xf numFmtId="43" fontId="5" fillId="0" borderId="0" xfId="1" applyFont="1" applyAlignment="1">
      <alignment horizontal="left" wrapText="1"/>
    </xf>
    <xf numFmtId="43" fontId="15" fillId="0" borderId="13" xfId="1" applyFont="1" applyBorder="1" applyAlignment="1">
      <alignment wrapText="1"/>
    </xf>
    <xf numFmtId="168" fontId="5" fillId="0" borderId="0" xfId="0" applyNumberFormat="1" applyFont="1" applyAlignment="1">
      <alignment horizontal="left" wrapText="1"/>
    </xf>
    <xf numFmtId="168" fontId="15" fillId="0" borderId="13" xfId="1" applyNumberFormat="1" applyFont="1" applyFill="1" applyBorder="1" applyAlignment="1">
      <alignment wrapText="1"/>
    </xf>
    <xf numFmtId="0" fontId="15" fillId="0" borderId="11" xfId="0" applyFont="1" applyBorder="1"/>
    <xf numFmtId="168" fontId="5" fillId="0" borderId="11" xfId="1" applyNumberFormat="1" applyFont="1" applyFill="1" applyBorder="1" applyAlignment="1">
      <alignment wrapText="1"/>
    </xf>
    <xf numFmtId="168" fontId="5" fillId="0" borderId="12" xfId="1" applyNumberFormat="1" applyFont="1" applyFill="1" applyBorder="1" applyAlignment="1">
      <alignment wrapText="1"/>
    </xf>
    <xf numFmtId="168" fontId="5" fillId="0" borderId="0" xfId="1" applyNumberFormat="1" applyFont="1" applyFill="1" applyAlignment="1">
      <alignment wrapText="1"/>
    </xf>
    <xf numFmtId="168" fontId="5" fillId="0" borderId="13" xfId="1" applyNumberFormat="1" applyFont="1" applyFill="1" applyBorder="1" applyAlignment="1">
      <alignment wrapText="1"/>
    </xf>
    <xf numFmtId="9" fontId="5" fillId="0" borderId="0" xfId="3" applyFont="1" applyFill="1" applyBorder="1" applyAlignment="1">
      <alignment wrapText="1"/>
    </xf>
    <xf numFmtId="165" fontId="5" fillId="0" borderId="13" xfId="3" applyNumberFormat="1" applyFont="1" applyFill="1" applyBorder="1" applyAlignment="1">
      <alignment wrapText="1"/>
    </xf>
    <xf numFmtId="168" fontId="15" fillId="0" borderId="11" xfId="1" applyNumberFormat="1" applyFont="1" applyBorder="1" applyAlignment="1">
      <alignment wrapText="1"/>
    </xf>
    <xf numFmtId="168" fontId="15" fillId="0" borderId="12" xfId="1" applyNumberFormat="1" applyFont="1" applyBorder="1" applyAlignment="1">
      <alignment wrapText="1"/>
    </xf>
    <xf numFmtId="168" fontId="15" fillId="0" borderId="0" xfId="1" applyNumberFormat="1" applyFont="1" applyAlignment="1">
      <alignment wrapText="1"/>
    </xf>
    <xf numFmtId="168" fontId="5" fillId="0" borderId="0" xfId="1" applyNumberFormat="1" applyFont="1" applyAlignment="1">
      <alignment horizontal="left" wrapText="1"/>
    </xf>
    <xf numFmtId="9" fontId="15" fillId="0" borderId="0" xfId="3" applyFont="1" applyAlignment="1">
      <alignment wrapText="1"/>
    </xf>
    <xf numFmtId="168" fontId="15" fillId="0" borderId="13" xfId="1" applyNumberFormat="1" applyFont="1" applyBorder="1" applyAlignment="1">
      <alignment wrapText="1"/>
    </xf>
    <xf numFmtId="168" fontId="15" fillId="0" borderId="11" xfId="1" applyNumberFormat="1" applyFont="1" applyBorder="1" applyAlignment="1">
      <alignment horizontal="right" wrapText="1"/>
    </xf>
    <xf numFmtId="168" fontId="15" fillId="0" borderId="12" xfId="1" applyNumberFormat="1" applyFont="1" applyBorder="1" applyAlignment="1">
      <alignment horizontal="right" wrapText="1"/>
    </xf>
    <xf numFmtId="168" fontId="15" fillId="0" borderId="0" xfId="1" applyNumberFormat="1" applyFont="1" applyAlignment="1">
      <alignment horizontal="right" wrapText="1"/>
    </xf>
    <xf numFmtId="168" fontId="15" fillId="0" borderId="13" xfId="1" applyNumberFormat="1" applyFont="1" applyBorder="1" applyAlignment="1">
      <alignment horizontal="right" wrapText="1"/>
    </xf>
    <xf numFmtId="165" fontId="15" fillId="0" borderId="13" xfId="3" applyNumberFormat="1" applyFont="1" applyBorder="1" applyAlignment="1">
      <alignment horizontal="right" wrapText="1"/>
    </xf>
    <xf numFmtId="168" fontId="5" fillId="0" borderId="11" xfId="1" applyNumberFormat="1" applyFont="1" applyFill="1" applyBorder="1" applyAlignment="1">
      <alignment horizontal="right" wrapText="1"/>
    </xf>
    <xf numFmtId="168" fontId="5" fillId="0" borderId="12" xfId="1" applyNumberFormat="1" applyFont="1" applyFill="1" applyBorder="1" applyAlignment="1">
      <alignment horizontal="right" wrapText="1"/>
    </xf>
    <xf numFmtId="168" fontId="5" fillId="0" borderId="0" xfId="1" applyNumberFormat="1" applyFont="1" applyFill="1" applyAlignment="1">
      <alignment horizontal="right" wrapText="1"/>
    </xf>
    <xf numFmtId="168" fontId="5" fillId="0" borderId="13" xfId="1" applyNumberFormat="1" applyFont="1" applyFill="1" applyBorder="1" applyAlignment="1">
      <alignment horizontal="right" wrapText="1"/>
    </xf>
    <xf numFmtId="165" fontId="5" fillId="0" borderId="13" xfId="3" applyNumberFormat="1" applyFont="1" applyFill="1" applyBorder="1" applyAlignment="1">
      <alignment horizontal="right" wrapText="1"/>
    </xf>
    <xf numFmtId="168" fontId="15" fillId="0" borderId="11" xfId="1" applyNumberFormat="1" applyFont="1" applyFill="1" applyBorder="1" applyAlignment="1">
      <alignment horizontal="right" wrapText="1"/>
    </xf>
    <xf numFmtId="168" fontId="15" fillId="0" borderId="12" xfId="1" applyNumberFormat="1" applyFont="1" applyFill="1" applyBorder="1" applyAlignment="1">
      <alignment horizontal="right" wrapText="1"/>
    </xf>
    <xf numFmtId="168" fontId="5" fillId="0" borderId="0" xfId="1" applyNumberFormat="1" applyFont="1" applyAlignment="1">
      <alignment wrapText="1"/>
    </xf>
    <xf numFmtId="168" fontId="5" fillId="0" borderId="11" xfId="1" applyNumberFormat="1" applyFont="1" applyBorder="1" applyAlignment="1">
      <alignment horizontal="right" wrapText="1"/>
    </xf>
    <xf numFmtId="168" fontId="5" fillId="0" borderId="12" xfId="1" applyNumberFormat="1" applyFont="1" applyBorder="1" applyAlignment="1">
      <alignment horizontal="right" wrapText="1"/>
    </xf>
    <xf numFmtId="168" fontId="5" fillId="0" borderId="0" xfId="1" applyNumberFormat="1" applyFont="1" applyAlignment="1">
      <alignment horizontal="right" wrapText="1"/>
    </xf>
    <xf numFmtId="168" fontId="5" fillId="0" borderId="13" xfId="1" applyNumberFormat="1" applyFont="1" applyBorder="1" applyAlignment="1">
      <alignment horizontal="right" wrapText="1"/>
    </xf>
    <xf numFmtId="165" fontId="5" fillId="0" borderId="13" xfId="3" applyNumberFormat="1" applyFont="1" applyBorder="1" applyAlignment="1">
      <alignment horizontal="right" wrapText="1"/>
    </xf>
    <xf numFmtId="168" fontId="5" fillId="0" borderId="54" xfId="1" applyNumberFormat="1" applyFont="1" applyBorder="1" applyAlignment="1">
      <alignment horizontal="right" wrapText="1"/>
    </xf>
    <xf numFmtId="0" fontId="5" fillId="0" borderId="0" xfId="0" applyFont="1"/>
    <xf numFmtId="168" fontId="5" fillId="0" borderId="26" xfId="1" applyNumberFormat="1" applyFont="1" applyBorder="1" applyAlignment="1">
      <alignment horizontal="right" wrapText="1"/>
    </xf>
    <xf numFmtId="168" fontId="5" fillId="0" borderId="27" xfId="1" applyNumberFormat="1" applyFont="1" applyBorder="1" applyAlignment="1">
      <alignment horizontal="right" wrapText="1"/>
    </xf>
    <xf numFmtId="168" fontId="5" fillId="0" borderId="28" xfId="1" applyNumberFormat="1" applyFont="1" applyBorder="1" applyAlignment="1">
      <alignment horizontal="right" wrapText="1"/>
    </xf>
    <xf numFmtId="168" fontId="5" fillId="0" borderId="29" xfId="1" applyNumberFormat="1" applyFont="1" applyBorder="1" applyAlignment="1">
      <alignment horizontal="right" wrapText="1"/>
    </xf>
    <xf numFmtId="168" fontId="5" fillId="0" borderId="30" xfId="1" applyNumberFormat="1" applyFont="1" applyBorder="1" applyAlignment="1">
      <alignment horizontal="right" wrapText="1"/>
    </xf>
    <xf numFmtId="168" fontId="5" fillId="0" borderId="31" xfId="1" applyNumberFormat="1" applyFont="1" applyBorder="1" applyAlignment="1">
      <alignment horizontal="right" wrapText="1"/>
    </xf>
    <xf numFmtId="9" fontId="5" fillId="0" borderId="32" xfId="3" applyFont="1" applyBorder="1" applyAlignment="1">
      <alignment horizontal="right" wrapText="1"/>
    </xf>
    <xf numFmtId="9" fontId="5" fillId="0" borderId="33" xfId="3" applyFont="1" applyBorder="1" applyAlignment="1">
      <alignment horizontal="right" wrapText="1"/>
    </xf>
    <xf numFmtId="9" fontId="5" fillId="0" borderId="34" xfId="3" applyFont="1" applyBorder="1" applyAlignment="1">
      <alignment horizontal="right" wrapText="1"/>
    </xf>
    <xf numFmtId="9" fontId="5" fillId="0" borderId="35" xfId="3" applyFont="1" applyBorder="1" applyAlignment="1">
      <alignment horizontal="right" wrapText="1"/>
    </xf>
    <xf numFmtId="9" fontId="5" fillId="0" borderId="36" xfId="3" applyFont="1" applyBorder="1" applyAlignment="1">
      <alignment horizontal="right" wrapText="1"/>
    </xf>
    <xf numFmtId="9" fontId="5" fillId="0" borderId="19" xfId="3" applyFont="1" applyBorder="1" applyAlignment="1">
      <alignment horizontal="right" wrapText="1"/>
    </xf>
    <xf numFmtId="0" fontId="15" fillId="0" borderId="22" xfId="0" applyFont="1" applyBorder="1"/>
    <xf numFmtId="0" fontId="15" fillId="0" borderId="21" xfId="0" applyFont="1" applyBorder="1"/>
    <xf numFmtId="0" fontId="15" fillId="0" borderId="37" xfId="0" applyFont="1" applyBorder="1"/>
    <xf numFmtId="0" fontId="15" fillId="0" borderId="23" xfId="0" applyFont="1" applyBorder="1"/>
    <xf numFmtId="164" fontId="15" fillId="0" borderId="38" xfId="0" applyNumberFormat="1" applyFont="1" applyBorder="1" applyAlignment="1">
      <alignment wrapText="1"/>
    </xf>
    <xf numFmtId="0" fontId="15" fillId="0" borderId="24" xfId="0" applyFont="1" applyBorder="1"/>
    <xf numFmtId="164" fontId="15" fillId="0" borderId="22" xfId="0" applyNumberFormat="1" applyFont="1" applyBorder="1" applyAlignment="1">
      <alignment horizontal="right" wrapText="1"/>
    </xf>
    <xf numFmtId="164" fontId="15" fillId="0" borderId="21" xfId="0" applyNumberFormat="1" applyFont="1" applyBorder="1" applyAlignment="1">
      <alignment horizontal="right" wrapText="1"/>
    </xf>
    <xf numFmtId="164" fontId="15" fillId="0" borderId="37" xfId="0" applyNumberFormat="1" applyFont="1" applyBorder="1" applyAlignment="1">
      <alignment horizontal="right" wrapText="1"/>
    </xf>
    <xf numFmtId="168" fontId="15" fillId="0" borderId="38" xfId="1" applyNumberFormat="1" applyFont="1" applyFill="1" applyBorder="1" applyAlignment="1">
      <alignment wrapText="1"/>
    </xf>
    <xf numFmtId="168" fontId="15" fillId="0" borderId="24" xfId="1" applyNumberFormat="1" applyFont="1" applyFill="1" applyBorder="1" applyAlignment="1">
      <alignment wrapText="1"/>
    </xf>
    <xf numFmtId="168" fontId="5" fillId="0" borderId="39" xfId="1" applyNumberFormat="1" applyFont="1" applyBorder="1" applyAlignment="1">
      <alignment horizontal="right" wrapText="1"/>
    </xf>
    <xf numFmtId="168" fontId="5" fillId="0" borderId="40" xfId="1" applyNumberFormat="1" applyFont="1" applyBorder="1" applyAlignment="1">
      <alignment horizontal="right" wrapText="1"/>
    </xf>
    <xf numFmtId="168" fontId="5" fillId="0" borderId="41" xfId="1" applyNumberFormat="1" applyFont="1" applyBorder="1" applyAlignment="1">
      <alignment horizontal="right" wrapText="1"/>
    </xf>
    <xf numFmtId="168" fontId="5" fillId="0" borderId="42" xfId="1" applyNumberFormat="1" applyFont="1" applyBorder="1" applyAlignment="1">
      <alignment horizontal="right" wrapText="1"/>
    </xf>
    <xf numFmtId="168" fontId="5" fillId="0" borderId="43" xfId="1" applyNumberFormat="1" applyFont="1" applyBorder="1" applyAlignment="1">
      <alignment horizontal="right" wrapText="1"/>
    </xf>
    <xf numFmtId="168" fontId="5" fillId="0" borderId="44" xfId="1" applyNumberFormat="1" applyFont="1" applyBorder="1" applyAlignment="1">
      <alignment horizontal="right" wrapText="1"/>
    </xf>
    <xf numFmtId="9" fontId="5" fillId="0" borderId="45" xfId="3" applyFont="1" applyBorder="1" applyAlignment="1">
      <alignment horizontal="right" wrapText="1"/>
    </xf>
    <xf numFmtId="9" fontId="5" fillId="0" borderId="46" xfId="3" applyFont="1" applyBorder="1" applyAlignment="1">
      <alignment horizontal="right" wrapText="1"/>
    </xf>
    <xf numFmtId="9" fontId="5" fillId="0" borderId="47" xfId="3" applyFont="1" applyBorder="1" applyAlignment="1">
      <alignment horizontal="right" wrapText="1"/>
    </xf>
    <xf numFmtId="165" fontId="5" fillId="0" borderId="48" xfId="3" applyNumberFormat="1" applyFont="1" applyBorder="1" applyAlignment="1">
      <alignment horizontal="right" wrapText="1"/>
    </xf>
    <xf numFmtId="43" fontId="15" fillId="0" borderId="0" xfId="1" applyFont="1"/>
    <xf numFmtId="9" fontId="15" fillId="0" borderId="0" xfId="3" applyFont="1"/>
    <xf numFmtId="43" fontId="15" fillId="0" borderId="0" xfId="0" applyNumberFormat="1" applyFont="1"/>
    <xf numFmtId="0" fontId="2" fillId="0" borderId="0" xfId="0" applyFont="1"/>
    <xf numFmtId="43" fontId="20" fillId="0" borderId="13" xfId="1" applyFont="1" applyFill="1" applyBorder="1" applyAlignment="1">
      <alignment horizontal="right" wrapText="1"/>
    </xf>
    <xf numFmtId="43" fontId="10" fillId="0" borderId="16" xfId="1" applyFont="1" applyFill="1" applyBorder="1" applyAlignment="1">
      <alignment horizontal="right" wrapText="1"/>
    </xf>
    <xf numFmtId="43" fontId="10" fillId="0" borderId="17" xfId="1" applyFont="1" applyFill="1" applyBorder="1" applyAlignment="1">
      <alignment horizontal="right" wrapText="1"/>
    </xf>
    <xf numFmtId="9" fontId="9" fillId="0" borderId="0" xfId="0" applyNumberFormat="1" applyFont="1" applyAlignment="1">
      <alignment horizontal="left" wrapText="1"/>
    </xf>
    <xf numFmtId="9" fontId="10" fillId="0" borderId="14" xfId="3" applyFont="1" applyBorder="1" applyAlignment="1">
      <alignment horizontal="right" wrapText="1"/>
    </xf>
    <xf numFmtId="9" fontId="10" fillId="0" borderId="15" xfId="3" applyFont="1" applyBorder="1" applyAlignment="1">
      <alignment horizontal="right" wrapText="1"/>
    </xf>
    <xf numFmtId="9" fontId="10" fillId="0" borderId="16" xfId="3" applyFont="1" applyBorder="1" applyAlignment="1">
      <alignment horizontal="right" wrapText="1"/>
    </xf>
    <xf numFmtId="9" fontId="10" fillId="0" borderId="17" xfId="3" applyFont="1" applyBorder="1" applyAlignment="1">
      <alignment horizontal="right" wrapText="1"/>
    </xf>
    <xf numFmtId="0" fontId="0" fillId="0" borderId="13" xfId="0" applyBorder="1"/>
    <xf numFmtId="9" fontId="10" fillId="0" borderId="55" xfId="3" applyFont="1" applyBorder="1" applyAlignment="1">
      <alignment horizontal="right" wrapText="1"/>
    </xf>
    <xf numFmtId="9" fontId="10" fillId="0" borderId="56" xfId="3" applyFont="1" applyBorder="1" applyAlignment="1">
      <alignment horizontal="right" wrapText="1"/>
    </xf>
    <xf numFmtId="9" fontId="10" fillId="0" borderId="48" xfId="3" applyFont="1" applyBorder="1" applyAlignment="1">
      <alignment horizontal="right" wrapText="1"/>
    </xf>
    <xf numFmtId="168" fontId="12" fillId="0" borderId="11" xfId="1" applyNumberFormat="1" applyFont="1" applyFill="1" applyBorder="1" applyAlignment="1">
      <alignment wrapText="1"/>
    </xf>
    <xf numFmtId="168" fontId="12" fillId="0" borderId="0" xfId="1" applyNumberFormat="1" applyFont="1" applyFill="1" applyBorder="1" applyAlignment="1">
      <alignment wrapText="1"/>
    </xf>
    <xf numFmtId="168" fontId="12" fillId="0" borderId="13" xfId="1" applyNumberFormat="1" applyFont="1" applyFill="1" applyBorder="1" applyAlignment="1">
      <alignment wrapText="1"/>
    </xf>
    <xf numFmtId="168" fontId="12" fillId="0" borderId="12" xfId="1" applyNumberFormat="1" applyFont="1" applyFill="1" applyBorder="1" applyAlignment="1">
      <alignment wrapText="1"/>
    </xf>
    <xf numFmtId="168" fontId="12" fillId="0" borderId="14" xfId="1" applyNumberFormat="1" applyFont="1" applyFill="1" applyBorder="1" applyAlignment="1">
      <alignment horizontal="right" wrapText="1"/>
    </xf>
    <xf numFmtId="168" fontId="12" fillId="0" borderId="15" xfId="1" applyNumberFormat="1" applyFont="1" applyFill="1" applyBorder="1" applyAlignment="1">
      <alignment horizontal="right" wrapText="1"/>
    </xf>
    <xf numFmtId="168" fontId="12" fillId="0" borderId="16" xfId="1" applyNumberFormat="1" applyFont="1" applyFill="1" applyBorder="1" applyAlignment="1">
      <alignment horizontal="right" wrapText="1"/>
    </xf>
    <xf numFmtId="168" fontId="12" fillId="0" borderId="17" xfId="1" applyNumberFormat="1" applyFont="1" applyFill="1" applyBorder="1" applyAlignment="1">
      <alignment horizontal="right" wrapText="1"/>
    </xf>
    <xf numFmtId="168" fontId="10" fillId="0" borderId="14" xfId="1" applyNumberFormat="1" applyFont="1" applyFill="1" applyBorder="1" applyAlignment="1">
      <alignment horizontal="right" wrapText="1"/>
    </xf>
    <xf numFmtId="168" fontId="10" fillId="0" borderId="15" xfId="1" applyNumberFormat="1" applyFont="1" applyFill="1" applyBorder="1" applyAlignment="1">
      <alignment horizontal="right" wrapText="1"/>
    </xf>
    <xf numFmtId="168" fontId="10" fillId="0" borderId="16" xfId="1" applyNumberFormat="1" applyFont="1" applyFill="1" applyBorder="1" applyAlignment="1">
      <alignment horizontal="right" wrapText="1"/>
    </xf>
    <xf numFmtId="168" fontId="10" fillId="0" borderId="17" xfId="1" applyNumberFormat="1" applyFont="1" applyFill="1" applyBorder="1" applyAlignment="1">
      <alignment horizontal="right" wrapText="1"/>
    </xf>
    <xf numFmtId="0" fontId="8" fillId="0" borderId="57" xfId="0" applyFont="1" applyBorder="1" applyAlignment="1">
      <alignment horizontal="center" wrapText="1"/>
    </xf>
    <xf numFmtId="43" fontId="9" fillId="0" borderId="58" xfId="1" applyFont="1" applyFill="1" applyBorder="1" applyAlignment="1">
      <alignment horizontal="right" wrapText="1"/>
    </xf>
    <xf numFmtId="43" fontId="10" fillId="0" borderId="59" xfId="1" applyFont="1" applyBorder="1" applyAlignment="1">
      <alignment horizontal="right" wrapText="1"/>
    </xf>
    <xf numFmtId="0" fontId="8" fillId="0" borderId="58" xfId="0" applyFont="1" applyBorder="1" applyAlignment="1">
      <alignment horizontal="center" wrapText="1"/>
    </xf>
    <xf numFmtId="166" fontId="9" fillId="0" borderId="58" xfId="2" applyNumberFormat="1" applyFont="1" applyFill="1" applyBorder="1" applyAlignment="1">
      <alignment horizontal="right" wrapText="1"/>
    </xf>
    <xf numFmtId="0" fontId="11" fillId="0" borderId="58" xfId="4" applyBorder="1"/>
    <xf numFmtId="164" fontId="9" fillId="0" borderId="58" xfId="0" applyNumberFormat="1" applyFont="1" applyBorder="1" applyAlignment="1">
      <alignment wrapText="1"/>
    </xf>
    <xf numFmtId="168" fontId="9" fillId="0" borderId="58" xfId="1" applyNumberFormat="1" applyFont="1" applyFill="1" applyBorder="1" applyAlignment="1">
      <alignment horizontal="right" wrapText="1"/>
    </xf>
    <xf numFmtId="168" fontId="12" fillId="0" borderId="58" xfId="1" applyNumberFormat="1" applyFont="1" applyBorder="1" applyAlignment="1">
      <alignment wrapText="1"/>
    </xf>
    <xf numFmtId="168" fontId="12" fillId="0" borderId="59" xfId="1" applyNumberFormat="1" applyFont="1" applyBorder="1" applyAlignment="1">
      <alignment horizontal="right" wrapText="1"/>
    </xf>
    <xf numFmtId="168" fontId="10" fillId="0" borderId="59" xfId="1" applyNumberFormat="1" applyFont="1" applyBorder="1" applyAlignment="1">
      <alignment horizontal="right" wrapText="1"/>
    </xf>
    <xf numFmtId="43" fontId="9" fillId="0" borderId="58" xfId="1" applyFont="1" applyBorder="1" applyAlignment="1">
      <alignment wrapText="1"/>
    </xf>
    <xf numFmtId="168" fontId="9" fillId="0" borderId="58" xfId="1" applyNumberFormat="1" applyFont="1" applyFill="1" applyBorder="1" applyAlignment="1">
      <alignment wrapText="1"/>
    </xf>
    <xf numFmtId="43" fontId="10" fillId="0" borderId="0" xfId="0" applyNumberFormat="1" applyFont="1" applyAlignment="1">
      <alignment horizontal="left" wrapText="1"/>
    </xf>
    <xf numFmtId="168" fontId="10" fillId="0" borderId="58" xfId="1" applyNumberFormat="1" applyFont="1" applyFill="1" applyBorder="1" applyAlignment="1">
      <alignment wrapText="1"/>
    </xf>
    <xf numFmtId="168" fontId="9" fillId="0" borderId="58" xfId="1" applyNumberFormat="1" applyFont="1" applyBorder="1" applyAlignment="1">
      <alignment wrapText="1"/>
    </xf>
    <xf numFmtId="168" fontId="9" fillId="0" borderId="58" xfId="1" applyNumberFormat="1" applyFont="1" applyBorder="1" applyAlignment="1">
      <alignment horizontal="right" wrapText="1"/>
    </xf>
    <xf numFmtId="168" fontId="12" fillId="0" borderId="58" xfId="1" applyNumberFormat="1" applyFont="1" applyFill="1" applyBorder="1" applyAlignment="1">
      <alignment horizontal="right" wrapText="1"/>
    </xf>
    <xf numFmtId="168" fontId="12" fillId="0" borderId="58" xfId="1" applyNumberFormat="1" applyFont="1" applyBorder="1" applyAlignment="1">
      <alignment horizontal="right" wrapText="1"/>
    </xf>
    <xf numFmtId="9" fontId="10" fillId="0" borderId="59" xfId="3" applyFont="1" applyBorder="1" applyAlignment="1">
      <alignment horizontal="right" wrapText="1"/>
    </xf>
    <xf numFmtId="0" fontId="0" fillId="0" borderId="58" xfId="0" applyBorder="1"/>
    <xf numFmtId="9" fontId="10" fillId="0" borderId="60" xfId="3" applyFont="1" applyBorder="1" applyAlignment="1">
      <alignment horizontal="right" wrapText="1"/>
    </xf>
    <xf numFmtId="0" fontId="21" fillId="0" borderId="0" xfId="7"/>
    <xf numFmtId="0" fontId="22" fillId="0" borderId="0" xfId="8"/>
    <xf numFmtId="49" fontId="0" fillId="0" borderId="0" xfId="0" applyNumberFormat="1"/>
    <xf numFmtId="49" fontId="22" fillId="0" borderId="0" xfId="8" applyNumberFormat="1"/>
    <xf numFmtId="0" fontId="8" fillId="0" borderId="61" xfId="0" applyFont="1" applyBorder="1" applyAlignment="1">
      <alignment horizontal="center" wrapText="1"/>
    </xf>
    <xf numFmtId="10" fontId="0" fillId="0" borderId="0" xfId="3" applyNumberFormat="1" applyFont="1"/>
    <xf numFmtId="164" fontId="9" fillId="0" borderId="11" xfId="0" applyNumberFormat="1" applyFont="1" applyBorder="1" applyAlignment="1">
      <alignment wrapText="1"/>
    </xf>
    <xf numFmtId="0" fontId="0" fillId="0" borderId="11" xfId="0" applyBorder="1"/>
    <xf numFmtId="164" fontId="0" fillId="0" borderId="11" xfId="0" applyNumberFormat="1" applyBorder="1"/>
    <xf numFmtId="0" fontId="10" fillId="0" borderId="62" xfId="0" applyFont="1" applyBorder="1" applyAlignment="1">
      <alignment horizontal="left" wrapText="1"/>
    </xf>
    <xf numFmtId="0" fontId="10" fillId="4" borderId="63" xfId="0" applyFont="1" applyFill="1" applyBorder="1" applyAlignment="1">
      <alignment horizontal="left" wrapText="1"/>
    </xf>
    <xf numFmtId="0" fontId="9" fillId="0" borderId="64" xfId="0" applyFont="1" applyBorder="1" applyAlignment="1">
      <alignment horizontal="left" wrapText="1"/>
    </xf>
    <xf numFmtId="43" fontId="9" fillId="0" borderId="11" xfId="1" applyFont="1" applyBorder="1"/>
    <xf numFmtId="0" fontId="9" fillId="0" borderId="11" xfId="0" applyFont="1" applyBorder="1"/>
    <xf numFmtId="168" fontId="12" fillId="0" borderId="0" xfId="1" applyNumberFormat="1" applyFont="1" applyBorder="1" applyAlignment="1">
      <alignment horizontal="right" wrapText="1"/>
    </xf>
    <xf numFmtId="0" fontId="0" fillId="0" borderId="65" xfId="0" applyBorder="1"/>
    <xf numFmtId="168" fontId="12" fillId="0" borderId="66" xfId="1" applyNumberFormat="1" applyFont="1" applyBorder="1" applyAlignment="1">
      <alignment horizontal="right" wrapText="1"/>
    </xf>
    <xf numFmtId="168" fontId="12" fillId="0" borderId="67" xfId="1" applyNumberFormat="1" applyFont="1" applyBorder="1" applyAlignment="1">
      <alignment horizontal="right" wrapText="1"/>
    </xf>
    <xf numFmtId="168" fontId="12" fillId="0" borderId="47" xfId="1" applyNumberFormat="1" applyFont="1" applyBorder="1" applyAlignment="1">
      <alignment horizontal="right" wrapText="1"/>
    </xf>
    <xf numFmtId="164" fontId="9" fillId="0" borderId="23" xfId="0" applyNumberFormat="1" applyFont="1" applyBorder="1" applyAlignment="1">
      <alignment horizontal="right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9">
    <cellStyle name="Comma" xfId="1" builtinId="3"/>
    <cellStyle name="Comma 2" xfId="6" xr:uid="{CD2F7208-32E3-4140-AF73-7ACDA661B8CF}"/>
    <cellStyle name="Currency" xfId="2" builtinId="4"/>
    <cellStyle name="Normal" xfId="0" builtinId="0"/>
    <cellStyle name="Normal 2" xfId="4" xr:uid="{1B90EBF1-7DB6-4E45-A90F-997F3F30097B}"/>
    <cellStyle name="Normal 2 2" xfId="5" xr:uid="{51AD48BB-026A-4320-B766-0A539C8EC70C}"/>
    <cellStyle name="Normal 3" xfId="7" xr:uid="{CECCF43E-8F46-4E3C-B95C-47AF4C138CC4}"/>
    <cellStyle name="Normal 3 2" xfId="8" xr:uid="{5B9E5D10-DB4C-48B6-9D28-58FF577D5C3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ville\Google%20Drive\DataDear\Technical\POST%20Templates\WIP\XERO%20Conversion%20Template\Xero%20Migration%20Tool%20v0.17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553c735e61c208a/Documents/Final%202024%20Budget%20-%20All%20locations%20with%20Payroll%20Data.xlsx" TargetMode="External"/><Relationship Id="rId1" Type="http://schemas.openxmlformats.org/officeDocument/2006/relationships/externalLinkPath" Target="https://d.docs.live.net/a553c735e61c208a/Documents/Final%202024%20Budget%20-%20All%20locations%20with%20Payrol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&amp; Controls"/>
      <sheetName val="1 Tax Rates"/>
      <sheetName val="2 Accounts"/>
      <sheetName val="3 Receivables &amp; Payables"/>
      <sheetName val="Contacts"/>
      <sheetName val="ExtraData"/>
      <sheetName val="DataDear"/>
    </sheetNames>
    <sheetDataSet>
      <sheetData sheetId="0"/>
      <sheetData sheetId="1">
        <row r="1">
          <cell r="A1" t="str">
            <v>TAX RATES</v>
          </cell>
        </row>
        <row r="3">
          <cell r="A3" t="str">
            <v>This sheet will be loaded with the Tax Rates in Xero on Refresh.  Enter new rates on a new line. 
Columns marked with a star are mandatory fields. System Taxes highlighted in blue cannot be updated.</v>
          </cell>
        </row>
        <row r="4">
          <cell r="A4" t="str">
            <v>Tax Rate Name</v>
          </cell>
        </row>
      </sheetData>
      <sheetData sheetId="2">
        <row r="4">
          <cell r="B4" t="str">
            <v>Name of Account</v>
          </cell>
          <cell r="J4" t="str">
            <v>System
Account</v>
          </cell>
        </row>
      </sheetData>
      <sheetData sheetId="3"/>
      <sheetData sheetId="4">
        <row r="1">
          <cell r="A1" t="str">
            <v>ENTER ANY CUSTOMER AND SUPPLIER DETAILS (Optional)</v>
          </cell>
        </row>
        <row r="3">
          <cell r="A3" t="str">
            <v xml:space="preserve">
Header details can provided in the top line only but the Reference is required in all lines. This data will feed the Contacts in Receivables &amp; Payables sheet.</v>
          </cell>
        </row>
        <row r="4">
          <cell r="A4" t="str">
            <v>Contact Name</v>
          </cell>
        </row>
      </sheetData>
      <sheetData sheetId="5">
        <row r="1">
          <cell r="N1">
            <v>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nualized vs Budget Explanatio"/>
      <sheetName val="Revenue Cycle ROI"/>
      <sheetName val="Total Owned --&gt;"/>
      <sheetName val="2024 Budget - Admin"/>
      <sheetName val="2024 Budget - DFW"/>
      <sheetName val="2024 Budget - Garden Oaks"/>
      <sheetName val="2024 Budget - Hill Country"/>
      <sheetName val="2024 Budget - Montrose"/>
      <sheetName val="Paylocity Report  111 Employees"/>
      <sheetName val="Pivot - Payroll by Position"/>
      <sheetName val="Payroll 2024"/>
      <sheetName val="Total Affiliate --&gt;"/>
      <sheetName val="2024 Budget - Austin"/>
      <sheetName val="2024 Budget - Cinco Ranch"/>
      <sheetName val="2024 Budget - Clear Lake"/>
      <sheetName val="2024 Budget - Conroe"/>
      <sheetName val="2024 Budget - Energy Corridor"/>
      <sheetName val="2024 Budget - Galleria"/>
      <sheetName val="2024 Budget - Humble"/>
      <sheetName val="2024 Budget - Jersey Village"/>
      <sheetName val="2024 Budget - North Loop"/>
      <sheetName val="2024 Budget - Pasadena"/>
      <sheetName val="2024 Budget - Round Rock"/>
      <sheetName val="2024 Budget - San Antonio"/>
      <sheetName val="2024 Budget - San Marcos"/>
      <sheetName val="2024 Budget - Sugar Land"/>
      <sheetName val="2024 Budget - Woodlands"/>
      <sheetName val="Donations"/>
      <sheetName val="Medical Director Fees"/>
    </sheetNames>
    <sheetDataSet>
      <sheetData sheetId="0"/>
      <sheetData sheetId="1"/>
      <sheetData sheetId="2"/>
      <sheetData sheetId="3"/>
      <sheetData sheetId="4">
        <row r="37">
          <cell r="E37">
            <v>75110.373129771004</v>
          </cell>
          <cell r="F37">
            <v>69070.436335877865</v>
          </cell>
          <cell r="G37">
            <v>71590.436335877865</v>
          </cell>
          <cell r="H37">
            <v>80107.02473282443</v>
          </cell>
          <cell r="I37">
            <v>90404.647207633592</v>
          </cell>
          <cell r="J37">
            <v>78612.736702290073</v>
          </cell>
          <cell r="K37">
            <v>90630.691207633587</v>
          </cell>
          <cell r="L37">
            <v>86809.026372519089</v>
          </cell>
          <cell r="M37">
            <v>82976.561537404559</v>
          </cell>
          <cell r="N37">
            <v>90879.091207633581</v>
          </cell>
          <cell r="O37">
            <v>83670.985337404563</v>
          </cell>
          <cell r="P37">
            <v>87655.317972519071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10905.311297709923</v>
          </cell>
          <cell r="F39">
            <v>9957.0233587786261</v>
          </cell>
          <cell r="G39">
            <v>9957.0233587786261</v>
          </cell>
          <cell r="H39">
            <v>14901.973740458016</v>
          </cell>
          <cell r="I39">
            <v>15579.336183206107</v>
          </cell>
          <cell r="J39">
            <v>13547.24885496183</v>
          </cell>
          <cell r="K39">
            <v>15579.336183206107</v>
          </cell>
          <cell r="L39">
            <v>15086.668140458016</v>
          </cell>
          <cell r="M39">
            <v>14400.910497709923</v>
          </cell>
          <cell r="N39">
            <v>15772.425783206107</v>
          </cell>
          <cell r="O39">
            <v>14412.722997709923</v>
          </cell>
          <cell r="P39">
            <v>15099.043140458016</v>
          </cell>
        </row>
      </sheetData>
      <sheetData sheetId="5">
        <row r="37">
          <cell r="E37">
            <v>114087.91305343513</v>
          </cell>
          <cell r="F37">
            <v>104499.10896183207</v>
          </cell>
          <cell r="G37">
            <v>105419.56579694655</v>
          </cell>
          <cell r="H37">
            <v>110672.55152061068</v>
          </cell>
          <cell r="I37">
            <v>115819.0420442748</v>
          </cell>
          <cell r="J37">
            <v>106431.59367938932</v>
          </cell>
          <cell r="K37">
            <v>121121.00920763356</v>
          </cell>
          <cell r="L37">
            <v>115965.75837251906</v>
          </cell>
          <cell r="M37">
            <v>111016.34113740458</v>
          </cell>
          <cell r="N37">
            <v>121991.07160763355</v>
          </cell>
          <cell r="O37">
            <v>111597.51613740459</v>
          </cell>
          <cell r="P37">
            <v>117028.18677251908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13956.4</v>
          </cell>
          <cell r="F39">
            <v>12806.304</v>
          </cell>
          <cell r="G39">
            <v>12806.304</v>
          </cell>
          <cell r="H39">
            <v>13416.128000000001</v>
          </cell>
          <cell r="I39">
            <v>18415.264977099236</v>
          </cell>
          <cell r="J39">
            <v>16013.27389312977</v>
          </cell>
          <cell r="K39">
            <v>18481.090977099237</v>
          </cell>
          <cell r="L39">
            <v>17796.365282442748</v>
          </cell>
          <cell r="M39">
            <v>16987.439587786259</v>
          </cell>
          <cell r="N39">
            <v>18729.490977099234</v>
          </cell>
          <cell r="O39">
            <v>17270.939587786259</v>
          </cell>
          <cell r="P39">
            <v>18093.365282442748</v>
          </cell>
        </row>
      </sheetData>
      <sheetData sheetId="6">
        <row r="37">
          <cell r="E37">
            <v>65409.230870229003</v>
          </cell>
          <cell r="F37">
            <v>60456.068929007633</v>
          </cell>
          <cell r="G37">
            <v>60837.848929007632</v>
          </cell>
          <cell r="H37">
            <v>63734.889354198473</v>
          </cell>
          <cell r="I37">
            <v>66631.929779389306</v>
          </cell>
          <cell r="J37">
            <v>57968.499703816793</v>
          </cell>
          <cell r="K37">
            <v>66798.490259389306</v>
          </cell>
          <cell r="L37">
            <v>64139.332074198472</v>
          </cell>
          <cell r="M37">
            <v>61412.907889007627</v>
          </cell>
          <cell r="N37">
            <v>67601.236259389305</v>
          </cell>
          <cell r="O37">
            <v>61722.867889007633</v>
          </cell>
          <cell r="P37">
            <v>64662.052074198473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15892.66290076336</v>
          </cell>
          <cell r="F39">
            <v>14510.692213740458</v>
          </cell>
          <cell r="G39">
            <v>14510.692213740458</v>
          </cell>
          <cell r="H39">
            <v>15201.677557251909</v>
          </cell>
          <cell r="I39">
            <v>15892.66290076336</v>
          </cell>
          <cell r="J39">
            <v>14016.196312977099</v>
          </cell>
          <cell r="K39">
            <v>16118.625759923663</v>
          </cell>
          <cell r="L39">
            <v>15548.812744274808</v>
          </cell>
          <cell r="M39">
            <v>14842.048528625954</v>
          </cell>
          <cell r="N39">
            <v>16421.176959923665</v>
          </cell>
          <cell r="O39">
            <v>14993.248528625954</v>
          </cell>
          <cell r="P39">
            <v>15707.21274427481</v>
          </cell>
        </row>
      </sheetData>
      <sheetData sheetId="7">
        <row r="37">
          <cell r="E37">
            <v>22933.65992366412</v>
          </cell>
          <cell r="F37">
            <v>21098.188625954197</v>
          </cell>
          <cell r="G37">
            <v>21226.708625954197</v>
          </cell>
          <cell r="H37">
            <v>22237.504274809158</v>
          </cell>
          <cell r="I37">
            <v>23521.001723664118</v>
          </cell>
          <cell r="J37">
            <v>20453.044977099235</v>
          </cell>
          <cell r="K37">
            <v>21669.141799999998</v>
          </cell>
          <cell r="L37">
            <v>20727.0052</v>
          </cell>
          <cell r="M37">
            <v>19784.868600000002</v>
          </cell>
          <cell r="N37">
            <v>21785.061799999996</v>
          </cell>
          <cell r="O37">
            <v>19890.708600000002</v>
          </cell>
          <cell r="P37">
            <v>20837.885200000001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4876</v>
          </cell>
          <cell r="F39">
            <v>4452</v>
          </cell>
          <cell r="G39">
            <v>4452</v>
          </cell>
          <cell r="H39">
            <v>4664</v>
          </cell>
          <cell r="I39">
            <v>4876</v>
          </cell>
          <cell r="J39">
            <v>4240</v>
          </cell>
          <cell r="K39">
            <v>4876</v>
          </cell>
          <cell r="L39">
            <v>4664</v>
          </cell>
          <cell r="M39">
            <v>4652.34</v>
          </cell>
          <cell r="N39">
            <v>5095.42</v>
          </cell>
          <cell r="O39">
            <v>4652.34</v>
          </cell>
          <cell r="P39">
            <v>4873.88</v>
          </cell>
        </row>
      </sheetData>
      <sheetData sheetId="8"/>
      <sheetData sheetId="9"/>
      <sheetData sheetId="10">
        <row r="149">
          <cell r="W149">
            <v>13956.4</v>
          </cell>
          <cell r="X149">
            <v>12806.304</v>
          </cell>
          <cell r="Y149">
            <v>12806.304</v>
          </cell>
          <cell r="Z149">
            <v>13416.128000000001</v>
          </cell>
          <cell r="AA149">
            <v>18415.264977099236</v>
          </cell>
          <cell r="AB149">
            <v>16013.27389312977</v>
          </cell>
          <cell r="AC149">
            <v>18481.090977099237</v>
          </cell>
          <cell r="AD149">
            <v>17796.365282442748</v>
          </cell>
          <cell r="AE149">
            <v>16987.439587786259</v>
          </cell>
          <cell r="AF149">
            <v>18729.490977099234</v>
          </cell>
          <cell r="AG149">
            <v>17270.939587786259</v>
          </cell>
          <cell r="AH149">
            <v>18093.365282442748</v>
          </cell>
        </row>
        <row r="150">
          <cell r="W150">
            <v>114087.91305343513</v>
          </cell>
          <cell r="X150">
            <v>104499.10896183207</v>
          </cell>
          <cell r="Y150">
            <v>105419.56579694655</v>
          </cell>
          <cell r="Z150">
            <v>110672.55152061068</v>
          </cell>
          <cell r="AA150">
            <v>115819.0420442748</v>
          </cell>
          <cell r="AB150">
            <v>106431.59367938932</v>
          </cell>
          <cell r="AC150">
            <v>121121.00920763356</v>
          </cell>
          <cell r="AD150">
            <v>115965.75837251906</v>
          </cell>
          <cell r="AE150">
            <v>111016.34113740458</v>
          </cell>
          <cell r="AF150">
            <v>121991.07160763355</v>
          </cell>
          <cell r="AG150">
            <v>111597.51613740459</v>
          </cell>
          <cell r="AH150">
            <v>117028.18677251908</v>
          </cell>
        </row>
        <row r="151"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W152">
            <v>4876</v>
          </cell>
          <cell r="X152">
            <v>4452</v>
          </cell>
          <cell r="Y152">
            <v>4452</v>
          </cell>
          <cell r="Z152">
            <v>4664</v>
          </cell>
          <cell r="AA152">
            <v>4876</v>
          </cell>
          <cell r="AB152">
            <v>4240</v>
          </cell>
          <cell r="AC152">
            <v>4876</v>
          </cell>
          <cell r="AD152">
            <v>4664</v>
          </cell>
          <cell r="AE152">
            <v>4652.34</v>
          </cell>
          <cell r="AF152">
            <v>5095.42</v>
          </cell>
          <cell r="AG152">
            <v>4652.34</v>
          </cell>
          <cell r="AH152">
            <v>4873.88</v>
          </cell>
        </row>
        <row r="153">
          <cell r="W153">
            <v>22933.65992366412</v>
          </cell>
          <cell r="X153">
            <v>21098.188625954197</v>
          </cell>
          <cell r="Y153">
            <v>21226.708625954197</v>
          </cell>
          <cell r="Z153">
            <v>22237.504274809158</v>
          </cell>
          <cell r="AA153">
            <v>23521.001723664118</v>
          </cell>
          <cell r="AB153">
            <v>20453.044977099235</v>
          </cell>
          <cell r="AC153">
            <v>21669.141799999998</v>
          </cell>
          <cell r="AD153">
            <v>20727.0052</v>
          </cell>
          <cell r="AE153">
            <v>19784.868600000002</v>
          </cell>
          <cell r="AF153">
            <v>21785.061799999996</v>
          </cell>
          <cell r="AG153">
            <v>19890.708600000002</v>
          </cell>
          <cell r="AH153">
            <v>20837.885200000001</v>
          </cell>
        </row>
        <row r="154"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W155">
            <v>117667.48487022899</v>
          </cell>
          <cell r="X155">
            <v>119393.42661068701</v>
          </cell>
          <cell r="Y155">
            <v>119564.75359580151</v>
          </cell>
          <cell r="Z155">
            <v>126121.29213435114</v>
          </cell>
          <cell r="AA155">
            <v>132253.58814045798</v>
          </cell>
          <cell r="AB155">
            <v>119745.01662595419</v>
          </cell>
          <cell r="AC155">
            <v>143723.45879007631</v>
          </cell>
          <cell r="AD155">
            <v>138075.10715572519</v>
          </cell>
          <cell r="AE155">
            <v>132125.86428893128</v>
          </cell>
          <cell r="AF155">
            <v>145279.03874465643</v>
          </cell>
          <cell r="AG155">
            <v>132674.29277381682</v>
          </cell>
          <cell r="AH155">
            <v>139134.67623923661</v>
          </cell>
        </row>
        <row r="156">
          <cell r="W156">
            <v>11454</v>
          </cell>
          <cell r="X156">
            <v>10458</v>
          </cell>
          <cell r="Y156">
            <v>10458</v>
          </cell>
          <cell r="Z156">
            <v>14476</v>
          </cell>
          <cell r="AA156">
            <v>15134</v>
          </cell>
          <cell r="AB156">
            <v>13318.4</v>
          </cell>
          <cell r="AC156">
            <v>15477.619999999999</v>
          </cell>
          <cell r="AD156">
            <v>14969.02</v>
          </cell>
          <cell r="AE156">
            <v>14288.609999999999</v>
          </cell>
          <cell r="AF156">
            <v>15649.43</v>
          </cell>
          <cell r="AG156">
            <v>14288.609999999999</v>
          </cell>
          <cell r="AH156">
            <v>14969.02</v>
          </cell>
        </row>
        <row r="157">
          <cell r="W157">
            <v>29124.905267175571</v>
          </cell>
          <cell r="X157">
            <v>26592.304809160305</v>
          </cell>
          <cell r="Y157">
            <v>26592.304809160305</v>
          </cell>
          <cell r="Z157">
            <v>27858.605038167938</v>
          </cell>
          <cell r="AA157">
            <v>29622.062381679389</v>
          </cell>
          <cell r="AB157">
            <v>26465.674786259537</v>
          </cell>
          <cell r="AC157">
            <v>30435.526004198469</v>
          </cell>
          <cell r="AD157">
            <v>29112.242264885492</v>
          </cell>
          <cell r="AE157">
            <v>27788.958525572518</v>
          </cell>
          <cell r="AF157">
            <v>30435.526004198469</v>
          </cell>
          <cell r="AG157">
            <v>27788.958525572518</v>
          </cell>
          <cell r="AH157">
            <v>29112.242264885492</v>
          </cell>
        </row>
        <row r="158">
          <cell r="W158">
            <v>15892.66290076336</v>
          </cell>
          <cell r="X158">
            <v>14510.692213740458</v>
          </cell>
          <cell r="Y158">
            <v>14510.692213740458</v>
          </cell>
          <cell r="Z158">
            <v>15201.677557251909</v>
          </cell>
          <cell r="AA158">
            <v>15892.66290076336</v>
          </cell>
          <cell r="AB158">
            <v>14016.196312977099</v>
          </cell>
          <cell r="AC158">
            <v>16118.625759923663</v>
          </cell>
          <cell r="AD158">
            <v>15548.812744274808</v>
          </cell>
          <cell r="AE158">
            <v>14842.048528625954</v>
          </cell>
          <cell r="AF158">
            <v>16421.176959923665</v>
          </cell>
          <cell r="AG158">
            <v>14993.248528625954</v>
          </cell>
          <cell r="AH158">
            <v>15707.21274427481</v>
          </cell>
        </row>
        <row r="159">
          <cell r="W159">
            <v>65409.230870229003</v>
          </cell>
          <cell r="X159">
            <v>60456.068929007633</v>
          </cell>
          <cell r="Y159">
            <v>60837.848929007632</v>
          </cell>
          <cell r="Z159">
            <v>63734.889354198473</v>
          </cell>
          <cell r="AA159">
            <v>66631.929779389306</v>
          </cell>
          <cell r="AB159">
            <v>57968.499703816793</v>
          </cell>
          <cell r="AC159">
            <v>66798.490259389306</v>
          </cell>
          <cell r="AD159">
            <v>64139.332074198472</v>
          </cell>
          <cell r="AE159">
            <v>61412.907889007627</v>
          </cell>
          <cell r="AF159">
            <v>67601.236259389305</v>
          </cell>
          <cell r="AG159">
            <v>61722.867889007633</v>
          </cell>
          <cell r="AH159">
            <v>64662.052074198473</v>
          </cell>
        </row>
        <row r="160"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W161">
            <v>10905.311297709923</v>
          </cell>
          <cell r="X161">
            <v>9957.0233587786261</v>
          </cell>
          <cell r="Y161">
            <v>9957.0233587786261</v>
          </cell>
          <cell r="Z161">
            <v>14901.973740458016</v>
          </cell>
          <cell r="AA161">
            <v>15579.336183206107</v>
          </cell>
          <cell r="AB161">
            <v>13547.24885496183</v>
          </cell>
          <cell r="AC161">
            <v>15579.336183206107</v>
          </cell>
          <cell r="AD161">
            <v>15086.668140458016</v>
          </cell>
          <cell r="AE161">
            <v>14400.910497709923</v>
          </cell>
          <cell r="AF161">
            <v>15772.425783206107</v>
          </cell>
          <cell r="AG161">
            <v>14412.722997709923</v>
          </cell>
          <cell r="AH161">
            <v>15099.043140458016</v>
          </cell>
        </row>
        <row r="162">
          <cell r="W162">
            <v>75110.373129771004</v>
          </cell>
          <cell r="X162">
            <v>69070.436335877865</v>
          </cell>
          <cell r="Y162">
            <v>71590.436335877865</v>
          </cell>
          <cell r="Z162">
            <v>80107.02473282443</v>
          </cell>
          <cell r="AA162">
            <v>90404.647207633592</v>
          </cell>
          <cell r="AB162">
            <v>78612.736702290073</v>
          </cell>
          <cell r="AC162">
            <v>90630.691207633587</v>
          </cell>
          <cell r="AD162">
            <v>86809.026372519089</v>
          </cell>
          <cell r="AE162">
            <v>82976.561537404559</v>
          </cell>
          <cell r="AF162">
            <v>90879.091207633581</v>
          </cell>
          <cell r="AG162">
            <v>83670.985337404563</v>
          </cell>
          <cell r="AH162">
            <v>87655.317972519071</v>
          </cell>
        </row>
        <row r="163"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6">
          <cell r="K166">
            <v>10.237500000000001</v>
          </cell>
        </row>
        <row r="167">
          <cell r="K167">
            <v>10.237500000000001</v>
          </cell>
        </row>
        <row r="168">
          <cell r="K168">
            <v>10.237500000000001</v>
          </cell>
        </row>
        <row r="169">
          <cell r="K169">
            <v>10.237500000000001</v>
          </cell>
        </row>
        <row r="170">
          <cell r="K170">
            <v>10.237500000000001</v>
          </cell>
        </row>
        <row r="171">
          <cell r="K171">
            <v>10.237500000000001</v>
          </cell>
        </row>
        <row r="172">
          <cell r="K172">
            <v>10.237500000000001</v>
          </cell>
        </row>
        <row r="173">
          <cell r="K173">
            <v>10.237500000000001</v>
          </cell>
        </row>
        <row r="174">
          <cell r="K174">
            <v>10.237500000000001</v>
          </cell>
        </row>
        <row r="175">
          <cell r="K175">
            <v>10.237500000000001</v>
          </cell>
        </row>
        <row r="176">
          <cell r="K176">
            <v>10.237500000000001</v>
          </cell>
        </row>
        <row r="177">
          <cell r="K177">
            <v>10.237500000000001</v>
          </cell>
        </row>
      </sheetData>
      <sheetData sheetId="11"/>
      <sheetData sheetId="12"/>
      <sheetData sheetId="13"/>
      <sheetData sheetId="14"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  <row r="39"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F3">
            <v>1913.28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F49926F-C676-4DCA-A410-671527E918B6}">
  <we:reference id="wa200003784" version="1.2.0.1" store="en-GB" storeType="OMEX"/>
  <we:alternateReferences>
    <we:reference id="wa200003784" version="1.2.0.1" store="en-GB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86C5-CCBD-4EA0-A2B8-F2F3738E426C}">
  <dimension ref="A1"/>
  <sheetViews>
    <sheetView workbookViewId="0">
      <selection activeCell="B10" sqref="B10"/>
    </sheetView>
  </sheetViews>
  <sheetFormatPr defaultColWidth="12.42578125" defaultRowHeight="12.75" x14ac:dyDescent="0.2"/>
  <cols>
    <col min="1" max="16384" width="12.42578125" style="381"/>
  </cols>
  <sheetData/>
  <sheetProtection algorithmName="SHA-512" hashValue="FfpwgJ7SLHp+KclY6gnsAUz4sumWMzMEXpFpCjHg7dF1I7Ca2VElT8hq8IbZQha10lqoJKCgNmQUAbYXwWsvuw==" saltValue="kHYnD4MCiV8VVtM1OQ+Smw==" spinCount="100000" sheet="1" formatCells="0" formatColumns="0" format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70CF-3AB2-4C12-83EB-ED962FC22E6C}">
  <dimension ref="A1:Z137"/>
  <sheetViews>
    <sheetView topLeftCell="A27" workbookViewId="0">
      <selection activeCell="A24" sqref="A24:XFD24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7" width="8.5703125" bestFit="1" customWidth="1"/>
    <col min="18" max="18" width="13.7109375" customWidth="1"/>
    <col min="19" max="19" width="47.42578125" customWidth="1"/>
    <col min="20" max="20" width="10" bestFit="1" customWidth="1"/>
    <col min="21" max="21" width="11.85546875" customWidth="1"/>
    <col min="24" max="24" width="11.140625" customWidth="1"/>
    <col min="25" max="26" width="13.85546875" customWidth="1"/>
  </cols>
  <sheetData>
    <row r="1" spans="1:26" ht="18" x14ac:dyDescent="0.25">
      <c r="A1" s="401" t="s">
        <v>369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6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6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6" s="334" customFormat="1" x14ac:dyDescent="0.25">
      <c r="A4"/>
      <c r="B4"/>
      <c r="C4"/>
      <c r="D4"/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  <c r="Q4"/>
    </row>
    <row r="5" spans="1:26" s="334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6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6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  <c r="V7" s="15"/>
    </row>
    <row r="8" spans="1:26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  <c r="V8" s="15"/>
    </row>
    <row r="9" spans="1:26" x14ac:dyDescent="0.25">
      <c r="A9" s="25"/>
      <c r="B9" s="15" t="s">
        <v>24</v>
      </c>
      <c r="C9" s="16">
        <v>9.8880000000000017</v>
      </c>
      <c r="D9" s="17">
        <v>0.82400000000000007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3</v>
      </c>
      <c r="L9" s="18">
        <v>3</v>
      </c>
      <c r="M9" s="18">
        <v>3</v>
      </c>
      <c r="N9" s="18">
        <v>3</v>
      </c>
      <c r="O9" s="18">
        <v>3</v>
      </c>
      <c r="P9" s="18">
        <v>3</v>
      </c>
      <c r="Q9" s="19">
        <f t="shared" si="0"/>
        <v>30</v>
      </c>
      <c r="R9" s="20">
        <f t="shared" si="1"/>
        <v>2.5</v>
      </c>
      <c r="S9" s="15"/>
      <c r="T9" s="21"/>
      <c r="U9" s="22">
        <f>IFERROR((Q9-C9)/C9,0)</f>
        <v>2.0339805825242712</v>
      </c>
      <c r="V9" s="15"/>
    </row>
    <row r="10" spans="1:26" ht="17.25" customHeight="1" x14ac:dyDescent="0.25">
      <c r="A10" s="15"/>
      <c r="B10" s="15" t="s">
        <v>25</v>
      </c>
      <c r="C10" s="16">
        <v>108.01200000000001</v>
      </c>
      <c r="D10" s="17">
        <v>9.0010000000000012</v>
      </c>
      <c r="E10" s="18">
        <v>13</v>
      </c>
      <c r="F10" s="18">
        <v>13</v>
      </c>
      <c r="G10" s="18">
        <v>13</v>
      </c>
      <c r="H10" s="18">
        <v>13</v>
      </c>
      <c r="I10" s="18">
        <v>13</v>
      </c>
      <c r="J10" s="18">
        <v>13</v>
      </c>
      <c r="K10" s="18">
        <v>13</v>
      </c>
      <c r="L10" s="18">
        <v>13</v>
      </c>
      <c r="M10" s="18">
        <v>13</v>
      </c>
      <c r="N10" s="18">
        <v>13</v>
      </c>
      <c r="O10" s="18">
        <v>13</v>
      </c>
      <c r="P10" s="18">
        <v>13</v>
      </c>
      <c r="Q10" s="19">
        <f t="shared" si="0"/>
        <v>156</v>
      </c>
      <c r="R10" s="20">
        <f t="shared" si="1"/>
        <v>13</v>
      </c>
      <c r="S10" s="15"/>
      <c r="T10" s="21"/>
      <c r="U10" s="22">
        <f t="shared" si="2"/>
        <v>0.44428396844795004</v>
      </c>
      <c r="V10" s="15"/>
    </row>
    <row r="11" spans="1:26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 t="shared" si="1"/>
        <v>#DIV/0!</v>
      </c>
      <c r="S11" s="15"/>
      <c r="T11" s="21"/>
      <c r="U11" s="22">
        <f t="shared" si="2"/>
        <v>0</v>
      </c>
      <c r="V11" s="15"/>
    </row>
    <row r="12" spans="1:26" x14ac:dyDescent="0.25">
      <c r="A12" s="15"/>
      <c r="B12" s="15" t="s">
        <v>27</v>
      </c>
      <c r="C12" s="16">
        <v>13.98</v>
      </c>
      <c r="D12" s="17">
        <v>1.165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3</v>
      </c>
      <c r="L12" s="18">
        <v>3</v>
      </c>
      <c r="M12" s="18">
        <v>3</v>
      </c>
      <c r="N12" s="18">
        <v>3</v>
      </c>
      <c r="O12" s="18">
        <v>3</v>
      </c>
      <c r="P12" s="18">
        <v>3</v>
      </c>
      <c r="Q12" s="19">
        <f>SUM(E12:P12)</f>
        <v>30</v>
      </c>
      <c r="R12" s="20">
        <f>AVERAGE(E12:P12)</f>
        <v>2.5</v>
      </c>
      <c r="S12" s="15"/>
      <c r="T12" s="21"/>
      <c r="U12" s="22">
        <f t="shared" si="2"/>
        <v>1.1459227467811157</v>
      </c>
      <c r="V12" s="15"/>
    </row>
    <row r="13" spans="1:26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 t="shared" si="1"/>
        <v>#DIV/0!</v>
      </c>
      <c r="S13" s="15"/>
      <c r="T13" s="21"/>
      <c r="U13" s="22">
        <f t="shared" si="2"/>
        <v>0</v>
      </c>
      <c r="V13" s="15"/>
    </row>
    <row r="14" spans="1:26" x14ac:dyDescent="0.25">
      <c r="A14" s="25"/>
      <c r="B14" s="15" t="s">
        <v>29</v>
      </c>
      <c r="C14" s="26">
        <f>SUM(C7:C13)</f>
        <v>131.88000000000002</v>
      </c>
      <c r="D14" s="27">
        <f t="shared" ref="D14:Q14" si="3">SUM(D7:D13)</f>
        <v>10.990000000000002</v>
      </c>
      <c r="E14" s="28">
        <f t="shared" si="3"/>
        <v>17</v>
      </c>
      <c r="F14" s="28">
        <f t="shared" si="3"/>
        <v>17</v>
      </c>
      <c r="G14" s="28">
        <f t="shared" si="3"/>
        <v>17</v>
      </c>
      <c r="H14" s="28">
        <f t="shared" si="3"/>
        <v>17</v>
      </c>
      <c r="I14" s="28">
        <f t="shared" si="3"/>
        <v>17</v>
      </c>
      <c r="J14" s="28">
        <f t="shared" si="3"/>
        <v>17</v>
      </c>
      <c r="K14" s="28">
        <f t="shared" si="3"/>
        <v>19</v>
      </c>
      <c r="L14" s="28">
        <f t="shared" si="3"/>
        <v>19</v>
      </c>
      <c r="M14" s="28">
        <f t="shared" si="3"/>
        <v>19</v>
      </c>
      <c r="N14" s="28">
        <f>SUM(N7:N13)</f>
        <v>19</v>
      </c>
      <c r="O14" s="28">
        <f t="shared" si="3"/>
        <v>19</v>
      </c>
      <c r="P14" s="28">
        <f t="shared" si="3"/>
        <v>19</v>
      </c>
      <c r="Q14" s="336">
        <f t="shared" si="3"/>
        <v>216</v>
      </c>
      <c r="R14" s="337">
        <f>AVERAGE(E14:P14)</f>
        <v>18</v>
      </c>
      <c r="T14" s="30"/>
      <c r="U14" s="31">
        <f>IFERROR((Q14-C14)/C14,0)</f>
        <v>0.63785259326660571</v>
      </c>
    </row>
    <row r="15" spans="1:26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6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V16" s="15"/>
      <c r="W16"/>
      <c r="X16"/>
      <c r="Y16"/>
      <c r="Z16"/>
    </row>
    <row r="17" spans="1:26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V17" s="15"/>
      <c r="W17"/>
      <c r="X17"/>
      <c r="Y17"/>
      <c r="Z17"/>
    </row>
    <row r="18" spans="1:26" s="44" customFormat="1" x14ac:dyDescent="0.25">
      <c r="B18" s="15" t="s">
        <v>33</v>
      </c>
      <c r="C18" s="40"/>
      <c r="D18" s="41"/>
      <c r="E18" s="42">
        <v>280</v>
      </c>
      <c r="F18" s="42">
        <v>280</v>
      </c>
      <c r="G18" s="42">
        <v>280</v>
      </c>
      <c r="H18" s="42">
        <v>280</v>
      </c>
      <c r="I18" s="42">
        <v>280</v>
      </c>
      <c r="J18" s="42">
        <v>280</v>
      </c>
      <c r="K18" s="42">
        <v>280</v>
      </c>
      <c r="L18" s="42">
        <v>280</v>
      </c>
      <c r="M18" s="42">
        <v>280</v>
      </c>
      <c r="N18" s="42">
        <v>280</v>
      </c>
      <c r="O18" s="42">
        <v>280</v>
      </c>
      <c r="P18" s="42">
        <v>280</v>
      </c>
      <c r="Q18" s="42">
        <f>AVERAGE(E18:P18)</f>
        <v>280</v>
      </c>
      <c r="R18" s="43">
        <f t="shared" si="1"/>
        <v>280</v>
      </c>
      <c r="S18" s="15"/>
      <c r="T18" s="21"/>
      <c r="U18" s="22" t="str">
        <f t="shared" si="4"/>
        <v/>
      </c>
      <c r="V18" s="15"/>
      <c r="W18"/>
      <c r="X18"/>
      <c r="Y18"/>
      <c r="Z18"/>
    </row>
    <row r="19" spans="1:26" s="44" customFormat="1" x14ac:dyDescent="0.25">
      <c r="B19" s="15" t="s">
        <v>34</v>
      </c>
      <c r="C19" s="40"/>
      <c r="D19" s="41"/>
      <c r="E19" s="42">
        <v>180</v>
      </c>
      <c r="F19" s="42">
        <v>180</v>
      </c>
      <c r="G19" s="42">
        <v>180</v>
      </c>
      <c r="H19" s="42">
        <v>180</v>
      </c>
      <c r="I19" s="42">
        <v>180</v>
      </c>
      <c r="J19" s="42">
        <v>180</v>
      </c>
      <c r="K19" s="42">
        <v>180</v>
      </c>
      <c r="L19" s="42">
        <v>180</v>
      </c>
      <c r="M19" s="42">
        <v>180</v>
      </c>
      <c r="N19" s="42">
        <v>180</v>
      </c>
      <c r="O19" s="42">
        <v>180</v>
      </c>
      <c r="P19" s="42">
        <v>180</v>
      </c>
      <c r="Q19" s="42">
        <f>AVERAGE(E19:P19)</f>
        <v>180</v>
      </c>
      <c r="R19" s="43">
        <f t="shared" si="1"/>
        <v>180</v>
      </c>
      <c r="S19" s="15"/>
      <c r="T19" s="21"/>
      <c r="U19" s="22" t="str">
        <f t="shared" si="4"/>
        <v/>
      </c>
      <c r="V19" s="15"/>
      <c r="W19"/>
      <c r="X19"/>
      <c r="Y19"/>
      <c r="Z19"/>
    </row>
    <row r="20" spans="1:26" s="44" customFormat="1" ht="14.25" customHeigh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4"/>
        <v/>
      </c>
      <c r="V20" s="15"/>
      <c r="W20"/>
      <c r="X20"/>
      <c r="Y20"/>
      <c r="Z20"/>
    </row>
    <row r="21" spans="1:26" s="44" customFormat="1" hidden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4"/>
        <v/>
      </c>
      <c r="V21" s="15"/>
      <c r="W21"/>
      <c r="X21"/>
      <c r="Y21"/>
      <c r="Z21"/>
    </row>
    <row r="22" spans="1:26" s="44" customFormat="1" x14ac:dyDescent="0.25">
      <c r="B22" s="15"/>
      <c r="C22" s="46"/>
      <c r="D22" s="47"/>
      <c r="E22" s="42"/>
      <c r="R22" s="48"/>
      <c r="S22" s="49"/>
      <c r="T22" s="50"/>
      <c r="U22" s="50"/>
      <c r="V22" s="49"/>
      <c r="W22"/>
      <c r="X22"/>
      <c r="Y22"/>
      <c r="Z22"/>
    </row>
    <row r="23" spans="1:26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6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53"/>
    </row>
    <row r="25" spans="1:26" x14ac:dyDescent="0.25">
      <c r="A25" s="25"/>
      <c r="B25" s="15" t="s">
        <v>39</v>
      </c>
      <c r="C25" s="56">
        <v>0</v>
      </c>
      <c r="D25" s="57">
        <f t="shared" ref="D25:D29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 t="shared" si="1"/>
        <v>0</v>
      </c>
      <c r="S25" s="15"/>
      <c r="T25" s="61"/>
      <c r="U25" s="62">
        <f t="shared" si="6"/>
        <v>0</v>
      </c>
      <c r="V25" s="53"/>
    </row>
    <row r="26" spans="1:26" x14ac:dyDescent="0.25">
      <c r="A26" s="25"/>
      <c r="B26" s="15" t="s">
        <v>40</v>
      </c>
      <c r="C26" s="56">
        <v>313178.28000000003</v>
      </c>
      <c r="D26" s="57">
        <f t="shared" si="7"/>
        <v>26098.190000000002</v>
      </c>
      <c r="E26" s="58">
        <f>(((E9*E18)*21.75)+(((E10*E19)*13.08)+(((E11*E20)*4.33))))</f>
        <v>42787.199999999997</v>
      </c>
      <c r="F26" s="58">
        <f t="shared" ref="F26:O26" si="8">(((F9*F18)*21.75)+(((F10*F19)*13.08)+(((F11*F20)*4.33))))</f>
        <v>42787.199999999997</v>
      </c>
      <c r="G26" s="58">
        <f t="shared" si="8"/>
        <v>42787.199999999997</v>
      </c>
      <c r="H26" s="58">
        <f t="shared" si="8"/>
        <v>42787.199999999997</v>
      </c>
      <c r="I26" s="58">
        <f t="shared" si="8"/>
        <v>42787.199999999997</v>
      </c>
      <c r="J26" s="58">
        <f t="shared" si="8"/>
        <v>42787.199999999997</v>
      </c>
      <c r="K26" s="58">
        <f t="shared" si="8"/>
        <v>48877.2</v>
      </c>
      <c r="L26" s="58">
        <f t="shared" si="8"/>
        <v>48877.2</v>
      </c>
      <c r="M26" s="58">
        <f t="shared" si="8"/>
        <v>48877.2</v>
      </c>
      <c r="N26" s="58">
        <f t="shared" si="8"/>
        <v>48877.2</v>
      </c>
      <c r="O26" s="58">
        <f t="shared" si="8"/>
        <v>48877.2</v>
      </c>
      <c r="P26" s="58">
        <f>(((P9*P18)*21.75)+(((P10*P19)*13.08)+(((P11*P20)*4.33))))</f>
        <v>48877.2</v>
      </c>
      <c r="Q26" s="59">
        <f>SUM(E26:P26)</f>
        <v>549986.4</v>
      </c>
      <c r="R26" s="60">
        <f t="shared" si="1"/>
        <v>45832.200000000004</v>
      </c>
      <c r="S26" s="15"/>
      <c r="T26" s="61"/>
      <c r="U26" s="62">
        <f t="shared" si="6"/>
        <v>0.75614477479089537</v>
      </c>
      <c r="V26" s="53"/>
    </row>
    <row r="27" spans="1:26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7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 t="shared" si="1"/>
        <v>0</v>
      </c>
      <c r="S27" s="15"/>
      <c r="T27" s="61"/>
      <c r="U27" s="62">
        <f t="shared" si="6"/>
        <v>0</v>
      </c>
      <c r="V27" s="15"/>
    </row>
    <row r="28" spans="1:26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9">
        <f>SUM(E28:P28)</f>
        <v>0</v>
      </c>
      <c r="R28" s="60">
        <f t="shared" si="1"/>
        <v>0</v>
      </c>
      <c r="S28" s="15"/>
      <c r="T28" s="61"/>
      <c r="U28" s="62">
        <f t="shared" si="6"/>
        <v>0</v>
      </c>
      <c r="V28" s="15"/>
    </row>
    <row r="29" spans="1:26" x14ac:dyDescent="0.25">
      <c r="A29" s="63" t="s">
        <v>43</v>
      </c>
      <c r="B29" s="15"/>
      <c r="C29" s="64">
        <f>SUM(C24:C28)</f>
        <v>313178.28000000003</v>
      </c>
      <c r="D29" s="57">
        <f t="shared" si="7"/>
        <v>26098.190000000002</v>
      </c>
      <c r="E29" s="66">
        <f t="shared" ref="E29:Q29" si="10">SUM(E24:E28)</f>
        <v>42787.199999999997</v>
      </c>
      <c r="F29" s="66">
        <f t="shared" si="10"/>
        <v>42787.199999999997</v>
      </c>
      <c r="G29" s="66">
        <f t="shared" si="10"/>
        <v>42787.199999999997</v>
      </c>
      <c r="H29" s="66">
        <f t="shared" si="10"/>
        <v>42787.199999999997</v>
      </c>
      <c r="I29" s="66">
        <f t="shared" si="10"/>
        <v>42787.199999999997</v>
      </c>
      <c r="J29" s="66">
        <f t="shared" si="10"/>
        <v>42787.199999999997</v>
      </c>
      <c r="K29" s="66">
        <f t="shared" si="10"/>
        <v>48877.2</v>
      </c>
      <c r="L29" s="66">
        <f t="shared" si="10"/>
        <v>48877.2</v>
      </c>
      <c r="M29" s="66">
        <f t="shared" si="10"/>
        <v>48877.2</v>
      </c>
      <c r="N29" s="66">
        <f t="shared" si="10"/>
        <v>48877.2</v>
      </c>
      <c r="O29" s="66">
        <f t="shared" si="10"/>
        <v>48877.2</v>
      </c>
      <c r="P29" s="66">
        <f t="shared" si="10"/>
        <v>48877.2</v>
      </c>
      <c r="Q29" s="66">
        <f t="shared" si="10"/>
        <v>549986.4</v>
      </c>
      <c r="R29" s="67">
        <f>AVERAGE(E29:P29)</f>
        <v>45832.200000000004</v>
      </c>
      <c r="T29" s="68"/>
      <c r="U29" s="69">
        <f t="shared" si="6"/>
        <v>0.75614477479089537</v>
      </c>
    </row>
    <row r="30" spans="1:26" x14ac:dyDescent="0.25">
      <c r="A30" s="15" t="s">
        <v>44</v>
      </c>
      <c r="B30" s="15"/>
      <c r="C30" s="64"/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T30" s="69"/>
      <c r="U30" s="69"/>
    </row>
    <row r="31" spans="1:26" x14ac:dyDescent="0.25">
      <c r="A31" s="63"/>
      <c r="B31" s="15" t="s">
        <v>45</v>
      </c>
      <c r="C31" s="56">
        <v>-180910.13</v>
      </c>
      <c r="D31" s="57">
        <f>C31/12</f>
        <v>-15075.844166666668</v>
      </c>
      <c r="E31" s="58">
        <f>-E26*0.7</f>
        <v>-29951.039999999997</v>
      </c>
      <c r="F31" s="58">
        <f t="shared" ref="F31:P31" si="11">-F26*0.7</f>
        <v>-29951.039999999997</v>
      </c>
      <c r="G31" s="58">
        <f t="shared" si="11"/>
        <v>-29951.039999999997</v>
      </c>
      <c r="H31" s="58">
        <f t="shared" si="11"/>
        <v>-29951.039999999997</v>
      </c>
      <c r="I31" s="58">
        <f t="shared" si="11"/>
        <v>-29951.039999999997</v>
      </c>
      <c r="J31" s="58">
        <f t="shared" si="11"/>
        <v>-29951.039999999997</v>
      </c>
      <c r="K31" s="58">
        <f t="shared" si="11"/>
        <v>-34214.039999999994</v>
      </c>
      <c r="L31" s="58">
        <f t="shared" si="11"/>
        <v>-34214.039999999994</v>
      </c>
      <c r="M31" s="58">
        <f t="shared" si="11"/>
        <v>-34214.039999999994</v>
      </c>
      <c r="N31" s="58">
        <f t="shared" si="11"/>
        <v>-34214.039999999994</v>
      </c>
      <c r="O31" s="58">
        <f t="shared" si="11"/>
        <v>-34214.039999999994</v>
      </c>
      <c r="P31" s="58">
        <f t="shared" si="11"/>
        <v>-34214.039999999994</v>
      </c>
      <c r="Q31" s="59">
        <f>SUM(E31:P31)</f>
        <v>-384990.47999999986</v>
      </c>
      <c r="R31" s="67">
        <f>AVERAGE(E31:P31)</f>
        <v>-32082.53999999999</v>
      </c>
      <c r="S31" s="338"/>
      <c r="T31" s="61"/>
      <c r="U31" s="62">
        <f t="shared" si="6"/>
        <v>1.1280758573331402</v>
      </c>
    </row>
    <row r="32" spans="1:26" x14ac:dyDescent="0.25">
      <c r="A32" s="63" t="s">
        <v>46</v>
      </c>
      <c r="B32" s="15"/>
      <c r="C32" s="64">
        <f t="shared" ref="C32:D32" si="12">SUM(C31)</f>
        <v>-180910.13</v>
      </c>
      <c r="D32" s="65">
        <f t="shared" si="12"/>
        <v>-15075.844166666668</v>
      </c>
      <c r="E32" s="66">
        <f>SUM(E31)</f>
        <v>-29951.039999999997</v>
      </c>
      <c r="F32" s="66">
        <f>SUM(F31)</f>
        <v>-29951.039999999997</v>
      </c>
      <c r="G32" s="66">
        <f t="shared" ref="G32:P32" si="13">SUM(G31)</f>
        <v>-29951.039999999997</v>
      </c>
      <c r="H32" s="66">
        <f t="shared" si="13"/>
        <v>-29951.039999999997</v>
      </c>
      <c r="I32" s="66">
        <f t="shared" si="13"/>
        <v>-29951.039999999997</v>
      </c>
      <c r="J32" s="66">
        <f t="shared" si="13"/>
        <v>-29951.039999999997</v>
      </c>
      <c r="K32" s="66">
        <f t="shared" si="13"/>
        <v>-34214.039999999994</v>
      </c>
      <c r="L32" s="66">
        <f t="shared" si="13"/>
        <v>-34214.039999999994</v>
      </c>
      <c r="M32" s="66">
        <f t="shared" si="13"/>
        <v>-34214.039999999994</v>
      </c>
      <c r="N32" s="66">
        <f t="shared" si="13"/>
        <v>-34214.039999999994</v>
      </c>
      <c r="O32" s="66">
        <f t="shared" si="13"/>
        <v>-34214.039999999994</v>
      </c>
      <c r="P32" s="66">
        <f t="shared" si="13"/>
        <v>-34214.039999999994</v>
      </c>
      <c r="Q32" s="66">
        <f>SUM(Q31)</f>
        <v>-384990.47999999986</v>
      </c>
      <c r="R32" s="67">
        <f>AVERAGE(E32:P32)</f>
        <v>-32082.53999999999</v>
      </c>
      <c r="T32" s="68"/>
      <c r="U32" s="69">
        <f t="shared" si="6"/>
        <v>1.1280758573331402</v>
      </c>
    </row>
    <row r="33" spans="1:26" s="70" customFormat="1" x14ac:dyDescent="0.25">
      <c r="A33" s="63" t="s">
        <v>47</v>
      </c>
      <c r="B33" s="70" t="s">
        <v>48</v>
      </c>
      <c r="C33" s="71">
        <f t="shared" ref="C33:D33" si="14">C29+C32</f>
        <v>132268.15000000002</v>
      </c>
      <c r="D33" s="72">
        <f t="shared" si="14"/>
        <v>11022.345833333335</v>
      </c>
      <c r="E33" s="73">
        <f>E29+E32</f>
        <v>12836.16</v>
      </c>
      <c r="F33" s="73">
        <f>F29+F32</f>
        <v>12836.16</v>
      </c>
      <c r="G33" s="73">
        <f t="shared" ref="G33:Q33" si="15">G29+G32</f>
        <v>12836.16</v>
      </c>
      <c r="H33" s="73">
        <f t="shared" si="15"/>
        <v>12836.16</v>
      </c>
      <c r="I33" s="73">
        <f t="shared" si="15"/>
        <v>12836.16</v>
      </c>
      <c r="J33" s="73">
        <f t="shared" si="15"/>
        <v>12836.16</v>
      </c>
      <c r="K33" s="73">
        <f t="shared" si="15"/>
        <v>14663.160000000003</v>
      </c>
      <c r="L33" s="73">
        <f t="shared" si="15"/>
        <v>14663.160000000003</v>
      </c>
      <c r="M33" s="73">
        <f t="shared" si="15"/>
        <v>14663.160000000003</v>
      </c>
      <c r="N33" s="73">
        <f t="shared" si="15"/>
        <v>14663.160000000003</v>
      </c>
      <c r="O33" s="73">
        <f t="shared" si="15"/>
        <v>14663.160000000003</v>
      </c>
      <c r="P33" s="73">
        <f t="shared" si="15"/>
        <v>14663.160000000003</v>
      </c>
      <c r="Q33" s="73">
        <f t="shared" si="15"/>
        <v>164995.92000000016</v>
      </c>
      <c r="R33" s="74">
        <f>AVERAGE(E33:P33)</f>
        <v>13749.660000000003</v>
      </c>
      <c r="T33" s="75"/>
      <c r="U33" s="76">
        <f t="shared" si="6"/>
        <v>0.24743500230403259</v>
      </c>
      <c r="W33"/>
      <c r="X33"/>
      <c r="Y33"/>
      <c r="Z33"/>
    </row>
    <row r="34" spans="1:26" x14ac:dyDescent="0.25">
      <c r="A34" s="78" t="s">
        <v>49</v>
      </c>
      <c r="B34" t="s">
        <v>48</v>
      </c>
      <c r="C34" s="79">
        <f t="shared" ref="C34:D34" si="16">C33</f>
        <v>132268.15000000002</v>
      </c>
      <c r="D34" s="80">
        <f t="shared" si="16"/>
        <v>11022.345833333335</v>
      </c>
      <c r="E34" s="81">
        <f>E33</f>
        <v>12836.16</v>
      </c>
      <c r="F34" s="81">
        <f t="shared" ref="F34:Q34" si="17">F33</f>
        <v>12836.16</v>
      </c>
      <c r="G34" s="81">
        <f t="shared" si="17"/>
        <v>12836.16</v>
      </c>
      <c r="H34" s="81">
        <f t="shared" si="17"/>
        <v>12836.16</v>
      </c>
      <c r="I34" s="81">
        <f t="shared" si="17"/>
        <v>12836.16</v>
      </c>
      <c r="J34" s="81">
        <f t="shared" si="17"/>
        <v>12836.16</v>
      </c>
      <c r="K34" s="81">
        <f t="shared" si="17"/>
        <v>14663.160000000003</v>
      </c>
      <c r="L34" s="81">
        <f t="shared" si="17"/>
        <v>14663.160000000003</v>
      </c>
      <c r="M34" s="81">
        <f t="shared" si="17"/>
        <v>14663.160000000003</v>
      </c>
      <c r="N34" s="81">
        <f t="shared" si="17"/>
        <v>14663.160000000003</v>
      </c>
      <c r="O34" s="81">
        <f t="shared" si="17"/>
        <v>14663.160000000003</v>
      </c>
      <c r="P34" s="81">
        <f t="shared" si="17"/>
        <v>14663.160000000003</v>
      </c>
      <c r="Q34" s="81">
        <f t="shared" si="17"/>
        <v>164995.92000000016</v>
      </c>
      <c r="R34" s="82">
        <f t="shared" si="1"/>
        <v>13749.660000000003</v>
      </c>
      <c r="T34" s="30"/>
      <c r="U34" s="31">
        <f t="shared" si="6"/>
        <v>0.24743500230403259</v>
      </c>
      <c r="W34" s="70"/>
      <c r="X34" s="70"/>
      <c r="Y34" s="70"/>
      <c r="Z34" s="70"/>
    </row>
    <row r="35" spans="1:26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6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6" x14ac:dyDescent="0.25">
      <c r="A37" s="25"/>
      <c r="B37" s="15" t="s">
        <v>52</v>
      </c>
      <c r="C37" s="56"/>
      <c r="D37" s="57"/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f>SUM(E37:P37)</f>
        <v>0</v>
      </c>
      <c r="R37" s="89">
        <f>AVERAGE(E37:P37)</f>
        <v>0</v>
      </c>
      <c r="S37" s="15"/>
      <c r="T37" s="62">
        <f>Q37/$Q$34</f>
        <v>0</v>
      </c>
      <c r="U37" s="62">
        <f t="shared" si="6"/>
        <v>0</v>
      </c>
      <c r="V37" s="15"/>
    </row>
    <row r="38" spans="1:26" x14ac:dyDescent="0.25">
      <c r="A38" s="25"/>
      <c r="B38" s="15" t="s">
        <v>53</v>
      </c>
      <c r="C38" s="56"/>
      <c r="D38" s="57"/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f t="shared" ref="Q38:Q47" si="18">SUM(E38:P38)</f>
        <v>0</v>
      </c>
      <c r="R38" s="89">
        <f t="shared" si="1"/>
        <v>0</v>
      </c>
      <c r="S38" s="15"/>
      <c r="T38" s="62">
        <f t="shared" ref="T38:T102" si="19">Q38/$Q$34</f>
        <v>0</v>
      </c>
      <c r="U38" s="62">
        <f t="shared" si="6"/>
        <v>0</v>
      </c>
      <c r="V38" s="15"/>
    </row>
    <row r="39" spans="1:26" x14ac:dyDescent="0.25">
      <c r="A39" s="25"/>
      <c r="B39" s="15" t="s">
        <v>54</v>
      </c>
      <c r="C39" s="56"/>
      <c r="D39" s="57"/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f t="shared" si="18"/>
        <v>0</v>
      </c>
      <c r="R39" s="89">
        <f t="shared" si="1"/>
        <v>0</v>
      </c>
      <c r="S39" s="15"/>
      <c r="T39" s="62">
        <f t="shared" si="19"/>
        <v>0</v>
      </c>
      <c r="U39" s="62">
        <f t="shared" si="6"/>
        <v>0</v>
      </c>
      <c r="V39" s="15"/>
    </row>
    <row r="40" spans="1:26" x14ac:dyDescent="0.25">
      <c r="A40" s="25"/>
      <c r="B40" s="15" t="s">
        <v>55</v>
      </c>
      <c r="C40" s="56"/>
      <c r="D40" s="57"/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f t="shared" si="18"/>
        <v>0</v>
      </c>
      <c r="R40" s="89">
        <f t="shared" si="1"/>
        <v>0</v>
      </c>
      <c r="S40" s="15"/>
      <c r="T40" s="62">
        <f t="shared" si="19"/>
        <v>0</v>
      </c>
      <c r="U40" s="62">
        <f t="shared" si="6"/>
        <v>0</v>
      </c>
      <c r="V40" s="15"/>
    </row>
    <row r="41" spans="1:26" x14ac:dyDescent="0.25">
      <c r="A41" s="25"/>
      <c r="B41" s="15" t="s">
        <v>56</v>
      </c>
      <c r="C41" s="56"/>
      <c r="D41" s="57"/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f t="shared" si="18"/>
        <v>0</v>
      </c>
      <c r="R41" s="89">
        <f t="shared" si="1"/>
        <v>0</v>
      </c>
      <c r="S41" s="15"/>
      <c r="T41" s="62">
        <f t="shared" si="19"/>
        <v>0</v>
      </c>
      <c r="U41" s="62">
        <f t="shared" si="6"/>
        <v>0</v>
      </c>
      <c r="V41" s="15"/>
    </row>
    <row r="42" spans="1:26" x14ac:dyDescent="0.25">
      <c r="A42" s="25"/>
      <c r="B42" s="15" t="s">
        <v>57</v>
      </c>
      <c r="C42" s="56"/>
      <c r="D42" s="57"/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f t="shared" si="18"/>
        <v>0</v>
      </c>
      <c r="R42" s="89">
        <f t="shared" si="1"/>
        <v>0</v>
      </c>
      <c r="S42" s="15"/>
      <c r="T42" s="62">
        <f t="shared" si="19"/>
        <v>0</v>
      </c>
      <c r="U42" s="62">
        <f t="shared" si="6"/>
        <v>0</v>
      </c>
      <c r="V42" s="15"/>
    </row>
    <row r="43" spans="1:26" x14ac:dyDescent="0.25">
      <c r="A43" s="25"/>
      <c r="B43" s="15" t="s">
        <v>58</v>
      </c>
      <c r="C43" s="56"/>
      <c r="D43" s="57"/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f t="shared" si="18"/>
        <v>0</v>
      </c>
      <c r="R43" s="89">
        <f t="shared" si="1"/>
        <v>0</v>
      </c>
      <c r="S43" s="15"/>
      <c r="T43" s="62">
        <f t="shared" si="19"/>
        <v>0</v>
      </c>
      <c r="U43" s="62">
        <f t="shared" si="6"/>
        <v>0</v>
      </c>
      <c r="V43" s="15"/>
    </row>
    <row r="44" spans="1:26" x14ac:dyDescent="0.25">
      <c r="A44" s="25"/>
      <c r="B44" s="15" t="s">
        <v>59</v>
      </c>
      <c r="C44" s="56"/>
      <c r="D44" s="57"/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f t="shared" si="18"/>
        <v>0</v>
      </c>
      <c r="R44" s="89">
        <f t="shared" si="1"/>
        <v>0</v>
      </c>
      <c r="S44" s="15"/>
      <c r="T44" s="62">
        <f t="shared" si="19"/>
        <v>0</v>
      </c>
      <c r="U44" s="62">
        <f t="shared" si="6"/>
        <v>0</v>
      </c>
      <c r="V44" s="15"/>
    </row>
    <row r="45" spans="1:26" x14ac:dyDescent="0.25">
      <c r="A45" s="25"/>
      <c r="B45" s="15" t="s">
        <v>60</v>
      </c>
      <c r="C45" s="56"/>
      <c r="D45" s="57"/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f t="shared" si="18"/>
        <v>0</v>
      </c>
      <c r="R45" s="89">
        <f t="shared" si="1"/>
        <v>0</v>
      </c>
      <c r="S45" s="15"/>
      <c r="T45" s="62">
        <f t="shared" si="19"/>
        <v>0</v>
      </c>
      <c r="U45" s="62">
        <f t="shared" si="6"/>
        <v>0</v>
      </c>
      <c r="V45" s="15"/>
    </row>
    <row r="46" spans="1:26" x14ac:dyDescent="0.25">
      <c r="A46" s="25"/>
      <c r="B46" s="15" t="s">
        <v>61</v>
      </c>
      <c r="C46" s="56"/>
      <c r="D46" s="57"/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f t="shared" si="18"/>
        <v>0</v>
      </c>
      <c r="R46" s="89">
        <f t="shared" si="1"/>
        <v>0</v>
      </c>
      <c r="S46" s="15"/>
      <c r="T46" s="62">
        <f t="shared" si="19"/>
        <v>0</v>
      </c>
      <c r="U46" s="62">
        <f t="shared" si="6"/>
        <v>0</v>
      </c>
      <c r="V46" s="15"/>
    </row>
    <row r="47" spans="1:26" x14ac:dyDescent="0.25">
      <c r="A47" s="25"/>
      <c r="B47" s="15" t="s">
        <v>62</v>
      </c>
      <c r="C47" s="56"/>
      <c r="D47" s="57"/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f t="shared" si="18"/>
        <v>0</v>
      </c>
      <c r="R47" s="89">
        <f t="shared" si="1"/>
        <v>0</v>
      </c>
      <c r="S47" s="15"/>
      <c r="T47" s="62">
        <f t="shared" si="19"/>
        <v>0</v>
      </c>
      <c r="U47" s="62">
        <f t="shared" si="6"/>
        <v>0</v>
      </c>
      <c r="V47" s="15"/>
    </row>
    <row r="48" spans="1:26" x14ac:dyDescent="0.25">
      <c r="A48" s="63" t="s">
        <v>63</v>
      </c>
      <c r="B48" t="s">
        <v>48</v>
      </c>
      <c r="C48" s="91">
        <f t="shared" ref="C48:Q48" si="20">SUM(C37:C47)</f>
        <v>0</v>
      </c>
      <c r="D48" s="92">
        <f t="shared" si="20"/>
        <v>0</v>
      </c>
      <c r="E48" s="93">
        <f t="shared" si="20"/>
        <v>0</v>
      </c>
      <c r="F48" s="93">
        <f t="shared" si="20"/>
        <v>0</v>
      </c>
      <c r="G48" s="93">
        <f t="shared" si="20"/>
        <v>0</v>
      </c>
      <c r="H48" s="93">
        <f t="shared" si="20"/>
        <v>0</v>
      </c>
      <c r="I48" s="93">
        <f t="shared" si="20"/>
        <v>0</v>
      </c>
      <c r="J48" s="93">
        <f t="shared" si="20"/>
        <v>0</v>
      </c>
      <c r="K48" s="93">
        <f t="shared" si="20"/>
        <v>0</v>
      </c>
      <c r="L48" s="93">
        <f t="shared" si="20"/>
        <v>0</v>
      </c>
      <c r="M48" s="93">
        <f t="shared" si="20"/>
        <v>0</v>
      </c>
      <c r="N48" s="93">
        <f t="shared" si="20"/>
        <v>0</v>
      </c>
      <c r="O48" s="93">
        <f t="shared" si="20"/>
        <v>0</v>
      </c>
      <c r="P48" s="93">
        <f t="shared" si="20"/>
        <v>0</v>
      </c>
      <c r="Q48" s="93">
        <f t="shared" si="20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2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2" x14ac:dyDescent="0.25">
      <c r="A50" s="25"/>
      <c r="B50" s="15" t="s">
        <v>65</v>
      </c>
      <c r="C50" s="56"/>
      <c r="D50" s="57"/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f t="shared" ref="Q50:Q61" si="21">SUM(E50:P50)</f>
        <v>0</v>
      </c>
      <c r="R50" s="89">
        <f t="shared" si="1"/>
        <v>0</v>
      </c>
      <c r="S50" s="15"/>
      <c r="T50" s="62">
        <f t="shared" si="19"/>
        <v>0</v>
      </c>
      <c r="U50" s="62">
        <f t="shared" si="6"/>
        <v>0</v>
      </c>
      <c r="V50" s="15"/>
    </row>
    <row r="51" spans="1:22" x14ac:dyDescent="0.25">
      <c r="A51" s="25"/>
      <c r="B51" s="15" t="s">
        <v>66</v>
      </c>
      <c r="C51" s="56"/>
      <c r="D51" s="57"/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f t="shared" si="21"/>
        <v>0</v>
      </c>
      <c r="R51" s="89">
        <f t="shared" si="1"/>
        <v>0</v>
      </c>
      <c r="S51" s="15"/>
      <c r="T51" s="62">
        <f t="shared" si="19"/>
        <v>0</v>
      </c>
      <c r="U51" s="62">
        <f t="shared" si="6"/>
        <v>0</v>
      </c>
      <c r="V51" s="15"/>
    </row>
    <row r="52" spans="1:22" x14ac:dyDescent="0.25">
      <c r="A52" s="25"/>
      <c r="B52" s="15" t="s">
        <v>67</v>
      </c>
      <c r="C52" s="56"/>
      <c r="D52" s="57"/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f t="shared" si="21"/>
        <v>0</v>
      </c>
      <c r="R52" s="89">
        <f t="shared" si="1"/>
        <v>0</v>
      </c>
      <c r="S52" s="15"/>
      <c r="T52" s="62">
        <f t="shared" si="19"/>
        <v>0</v>
      </c>
      <c r="U52" s="62">
        <f t="shared" si="6"/>
        <v>0</v>
      </c>
      <c r="V52" s="15"/>
    </row>
    <row r="53" spans="1:22" x14ac:dyDescent="0.25">
      <c r="A53" s="25"/>
      <c r="B53" s="15" t="s">
        <v>68</v>
      </c>
      <c r="C53" s="56"/>
      <c r="D53" s="57"/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f t="shared" si="21"/>
        <v>0</v>
      </c>
      <c r="R53" s="89">
        <f t="shared" si="1"/>
        <v>0</v>
      </c>
      <c r="S53" s="15"/>
      <c r="T53" s="62">
        <f t="shared" si="19"/>
        <v>0</v>
      </c>
      <c r="U53" s="62">
        <f t="shared" si="6"/>
        <v>0</v>
      </c>
      <c r="V53" s="15"/>
    </row>
    <row r="54" spans="1:22" x14ac:dyDescent="0.25">
      <c r="A54" s="25"/>
      <c r="B54" s="15" t="s">
        <v>69</v>
      </c>
      <c r="C54" s="56"/>
      <c r="D54" s="57"/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f t="shared" si="21"/>
        <v>0</v>
      </c>
      <c r="R54" s="89">
        <f t="shared" si="1"/>
        <v>0</v>
      </c>
      <c r="S54" s="15"/>
      <c r="T54" s="62">
        <f t="shared" si="19"/>
        <v>0</v>
      </c>
      <c r="U54" s="62">
        <f t="shared" si="6"/>
        <v>0</v>
      </c>
      <c r="V54" s="15"/>
    </row>
    <row r="55" spans="1:22" x14ac:dyDescent="0.25">
      <c r="A55" s="25"/>
      <c r="B55" s="15" t="s">
        <v>70</v>
      </c>
      <c r="C55" s="56"/>
      <c r="D55" s="57"/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f t="shared" si="21"/>
        <v>0</v>
      </c>
      <c r="R55" s="89">
        <f t="shared" si="1"/>
        <v>0</v>
      </c>
      <c r="S55" s="15"/>
      <c r="T55" s="62">
        <f t="shared" si="19"/>
        <v>0</v>
      </c>
      <c r="U55" s="62">
        <f t="shared" si="6"/>
        <v>0</v>
      </c>
      <c r="V55" s="15"/>
    </row>
    <row r="56" spans="1:22" x14ac:dyDescent="0.25">
      <c r="A56" s="25"/>
      <c r="B56" s="15" t="s">
        <v>71</v>
      </c>
      <c r="C56" s="56"/>
      <c r="D56" s="57"/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f t="shared" ref="Q56:Q57" si="22">SUM(E56:P56)</f>
        <v>0</v>
      </c>
      <c r="R56" s="89">
        <f t="shared" si="1"/>
        <v>0</v>
      </c>
      <c r="S56" s="15"/>
      <c r="T56" s="62">
        <f t="shared" si="19"/>
        <v>0</v>
      </c>
      <c r="U56" s="62">
        <f t="shared" si="6"/>
        <v>0</v>
      </c>
      <c r="V56" s="15"/>
    </row>
    <row r="57" spans="1:22" x14ac:dyDescent="0.25">
      <c r="A57" s="25"/>
      <c r="B57" s="15" t="s">
        <v>72</v>
      </c>
      <c r="C57" s="56"/>
      <c r="D57" s="57"/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f t="shared" si="22"/>
        <v>0</v>
      </c>
      <c r="R57" s="89">
        <f t="shared" si="1"/>
        <v>0</v>
      </c>
      <c r="S57" s="15"/>
      <c r="T57" s="62">
        <f t="shared" si="19"/>
        <v>0</v>
      </c>
      <c r="U57" s="62">
        <f t="shared" si="6"/>
        <v>0</v>
      </c>
      <c r="V57" s="15"/>
    </row>
    <row r="58" spans="1:22" x14ac:dyDescent="0.25">
      <c r="A58" s="25"/>
      <c r="B58" s="15" t="s">
        <v>73</v>
      </c>
      <c r="C58" s="56"/>
      <c r="D58" s="57"/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f t="shared" si="21"/>
        <v>0</v>
      </c>
      <c r="R58" s="89">
        <f t="shared" si="1"/>
        <v>0</v>
      </c>
      <c r="S58" s="15"/>
      <c r="T58" s="62">
        <f t="shared" si="19"/>
        <v>0</v>
      </c>
      <c r="U58" s="62">
        <f t="shared" si="6"/>
        <v>0</v>
      </c>
      <c r="V58" s="15"/>
    </row>
    <row r="59" spans="1:22" x14ac:dyDescent="0.25">
      <c r="A59" s="25"/>
      <c r="B59" s="15" t="s">
        <v>74</v>
      </c>
      <c r="C59" s="56"/>
      <c r="D59" s="57"/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f t="shared" si="21"/>
        <v>0</v>
      </c>
      <c r="R59" s="89">
        <f t="shared" si="1"/>
        <v>0</v>
      </c>
      <c r="S59" s="15"/>
      <c r="T59" s="62">
        <f t="shared" si="19"/>
        <v>0</v>
      </c>
      <c r="U59" s="62">
        <f t="shared" si="6"/>
        <v>0</v>
      </c>
      <c r="V59" s="15"/>
    </row>
    <row r="60" spans="1:22" x14ac:dyDescent="0.25">
      <c r="A60" s="25"/>
      <c r="B60" s="15" t="s">
        <v>75</v>
      </c>
      <c r="C60" s="56"/>
      <c r="D60" s="57"/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f t="shared" si="21"/>
        <v>0</v>
      </c>
      <c r="R60" s="89">
        <f t="shared" si="1"/>
        <v>0</v>
      </c>
      <c r="S60" s="15"/>
      <c r="T60" s="62">
        <f t="shared" si="19"/>
        <v>0</v>
      </c>
      <c r="U60" s="62">
        <f t="shared" si="6"/>
        <v>0</v>
      </c>
      <c r="V60" s="15"/>
    </row>
    <row r="61" spans="1:22" x14ac:dyDescent="0.25">
      <c r="A61" s="25"/>
      <c r="B61" s="15" t="s">
        <v>76</v>
      </c>
      <c r="C61" s="56"/>
      <c r="D61" s="57"/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f t="shared" si="21"/>
        <v>0</v>
      </c>
      <c r="R61" s="89">
        <f t="shared" si="1"/>
        <v>0</v>
      </c>
      <c r="S61" s="15"/>
      <c r="T61" s="62">
        <f t="shared" si="19"/>
        <v>0</v>
      </c>
      <c r="U61" s="62">
        <f t="shared" si="6"/>
        <v>0</v>
      </c>
      <c r="V61" s="15"/>
    </row>
    <row r="62" spans="1:22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2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2" x14ac:dyDescent="0.25">
      <c r="A64" s="25"/>
      <c r="B64" s="15" t="s">
        <v>79</v>
      </c>
      <c r="C64" s="56"/>
      <c r="D64" s="57"/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f>SUM(E64:P64)</f>
        <v>0</v>
      </c>
      <c r="R64" s="89">
        <f t="shared" si="1"/>
        <v>0</v>
      </c>
      <c r="S64" s="15"/>
      <c r="T64" s="62">
        <f t="shared" si="19"/>
        <v>0</v>
      </c>
      <c r="U64" s="62">
        <f t="shared" si="6"/>
        <v>0</v>
      </c>
      <c r="V64" s="15"/>
    </row>
    <row r="65" spans="1:22" x14ac:dyDescent="0.25">
      <c r="A65" s="25"/>
      <c r="B65" s="15" t="s">
        <v>80</v>
      </c>
      <c r="C65" s="56"/>
      <c r="D65" s="57"/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f>SUM(E65:P65)</f>
        <v>0</v>
      </c>
      <c r="R65" s="89">
        <f t="shared" si="1"/>
        <v>0</v>
      </c>
      <c r="S65" s="15"/>
      <c r="T65" s="62">
        <f t="shared" si="19"/>
        <v>0</v>
      </c>
      <c r="U65" s="62">
        <f t="shared" si="6"/>
        <v>0</v>
      </c>
      <c r="V65" s="15"/>
    </row>
    <row r="66" spans="1:22" x14ac:dyDescent="0.25">
      <c r="A66" s="25"/>
      <c r="B66" s="15" t="s">
        <v>81</v>
      </c>
      <c r="C66" s="56"/>
      <c r="D66" s="57"/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f>SUM(E66:P66)</f>
        <v>0</v>
      </c>
      <c r="R66" s="89">
        <f t="shared" si="1"/>
        <v>0</v>
      </c>
      <c r="S66" s="15"/>
      <c r="T66" s="62">
        <f t="shared" si="19"/>
        <v>0</v>
      </c>
      <c r="U66" s="62">
        <f t="shared" si="6"/>
        <v>0</v>
      </c>
      <c r="V66" s="15"/>
    </row>
    <row r="67" spans="1:22" x14ac:dyDescent="0.25">
      <c r="A67" s="25"/>
      <c r="B67" s="15" t="s">
        <v>82</v>
      </c>
      <c r="C67" s="56"/>
      <c r="D67" s="57"/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f t="shared" ref="Q67:Q72" si="25">SUM(E67:P67)</f>
        <v>0</v>
      </c>
      <c r="R67" s="89">
        <f t="shared" si="1"/>
        <v>0</v>
      </c>
      <c r="S67" s="15"/>
      <c r="T67" s="62">
        <f t="shared" si="19"/>
        <v>0</v>
      </c>
      <c r="U67" s="62">
        <f t="shared" si="6"/>
        <v>0</v>
      </c>
      <c r="V67" s="15"/>
    </row>
    <row r="68" spans="1:22" ht="15.75" customHeight="1" x14ac:dyDescent="0.25">
      <c r="A68" s="25"/>
      <c r="B68" s="15" t="s">
        <v>83</v>
      </c>
      <c r="C68" s="56"/>
      <c r="D68" s="57"/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f t="shared" si="25"/>
        <v>0</v>
      </c>
      <c r="R68" s="89">
        <f t="shared" si="1"/>
        <v>0</v>
      </c>
      <c r="S68" s="15"/>
      <c r="T68" s="62">
        <f t="shared" si="19"/>
        <v>0</v>
      </c>
      <c r="U68" s="62">
        <f t="shared" si="6"/>
        <v>0</v>
      </c>
      <c r="V68" s="15"/>
    </row>
    <row r="69" spans="1:22" ht="23.25" x14ac:dyDescent="0.25">
      <c r="A69" s="25"/>
      <c r="B69" s="15" t="s">
        <v>84</v>
      </c>
      <c r="C69" s="56"/>
      <c r="D69" s="57"/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f t="shared" si="25"/>
        <v>0</v>
      </c>
      <c r="R69" s="89">
        <f t="shared" si="1"/>
        <v>0</v>
      </c>
      <c r="S69" s="15"/>
      <c r="T69" s="62">
        <f t="shared" si="19"/>
        <v>0</v>
      </c>
      <c r="U69" s="62">
        <f t="shared" si="6"/>
        <v>0</v>
      </c>
      <c r="V69" s="15"/>
    </row>
    <row r="70" spans="1:22" x14ac:dyDescent="0.25">
      <c r="A70" s="25"/>
      <c r="B70" s="15" t="s">
        <v>85</v>
      </c>
      <c r="C70" s="56"/>
      <c r="D70" s="57"/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f t="shared" si="25"/>
        <v>0</v>
      </c>
      <c r="R70" s="89">
        <f t="shared" si="1"/>
        <v>0</v>
      </c>
      <c r="S70" s="15"/>
      <c r="T70" s="62">
        <f t="shared" si="19"/>
        <v>0</v>
      </c>
      <c r="U70" s="62">
        <f t="shared" si="6"/>
        <v>0</v>
      </c>
      <c r="V70" s="15"/>
    </row>
    <row r="71" spans="1:22" x14ac:dyDescent="0.25">
      <c r="A71" s="25"/>
      <c r="B71" s="15" t="s">
        <v>86</v>
      </c>
      <c r="C71" s="56"/>
      <c r="D71" s="57"/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f t="shared" si="25"/>
        <v>0</v>
      </c>
      <c r="R71" s="89">
        <f t="shared" si="1"/>
        <v>0</v>
      </c>
      <c r="S71" s="15"/>
      <c r="T71" s="62">
        <f t="shared" si="19"/>
        <v>0</v>
      </c>
      <c r="U71" s="62">
        <f t="shared" si="6"/>
        <v>0</v>
      </c>
      <c r="V71" s="15"/>
    </row>
    <row r="72" spans="1:22" x14ac:dyDescent="0.25">
      <c r="A72" s="25"/>
      <c r="B72" s="15" t="s">
        <v>87</v>
      </c>
      <c r="C72" s="56"/>
      <c r="D72" s="57"/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f t="shared" si="25"/>
        <v>0</v>
      </c>
      <c r="R72" s="89">
        <f t="shared" si="1"/>
        <v>0</v>
      </c>
      <c r="S72" s="15"/>
      <c r="T72" s="62">
        <f t="shared" si="19"/>
        <v>0</v>
      </c>
      <c r="U72" s="62">
        <f t="shared" si="6"/>
        <v>0</v>
      </c>
      <c r="V72" s="15"/>
    </row>
    <row r="73" spans="1:22" x14ac:dyDescent="0.25">
      <c r="A73" s="63" t="s">
        <v>88</v>
      </c>
      <c r="B73" s="15" t="s">
        <v>48</v>
      </c>
      <c r="C73" s="91">
        <f t="shared" ref="C73:Q73" si="26">SUM(C64:C72)</f>
        <v>0</v>
      </c>
      <c r="D73" s="92">
        <f t="shared" si="26"/>
        <v>0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19"/>
        <v>0</v>
      </c>
      <c r="U73" s="96">
        <f t="shared" si="6"/>
        <v>0</v>
      </c>
    </row>
    <row r="74" spans="1:22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2" x14ac:dyDescent="0.25">
      <c r="A75" s="25"/>
      <c r="B75" s="15" t="s">
        <v>90</v>
      </c>
      <c r="C75" s="56"/>
      <c r="D75" s="57"/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f>SUM(E75:P75)</f>
        <v>0</v>
      </c>
      <c r="R75" s="89">
        <f t="shared" si="1"/>
        <v>0</v>
      </c>
      <c r="S75" s="15"/>
      <c r="T75" s="62">
        <f t="shared" si="19"/>
        <v>0</v>
      </c>
      <c r="U75" s="62">
        <f t="shared" si="6"/>
        <v>0</v>
      </c>
      <c r="V75" s="15"/>
    </row>
    <row r="76" spans="1:22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2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2" x14ac:dyDescent="0.25">
      <c r="A78" s="25"/>
      <c r="B78" s="15" t="s">
        <v>93</v>
      </c>
      <c r="C78" s="56"/>
      <c r="D78" s="57"/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f>SUM(E78:P78)</f>
        <v>0</v>
      </c>
      <c r="R78" s="89">
        <f t="shared" si="1"/>
        <v>0</v>
      </c>
      <c r="S78" s="15"/>
      <c r="T78" s="62">
        <f t="shared" si="19"/>
        <v>0</v>
      </c>
      <c r="U78" s="62">
        <f t="shared" si="6"/>
        <v>0</v>
      </c>
      <c r="V78" s="15"/>
    </row>
    <row r="79" spans="1:22" x14ac:dyDescent="0.25">
      <c r="A79" s="25"/>
      <c r="B79" s="15" t="s">
        <v>94</v>
      </c>
      <c r="C79" s="56"/>
      <c r="D79" s="57"/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f>SUM(E79:P79)</f>
        <v>0</v>
      </c>
      <c r="R79" s="89">
        <f t="shared" si="1"/>
        <v>0</v>
      </c>
      <c r="S79" s="15"/>
      <c r="T79" s="62">
        <f t="shared" si="19"/>
        <v>0</v>
      </c>
      <c r="U79" s="62">
        <f t="shared" si="6"/>
        <v>0</v>
      </c>
      <c r="V79" s="15"/>
    </row>
    <row r="80" spans="1:22" x14ac:dyDescent="0.25">
      <c r="A80" s="25"/>
      <c r="B80" s="15" t="s">
        <v>95</v>
      </c>
      <c r="C80" s="56"/>
      <c r="D80" s="57"/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58">
        <f>SUM(E80:P80)</f>
        <v>0</v>
      </c>
      <c r="R80" s="89">
        <f t="shared" si="1"/>
        <v>0</v>
      </c>
      <c r="S80" s="15"/>
      <c r="T80" s="62">
        <f t="shared" si="19"/>
        <v>0</v>
      </c>
      <c r="U80" s="62">
        <f t="shared" si="6"/>
        <v>0</v>
      </c>
      <c r="V80" s="15"/>
    </row>
    <row r="81" spans="1:22" ht="23.25" x14ac:dyDescent="0.25">
      <c r="A81" s="25"/>
      <c r="B81" s="15" t="s">
        <v>96</v>
      </c>
      <c r="C81" s="56"/>
      <c r="D81" s="57"/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f>SUM(E81:P81)</f>
        <v>0</v>
      </c>
      <c r="R81" s="89">
        <f t="shared" si="1"/>
        <v>0</v>
      </c>
      <c r="S81" s="15"/>
      <c r="T81" s="62">
        <f t="shared" si="19"/>
        <v>0</v>
      </c>
      <c r="U81" s="62">
        <f t="shared" si="6"/>
        <v>0</v>
      </c>
      <c r="V81" s="15"/>
    </row>
    <row r="82" spans="1:22" x14ac:dyDescent="0.25">
      <c r="A82" s="63" t="s">
        <v>97</v>
      </c>
      <c r="B82" s="15" t="s">
        <v>48</v>
      </c>
      <c r="C82" s="91">
        <f t="shared" ref="C82:D82" si="29">SUM(C78:C81)</f>
        <v>0</v>
      </c>
      <c r="D82" s="92">
        <f t="shared" si="29"/>
        <v>0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19"/>
        <v>0</v>
      </c>
      <c r="U82" s="96">
        <f t="shared" si="6"/>
        <v>0</v>
      </c>
    </row>
    <row r="83" spans="1:22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2" x14ac:dyDescent="0.25">
      <c r="A84" s="25"/>
      <c r="B84" s="15" t="s">
        <v>99</v>
      </c>
      <c r="C84" s="56">
        <f>0.98/10*12</f>
        <v>1.1760000000000002</v>
      </c>
      <c r="D84" s="57">
        <f>C84/12</f>
        <v>9.8000000000000018E-2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f t="shared" ref="Q84:Q89" si="31">SUM(E84:P84)</f>
        <v>0</v>
      </c>
      <c r="R84" s="89">
        <f t="shared" si="1"/>
        <v>0</v>
      </c>
      <c r="S84" s="15"/>
      <c r="T84" s="62">
        <f t="shared" si="19"/>
        <v>0</v>
      </c>
      <c r="U84" s="62">
        <f t="shared" si="6"/>
        <v>-1</v>
      </c>
      <c r="V84" s="15"/>
    </row>
    <row r="85" spans="1:22" x14ac:dyDescent="0.25">
      <c r="A85" s="25"/>
      <c r="B85" s="15" t="s">
        <v>100</v>
      </c>
      <c r="C85" s="56"/>
      <c r="D85" s="57"/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f t="shared" si="31"/>
        <v>0</v>
      </c>
      <c r="R85" s="89">
        <f t="shared" si="1"/>
        <v>0</v>
      </c>
      <c r="S85" s="15"/>
      <c r="T85" s="62">
        <f t="shared" si="19"/>
        <v>0</v>
      </c>
      <c r="U85" s="62">
        <f t="shared" si="6"/>
        <v>0</v>
      </c>
      <c r="V85" s="15"/>
    </row>
    <row r="86" spans="1:22" x14ac:dyDescent="0.25">
      <c r="A86" s="25"/>
      <c r="B86" s="15" t="s">
        <v>101</v>
      </c>
      <c r="C86" s="56"/>
      <c r="D86" s="57"/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f t="shared" si="31"/>
        <v>0</v>
      </c>
      <c r="R86" s="89">
        <f t="shared" si="1"/>
        <v>0</v>
      </c>
      <c r="S86" s="15"/>
      <c r="T86" s="62">
        <f t="shared" si="19"/>
        <v>0</v>
      </c>
      <c r="U86" s="62">
        <f t="shared" si="6"/>
        <v>0</v>
      </c>
      <c r="V86" s="15"/>
    </row>
    <row r="87" spans="1:22" x14ac:dyDescent="0.25">
      <c r="A87" s="25"/>
      <c r="B87" s="15" t="s">
        <v>102</v>
      </c>
      <c r="C87" s="56"/>
      <c r="D87" s="57"/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f t="shared" si="31"/>
        <v>0</v>
      </c>
      <c r="R87" s="89">
        <f t="shared" si="1"/>
        <v>0</v>
      </c>
      <c r="S87" s="15"/>
      <c r="T87" s="62">
        <f t="shared" si="19"/>
        <v>0</v>
      </c>
      <c r="U87" s="62">
        <f t="shared" si="6"/>
        <v>0</v>
      </c>
      <c r="V87" s="15"/>
    </row>
    <row r="88" spans="1:22" x14ac:dyDescent="0.25">
      <c r="A88" s="25"/>
      <c r="B88" s="15" t="s">
        <v>103</v>
      </c>
      <c r="C88" s="56"/>
      <c r="D88" s="57"/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f t="shared" si="31"/>
        <v>0</v>
      </c>
      <c r="R88" s="89">
        <f t="shared" ref="R88:R130" si="32">AVERAGE(E88:P88)</f>
        <v>0</v>
      </c>
      <c r="S88" s="15"/>
      <c r="T88" s="62">
        <f t="shared" si="19"/>
        <v>0</v>
      </c>
      <c r="U88" s="62">
        <f t="shared" si="6"/>
        <v>0</v>
      </c>
      <c r="V88" s="15"/>
    </row>
    <row r="89" spans="1:22" x14ac:dyDescent="0.25">
      <c r="A89" s="25"/>
      <c r="B89" s="15" t="s">
        <v>104</v>
      </c>
      <c r="C89" s="56"/>
      <c r="D89" s="57"/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f t="shared" si="31"/>
        <v>0</v>
      </c>
      <c r="R89" s="89">
        <f t="shared" si="32"/>
        <v>0</v>
      </c>
      <c r="S89" s="15"/>
      <c r="T89" s="62">
        <f t="shared" si="19"/>
        <v>0</v>
      </c>
      <c r="U89" s="62">
        <f t="shared" ref="U89:U137" si="33">IFERROR((Q89-C89)/C89,0)</f>
        <v>0</v>
      </c>
      <c r="V89" s="15"/>
    </row>
    <row r="90" spans="1:22" x14ac:dyDescent="0.25">
      <c r="A90" s="63" t="s">
        <v>105</v>
      </c>
      <c r="B90" s="15" t="s">
        <v>48</v>
      </c>
      <c r="C90" s="91">
        <f t="shared" ref="C90:D90" si="34">SUM(C84:C89)</f>
        <v>1.1760000000000002</v>
      </c>
      <c r="D90" s="92">
        <f t="shared" si="34"/>
        <v>9.8000000000000018E-2</v>
      </c>
      <c r="E90" s="93">
        <f t="shared" ref="E90:Q90" si="35">SUM(E84:E89)</f>
        <v>0</v>
      </c>
      <c r="F90" s="93">
        <f t="shared" si="35"/>
        <v>0</v>
      </c>
      <c r="G90" s="93">
        <f t="shared" si="35"/>
        <v>0</v>
      </c>
      <c r="H90" s="93">
        <f t="shared" si="35"/>
        <v>0</v>
      </c>
      <c r="I90" s="93">
        <f t="shared" si="35"/>
        <v>0</v>
      </c>
      <c r="J90" s="93">
        <f t="shared" si="35"/>
        <v>0</v>
      </c>
      <c r="K90" s="93">
        <f t="shared" si="35"/>
        <v>0</v>
      </c>
      <c r="L90" s="93">
        <f t="shared" si="35"/>
        <v>0</v>
      </c>
      <c r="M90" s="93">
        <f t="shared" si="35"/>
        <v>0</v>
      </c>
      <c r="N90" s="93">
        <f t="shared" si="35"/>
        <v>0</v>
      </c>
      <c r="O90" s="93">
        <f t="shared" si="35"/>
        <v>0</v>
      </c>
      <c r="P90" s="93">
        <f t="shared" si="35"/>
        <v>0</v>
      </c>
      <c r="Q90" s="93">
        <f t="shared" si="35"/>
        <v>0</v>
      </c>
      <c r="R90" s="94">
        <f>AVERAGE(E90:P90)</f>
        <v>0</v>
      </c>
      <c r="T90" s="96">
        <f t="shared" si="19"/>
        <v>0</v>
      </c>
      <c r="U90" s="96">
        <f t="shared" si="33"/>
        <v>-1</v>
      </c>
    </row>
    <row r="91" spans="1:22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2" x14ac:dyDescent="0.25">
      <c r="A92" s="15"/>
      <c r="B92" s="15" t="s">
        <v>107</v>
      </c>
      <c r="C92" s="56"/>
      <c r="D92" s="57"/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f>SUM(E92:P92)</f>
        <v>0</v>
      </c>
      <c r="R92" s="89">
        <f>AVERAGE(E92:P92)</f>
        <v>0</v>
      </c>
      <c r="S92" s="15"/>
      <c r="T92" s="62">
        <f t="shared" si="19"/>
        <v>0</v>
      </c>
      <c r="U92" s="62">
        <f t="shared" si="33"/>
        <v>0</v>
      </c>
    </row>
    <row r="93" spans="1:22" ht="15.75" customHeight="1" x14ac:dyDescent="0.25">
      <c r="A93" s="25"/>
      <c r="B93" s="15" t="s">
        <v>108</v>
      </c>
      <c r="C93" s="56"/>
      <c r="D93" s="57"/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f>SUM(E93:P93)</f>
        <v>0</v>
      </c>
      <c r="R93" s="89">
        <f t="shared" si="32"/>
        <v>0</v>
      </c>
      <c r="S93" s="15"/>
      <c r="T93" s="62">
        <f t="shared" si="19"/>
        <v>0</v>
      </c>
      <c r="U93" s="62">
        <f t="shared" si="33"/>
        <v>0</v>
      </c>
      <c r="V93" s="15"/>
    </row>
    <row r="94" spans="1:22" x14ac:dyDescent="0.25">
      <c r="A94" s="25"/>
      <c r="B94" s="15" t="s">
        <v>109</v>
      </c>
      <c r="C94" s="56"/>
      <c r="D94" s="57"/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f>SUM(E94:P94)</f>
        <v>0</v>
      </c>
      <c r="R94" s="89">
        <f t="shared" si="32"/>
        <v>0</v>
      </c>
      <c r="S94" s="15"/>
      <c r="T94" s="62">
        <f t="shared" si="19"/>
        <v>0</v>
      </c>
      <c r="U94" s="62">
        <f t="shared" si="33"/>
        <v>0</v>
      </c>
      <c r="V94" s="15"/>
    </row>
    <row r="95" spans="1:22" x14ac:dyDescent="0.25">
      <c r="A95" s="63" t="s">
        <v>110</v>
      </c>
      <c r="B95" s="15"/>
      <c r="C95" s="91">
        <f t="shared" ref="C95:Q95" si="36">SUM(C92:C94)</f>
        <v>0</v>
      </c>
      <c r="D95" s="92">
        <f t="shared" si="36"/>
        <v>0</v>
      </c>
      <c r="E95" s="93">
        <f t="shared" si="36"/>
        <v>0</v>
      </c>
      <c r="F95" s="93">
        <f t="shared" si="36"/>
        <v>0</v>
      </c>
      <c r="G95" s="93">
        <f t="shared" si="36"/>
        <v>0</v>
      </c>
      <c r="H95" s="93">
        <f t="shared" si="36"/>
        <v>0</v>
      </c>
      <c r="I95" s="93">
        <f t="shared" si="36"/>
        <v>0</v>
      </c>
      <c r="J95" s="93">
        <f t="shared" si="36"/>
        <v>0</v>
      </c>
      <c r="K95" s="93">
        <f t="shared" si="36"/>
        <v>0</v>
      </c>
      <c r="L95" s="93">
        <f t="shared" si="36"/>
        <v>0</v>
      </c>
      <c r="M95" s="93">
        <f t="shared" si="36"/>
        <v>0</v>
      </c>
      <c r="N95" s="93">
        <f t="shared" si="36"/>
        <v>0</v>
      </c>
      <c r="O95" s="93">
        <f t="shared" si="36"/>
        <v>0</v>
      </c>
      <c r="P95" s="93">
        <f t="shared" si="36"/>
        <v>0</v>
      </c>
      <c r="Q95" s="93">
        <f t="shared" si="36"/>
        <v>0</v>
      </c>
      <c r="R95" s="94">
        <f t="shared" si="32"/>
        <v>0</v>
      </c>
      <c r="T95" s="96">
        <f t="shared" si="19"/>
        <v>0</v>
      </c>
      <c r="U95" s="96">
        <f t="shared" si="33"/>
        <v>0</v>
      </c>
    </row>
    <row r="96" spans="1:22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2" x14ac:dyDescent="0.25">
      <c r="A97" s="25"/>
      <c r="B97" s="15" t="s">
        <v>112</v>
      </c>
      <c r="C97" s="56"/>
      <c r="D97" s="57"/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f t="shared" ref="Q97:Q105" si="37">SUM(E97:P97)</f>
        <v>0</v>
      </c>
      <c r="R97" s="89">
        <f t="shared" si="32"/>
        <v>0</v>
      </c>
      <c r="S97" s="15"/>
      <c r="T97" s="62">
        <f t="shared" si="19"/>
        <v>0</v>
      </c>
      <c r="U97" s="62">
        <f t="shared" si="33"/>
        <v>0</v>
      </c>
      <c r="V97" s="15"/>
    </row>
    <row r="98" spans="1:22" ht="23.25" x14ac:dyDescent="0.25">
      <c r="A98" s="25"/>
      <c r="B98" s="15" t="s">
        <v>113</v>
      </c>
      <c r="C98" s="56"/>
      <c r="D98" s="57"/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f t="shared" si="37"/>
        <v>0</v>
      </c>
      <c r="R98" s="89">
        <f t="shared" si="32"/>
        <v>0</v>
      </c>
      <c r="S98" s="15"/>
      <c r="T98" s="62">
        <f t="shared" si="19"/>
        <v>0</v>
      </c>
      <c r="U98" s="62">
        <f t="shared" si="33"/>
        <v>0</v>
      </c>
      <c r="V98" s="15"/>
    </row>
    <row r="99" spans="1:22" x14ac:dyDescent="0.25">
      <c r="A99" s="25"/>
      <c r="B99" s="15" t="s">
        <v>114</v>
      </c>
      <c r="C99" s="56"/>
      <c r="D99" s="57"/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f t="shared" si="37"/>
        <v>0</v>
      </c>
      <c r="R99" s="89">
        <f t="shared" si="32"/>
        <v>0</v>
      </c>
      <c r="S99" s="15"/>
      <c r="T99" s="62">
        <f t="shared" si="19"/>
        <v>0</v>
      </c>
      <c r="U99" s="62">
        <f t="shared" si="33"/>
        <v>0</v>
      </c>
      <c r="V99" s="15"/>
    </row>
    <row r="100" spans="1:22" x14ac:dyDescent="0.25">
      <c r="A100" s="25"/>
      <c r="B100" s="15" t="s">
        <v>115</v>
      </c>
      <c r="C100" s="56"/>
      <c r="D100" s="57"/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f t="shared" si="37"/>
        <v>0</v>
      </c>
      <c r="R100" s="89">
        <f t="shared" si="32"/>
        <v>0</v>
      </c>
      <c r="S100" s="15"/>
      <c r="T100" s="62">
        <f t="shared" si="19"/>
        <v>0</v>
      </c>
      <c r="U100" s="62">
        <f t="shared" si="33"/>
        <v>0</v>
      </c>
      <c r="V100" s="15"/>
    </row>
    <row r="101" spans="1:22" x14ac:dyDescent="0.25">
      <c r="A101" s="25"/>
      <c r="B101" s="15" t="s">
        <v>116</v>
      </c>
      <c r="C101" s="56">
        <f>360/10*12</f>
        <v>432</v>
      </c>
      <c r="D101" s="57">
        <f>C101/12</f>
        <v>36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f t="shared" si="37"/>
        <v>0</v>
      </c>
      <c r="R101" s="89">
        <f t="shared" si="32"/>
        <v>0</v>
      </c>
      <c r="S101" s="15"/>
      <c r="T101" s="62">
        <f t="shared" si="19"/>
        <v>0</v>
      </c>
      <c r="U101" s="62">
        <f t="shared" si="33"/>
        <v>-1</v>
      </c>
      <c r="V101" s="15"/>
    </row>
    <row r="102" spans="1:22" x14ac:dyDescent="0.25">
      <c r="A102" s="25"/>
      <c r="B102" s="15" t="s">
        <v>117</v>
      </c>
      <c r="C102" s="56"/>
      <c r="D102" s="57"/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f t="shared" si="37"/>
        <v>0</v>
      </c>
      <c r="R102" s="89">
        <f t="shared" si="32"/>
        <v>0</v>
      </c>
      <c r="S102" s="15"/>
      <c r="T102" s="62">
        <f t="shared" si="19"/>
        <v>0</v>
      </c>
      <c r="U102" s="62">
        <f t="shared" si="33"/>
        <v>0</v>
      </c>
      <c r="V102" s="15"/>
    </row>
    <row r="103" spans="1:22" ht="23.25" x14ac:dyDescent="0.25">
      <c r="A103" s="25"/>
      <c r="B103" s="15" t="s">
        <v>118</v>
      </c>
      <c r="C103" s="56"/>
      <c r="D103" s="57"/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58">
        <v>0</v>
      </c>
      <c r="Q103" s="58">
        <f t="shared" si="37"/>
        <v>0</v>
      </c>
      <c r="R103" s="89">
        <f t="shared" si="32"/>
        <v>0</v>
      </c>
      <c r="S103" s="15"/>
      <c r="T103" s="62">
        <f t="shared" ref="T103:T135" si="38">Q103/$Q$34</f>
        <v>0</v>
      </c>
      <c r="U103" s="62">
        <f t="shared" si="33"/>
        <v>0</v>
      </c>
      <c r="V103" s="15"/>
    </row>
    <row r="104" spans="1:22" x14ac:dyDescent="0.25">
      <c r="A104" s="25"/>
      <c r="B104" s="15" t="s">
        <v>119</v>
      </c>
      <c r="C104" s="56">
        <v>5564.46</v>
      </c>
      <c r="D104" s="57">
        <f>C104/7</f>
        <v>794.9228571428572</v>
      </c>
      <c r="E104" s="58">
        <f>(50*(E7+E8))+(25*(E9+E10))+(10*(E11+E12))+(15*E13)</f>
        <v>395</v>
      </c>
      <c r="F104" s="58">
        <f t="shared" ref="F104:P104" si="39">(50*(F7+F8))+(25*(F9+F10))+(10*(F11+F12))+(15*F13)</f>
        <v>395</v>
      </c>
      <c r="G104" s="58">
        <f t="shared" si="39"/>
        <v>395</v>
      </c>
      <c r="H104" s="58">
        <f t="shared" si="39"/>
        <v>395</v>
      </c>
      <c r="I104" s="58">
        <f t="shared" si="39"/>
        <v>395</v>
      </c>
      <c r="J104" s="58">
        <f t="shared" si="39"/>
        <v>395</v>
      </c>
      <c r="K104" s="58">
        <f t="shared" si="39"/>
        <v>430</v>
      </c>
      <c r="L104" s="58">
        <f>(50*(L7+L8))+(25*(L9+L10))+(10*(L11+L12))+(15*L13)</f>
        <v>430</v>
      </c>
      <c r="M104" s="58">
        <f t="shared" si="39"/>
        <v>430</v>
      </c>
      <c r="N104" s="58">
        <f t="shared" si="39"/>
        <v>430</v>
      </c>
      <c r="O104" s="58">
        <f t="shared" si="39"/>
        <v>430</v>
      </c>
      <c r="P104" s="58">
        <f t="shared" si="39"/>
        <v>430</v>
      </c>
      <c r="Q104" s="58">
        <f t="shared" si="37"/>
        <v>4950</v>
      </c>
      <c r="R104" s="89">
        <f t="shared" si="32"/>
        <v>412.5</v>
      </c>
      <c r="S104" s="15"/>
      <c r="T104" s="62">
        <f t="shared" si="38"/>
        <v>3.0000741836525385E-2</v>
      </c>
      <c r="U104" s="62">
        <f t="shared" si="33"/>
        <v>-0.11042580951251335</v>
      </c>
      <c r="V104" s="15"/>
    </row>
    <row r="105" spans="1:22" x14ac:dyDescent="0.25">
      <c r="A105" s="25"/>
      <c r="B105" s="15" t="s">
        <v>120</v>
      </c>
      <c r="C105" s="56"/>
      <c r="D105" s="57"/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f t="shared" si="37"/>
        <v>0</v>
      </c>
      <c r="R105" s="89">
        <f t="shared" si="32"/>
        <v>0</v>
      </c>
      <c r="S105" s="15"/>
      <c r="T105" s="62">
        <f t="shared" si="38"/>
        <v>0</v>
      </c>
      <c r="U105" s="62">
        <f t="shared" si="33"/>
        <v>0</v>
      </c>
      <c r="V105" s="15"/>
    </row>
    <row r="106" spans="1:22" x14ac:dyDescent="0.25">
      <c r="A106" s="25"/>
      <c r="B106" s="15" t="s">
        <v>121</v>
      </c>
      <c r="C106" s="56">
        <f>10.75/10*12</f>
        <v>12.899999999999999</v>
      </c>
      <c r="D106" s="57">
        <f>C106/12</f>
        <v>1.075</v>
      </c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f t="shared" ref="Q106:Q120" si="40">SUM(E106:P106)</f>
        <v>0</v>
      </c>
      <c r="R106" s="89">
        <f t="shared" si="32"/>
        <v>0</v>
      </c>
      <c r="S106" s="15"/>
      <c r="T106" s="62">
        <f t="shared" si="38"/>
        <v>0</v>
      </c>
      <c r="U106" s="62">
        <f t="shared" si="33"/>
        <v>-1</v>
      </c>
      <c r="V106" s="15"/>
    </row>
    <row r="107" spans="1:22" x14ac:dyDescent="0.25">
      <c r="A107" s="25"/>
      <c r="B107" s="15" t="s">
        <v>122</v>
      </c>
      <c r="C107" s="56"/>
      <c r="D107" s="57"/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f t="shared" si="40"/>
        <v>0</v>
      </c>
      <c r="R107" s="89">
        <f t="shared" si="32"/>
        <v>0</v>
      </c>
      <c r="S107" s="15"/>
      <c r="T107" s="62">
        <f t="shared" si="38"/>
        <v>0</v>
      </c>
      <c r="U107" s="62">
        <f t="shared" si="33"/>
        <v>0</v>
      </c>
      <c r="V107" s="15"/>
    </row>
    <row r="108" spans="1:22" x14ac:dyDescent="0.25">
      <c r="A108" s="25"/>
      <c r="B108" s="15" t="s">
        <v>123</v>
      </c>
      <c r="C108" s="56"/>
      <c r="D108" s="57"/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f t="shared" si="40"/>
        <v>0</v>
      </c>
      <c r="R108" s="89">
        <f t="shared" si="32"/>
        <v>0</v>
      </c>
      <c r="S108" s="15"/>
      <c r="T108" s="62">
        <f t="shared" si="38"/>
        <v>0</v>
      </c>
      <c r="U108" s="62">
        <f t="shared" si="33"/>
        <v>0</v>
      </c>
      <c r="V108" s="15"/>
    </row>
    <row r="109" spans="1:22" x14ac:dyDescent="0.25">
      <c r="A109" s="25"/>
      <c r="B109" s="15" t="s">
        <v>124</v>
      </c>
      <c r="C109" s="56"/>
      <c r="D109" s="57"/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f t="shared" si="40"/>
        <v>0</v>
      </c>
      <c r="R109" s="89">
        <f t="shared" si="32"/>
        <v>0</v>
      </c>
      <c r="S109" s="15"/>
      <c r="T109" s="62">
        <f t="shared" si="38"/>
        <v>0</v>
      </c>
      <c r="U109" s="62">
        <f t="shared" si="33"/>
        <v>0</v>
      </c>
      <c r="V109" s="15"/>
    </row>
    <row r="110" spans="1:22" x14ac:dyDescent="0.25">
      <c r="A110" s="25"/>
      <c r="B110" s="15" t="s">
        <v>125</v>
      </c>
      <c r="C110" s="56"/>
      <c r="D110" s="57"/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f t="shared" si="40"/>
        <v>0</v>
      </c>
      <c r="R110" s="89">
        <f t="shared" si="32"/>
        <v>0</v>
      </c>
      <c r="S110" s="15"/>
      <c r="T110" s="62">
        <f t="shared" si="38"/>
        <v>0</v>
      </c>
      <c r="U110" s="62">
        <f t="shared" si="33"/>
        <v>0</v>
      </c>
      <c r="V110" s="15"/>
    </row>
    <row r="111" spans="1:22" x14ac:dyDescent="0.25">
      <c r="A111" s="25"/>
      <c r="B111" s="15" t="s">
        <v>126</v>
      </c>
      <c r="C111" s="56"/>
      <c r="D111" s="57"/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f t="shared" si="40"/>
        <v>0</v>
      </c>
      <c r="R111" s="89">
        <f t="shared" si="32"/>
        <v>0</v>
      </c>
      <c r="S111" s="15"/>
      <c r="T111" s="62">
        <f t="shared" si="38"/>
        <v>0</v>
      </c>
      <c r="U111" s="62">
        <f t="shared" si="33"/>
        <v>0</v>
      </c>
      <c r="V111" s="15"/>
    </row>
    <row r="112" spans="1:22" x14ac:dyDescent="0.25">
      <c r="A112" s="25"/>
      <c r="B112" s="15" t="s">
        <v>127</v>
      </c>
      <c r="C112" s="56"/>
      <c r="D112" s="57"/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f t="shared" si="40"/>
        <v>0</v>
      </c>
      <c r="R112" s="89">
        <f t="shared" si="32"/>
        <v>0</v>
      </c>
      <c r="S112" s="15"/>
      <c r="T112" s="62">
        <f t="shared" si="38"/>
        <v>0</v>
      </c>
      <c r="U112" s="62">
        <f t="shared" si="33"/>
        <v>0</v>
      </c>
      <c r="V112" s="15"/>
    </row>
    <row r="113" spans="1:26" x14ac:dyDescent="0.25">
      <c r="A113" s="25"/>
      <c r="B113" s="15" t="s">
        <v>128</v>
      </c>
      <c r="C113" s="56"/>
      <c r="D113" s="57"/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f t="shared" si="40"/>
        <v>0</v>
      </c>
      <c r="R113" s="89">
        <f t="shared" si="32"/>
        <v>0</v>
      </c>
      <c r="S113" s="15"/>
      <c r="T113" s="62">
        <f t="shared" si="38"/>
        <v>0</v>
      </c>
      <c r="U113" s="62">
        <f t="shared" si="33"/>
        <v>0</v>
      </c>
      <c r="V113" s="15"/>
    </row>
    <row r="114" spans="1:26" x14ac:dyDescent="0.25">
      <c r="A114" s="25"/>
      <c r="B114" s="15" t="s">
        <v>129</v>
      </c>
      <c r="C114" s="56"/>
      <c r="D114" s="57"/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f t="shared" si="40"/>
        <v>0</v>
      </c>
      <c r="R114" s="89">
        <f t="shared" si="32"/>
        <v>0</v>
      </c>
      <c r="S114" s="15"/>
      <c r="T114" s="62">
        <f t="shared" si="38"/>
        <v>0</v>
      </c>
      <c r="U114" s="62">
        <f t="shared" si="33"/>
        <v>0</v>
      </c>
      <c r="V114" s="15"/>
    </row>
    <row r="115" spans="1:26" x14ac:dyDescent="0.25">
      <c r="A115" s="25"/>
      <c r="B115" s="15" t="s">
        <v>130</v>
      </c>
      <c r="C115" s="56"/>
      <c r="D115" s="57"/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f t="shared" si="40"/>
        <v>0</v>
      </c>
      <c r="R115" s="89">
        <f t="shared" si="32"/>
        <v>0</v>
      </c>
      <c r="S115" s="15"/>
      <c r="T115" s="62">
        <f t="shared" si="38"/>
        <v>0</v>
      </c>
      <c r="U115" s="62">
        <f t="shared" si="33"/>
        <v>0</v>
      </c>
      <c r="V115" s="15"/>
    </row>
    <row r="116" spans="1:26" x14ac:dyDescent="0.25">
      <c r="A116" s="25"/>
      <c r="B116" s="15" t="s">
        <v>131</v>
      </c>
      <c r="C116" s="56"/>
      <c r="D116" s="57"/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f t="shared" si="40"/>
        <v>0</v>
      </c>
      <c r="R116" s="89">
        <f t="shared" si="32"/>
        <v>0</v>
      </c>
      <c r="S116" s="15"/>
      <c r="T116" s="62">
        <f t="shared" si="38"/>
        <v>0</v>
      </c>
      <c r="U116" s="62">
        <f t="shared" si="33"/>
        <v>0</v>
      </c>
      <c r="V116" s="15"/>
    </row>
    <row r="117" spans="1:26" ht="23.25" x14ac:dyDescent="0.25">
      <c r="A117" s="25"/>
      <c r="B117" s="15" t="s">
        <v>132</v>
      </c>
      <c r="C117" s="56"/>
      <c r="D117" s="57"/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f t="shared" si="40"/>
        <v>0</v>
      </c>
      <c r="R117" s="89">
        <f t="shared" si="32"/>
        <v>0</v>
      </c>
      <c r="S117" s="15"/>
      <c r="T117" s="62">
        <f t="shared" si="38"/>
        <v>0</v>
      </c>
      <c r="U117" s="62">
        <f t="shared" si="33"/>
        <v>0</v>
      </c>
      <c r="V117" s="15"/>
    </row>
    <row r="118" spans="1:26" ht="23.25" x14ac:dyDescent="0.25">
      <c r="A118" s="25"/>
      <c r="B118" s="15" t="s">
        <v>133</v>
      </c>
      <c r="C118" s="56"/>
      <c r="D118" s="57"/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f t="shared" si="40"/>
        <v>0</v>
      </c>
      <c r="R118" s="89">
        <f t="shared" si="32"/>
        <v>0</v>
      </c>
      <c r="S118" s="15"/>
      <c r="T118" s="62">
        <f t="shared" si="38"/>
        <v>0</v>
      </c>
      <c r="U118" s="62">
        <f t="shared" si="33"/>
        <v>0</v>
      </c>
      <c r="V118" s="15"/>
    </row>
    <row r="119" spans="1:26" x14ac:dyDescent="0.25">
      <c r="A119" s="25"/>
      <c r="B119" s="15" t="s">
        <v>134</v>
      </c>
      <c r="C119" s="56"/>
      <c r="D119" s="57"/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f t="shared" si="40"/>
        <v>0</v>
      </c>
      <c r="R119" s="89">
        <f t="shared" si="32"/>
        <v>0</v>
      </c>
      <c r="S119" s="15"/>
      <c r="T119" s="62">
        <f t="shared" si="38"/>
        <v>0</v>
      </c>
      <c r="U119" s="62">
        <f t="shared" si="33"/>
        <v>0</v>
      </c>
      <c r="V119" s="15"/>
    </row>
    <row r="120" spans="1:26" x14ac:dyDescent="0.25">
      <c r="A120" s="25"/>
      <c r="B120" s="15" t="s">
        <v>135</v>
      </c>
      <c r="C120" s="56"/>
      <c r="D120" s="57"/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f t="shared" si="40"/>
        <v>0</v>
      </c>
      <c r="R120" s="89">
        <f t="shared" si="32"/>
        <v>0</v>
      </c>
      <c r="S120" s="15"/>
      <c r="T120" s="62">
        <f t="shared" si="38"/>
        <v>0</v>
      </c>
      <c r="U120" s="62">
        <f t="shared" si="33"/>
        <v>0</v>
      </c>
      <c r="V120" s="15"/>
    </row>
    <row r="121" spans="1:26" ht="15" customHeight="1" x14ac:dyDescent="0.25">
      <c r="A121" s="63" t="s">
        <v>136</v>
      </c>
      <c r="B121" s="15" t="s">
        <v>48</v>
      </c>
      <c r="C121" s="91">
        <f t="shared" ref="C121:Q121" si="41">SUM(C97:C120)</f>
        <v>6009.36</v>
      </c>
      <c r="D121" s="92">
        <f t="shared" si="41"/>
        <v>831.99785714285724</v>
      </c>
      <c r="E121" s="93">
        <f t="shared" si="41"/>
        <v>395</v>
      </c>
      <c r="F121" s="93">
        <f t="shared" si="41"/>
        <v>395</v>
      </c>
      <c r="G121" s="93">
        <f t="shared" si="41"/>
        <v>395</v>
      </c>
      <c r="H121" s="93">
        <f t="shared" si="41"/>
        <v>395</v>
      </c>
      <c r="I121" s="93">
        <f t="shared" si="41"/>
        <v>395</v>
      </c>
      <c r="J121" s="93">
        <f t="shared" si="41"/>
        <v>395</v>
      </c>
      <c r="K121" s="93">
        <f t="shared" si="41"/>
        <v>430</v>
      </c>
      <c r="L121" s="93">
        <f t="shared" si="41"/>
        <v>430</v>
      </c>
      <c r="M121" s="93">
        <f t="shared" si="41"/>
        <v>430</v>
      </c>
      <c r="N121" s="93">
        <f t="shared" si="41"/>
        <v>430</v>
      </c>
      <c r="O121" s="93">
        <f t="shared" si="41"/>
        <v>430</v>
      </c>
      <c r="P121" s="93">
        <f t="shared" si="41"/>
        <v>430</v>
      </c>
      <c r="Q121" s="93">
        <f t="shared" si="41"/>
        <v>4950</v>
      </c>
      <c r="R121" s="94">
        <f>AVERAGE(E121:P121)</f>
        <v>412.5</v>
      </c>
      <c r="T121" s="96">
        <f t="shared" si="38"/>
        <v>3.0000741836525385E-2</v>
      </c>
      <c r="U121" s="96">
        <f t="shared" si="33"/>
        <v>-0.17628499540716477</v>
      </c>
    </row>
    <row r="122" spans="1:26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6" ht="23.25" x14ac:dyDescent="0.25">
      <c r="A123" s="25"/>
      <c r="B123" s="15" t="s">
        <v>138</v>
      </c>
      <c r="C123" s="56"/>
      <c r="D123" s="57"/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f>SUM(E123:P123)</f>
        <v>0</v>
      </c>
      <c r="R123" s="89">
        <f t="shared" si="32"/>
        <v>0</v>
      </c>
      <c r="S123" s="15"/>
      <c r="T123" s="62">
        <f t="shared" si="38"/>
        <v>0</v>
      </c>
      <c r="U123" s="62">
        <f t="shared" si="33"/>
        <v>0</v>
      </c>
      <c r="V123" s="15"/>
    </row>
    <row r="124" spans="1:26" x14ac:dyDescent="0.25">
      <c r="A124" s="63" t="s">
        <v>139</v>
      </c>
      <c r="B124" s="15" t="s">
        <v>48</v>
      </c>
      <c r="C124" s="91">
        <f t="shared" ref="C124:Q124" si="42">SUM(C123:C123)</f>
        <v>0</v>
      </c>
      <c r="D124" s="92">
        <f t="shared" si="42"/>
        <v>0</v>
      </c>
      <c r="E124" s="93">
        <f t="shared" si="42"/>
        <v>0</v>
      </c>
      <c r="F124" s="93">
        <f t="shared" si="42"/>
        <v>0</v>
      </c>
      <c r="G124" s="93">
        <f t="shared" si="42"/>
        <v>0</v>
      </c>
      <c r="H124" s="93">
        <f t="shared" si="42"/>
        <v>0</v>
      </c>
      <c r="I124" s="93">
        <f t="shared" si="42"/>
        <v>0</v>
      </c>
      <c r="J124" s="93">
        <f t="shared" si="42"/>
        <v>0</v>
      </c>
      <c r="K124" s="93">
        <f t="shared" si="42"/>
        <v>0</v>
      </c>
      <c r="L124" s="93">
        <f t="shared" si="42"/>
        <v>0</v>
      </c>
      <c r="M124" s="93">
        <f t="shared" si="42"/>
        <v>0</v>
      </c>
      <c r="N124" s="93">
        <f t="shared" si="42"/>
        <v>0</v>
      </c>
      <c r="O124" s="93">
        <f t="shared" si="42"/>
        <v>0</v>
      </c>
      <c r="P124" s="93">
        <f t="shared" si="42"/>
        <v>0</v>
      </c>
      <c r="Q124" s="93">
        <f t="shared" si="42"/>
        <v>0</v>
      </c>
      <c r="R124" s="94">
        <f t="shared" si="32"/>
        <v>0</v>
      </c>
      <c r="T124" s="96">
        <f t="shared" si="38"/>
        <v>0</v>
      </c>
      <c r="U124" s="96">
        <f t="shared" si="33"/>
        <v>0</v>
      </c>
    </row>
    <row r="125" spans="1:26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6" x14ac:dyDescent="0.25">
      <c r="A126" s="63"/>
      <c r="B126" s="15" t="s">
        <v>141</v>
      </c>
      <c r="C126" s="56">
        <f>3065/10*12</f>
        <v>3678</v>
      </c>
      <c r="D126" s="57">
        <f>C126/12</f>
        <v>306.5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f>SUM(E126:P126)</f>
        <v>0</v>
      </c>
      <c r="R126" s="89">
        <f t="shared" si="32"/>
        <v>0</v>
      </c>
      <c r="S126" s="15"/>
      <c r="T126" s="62">
        <f t="shared" si="38"/>
        <v>0</v>
      </c>
      <c r="U126" s="62">
        <f t="shared" si="33"/>
        <v>-1</v>
      </c>
      <c r="V126" s="15"/>
    </row>
    <row r="127" spans="1:26" x14ac:dyDescent="0.25">
      <c r="A127" s="63" t="s">
        <v>142</v>
      </c>
      <c r="B127" s="15"/>
      <c r="C127" s="137">
        <f t="shared" ref="C127:Q127" si="43">SUM(C126:C126)</f>
        <v>3678</v>
      </c>
      <c r="D127" s="138">
        <f t="shared" si="43"/>
        <v>306.5</v>
      </c>
      <c r="E127" s="139">
        <f t="shared" si="43"/>
        <v>0</v>
      </c>
      <c r="F127" s="139">
        <f t="shared" si="43"/>
        <v>0</v>
      </c>
      <c r="G127" s="139">
        <f t="shared" si="43"/>
        <v>0</v>
      </c>
      <c r="H127" s="139">
        <f t="shared" si="43"/>
        <v>0</v>
      </c>
      <c r="I127" s="139">
        <f t="shared" si="43"/>
        <v>0</v>
      </c>
      <c r="J127" s="139">
        <f t="shared" si="43"/>
        <v>0</v>
      </c>
      <c r="K127" s="139">
        <f t="shared" si="43"/>
        <v>0</v>
      </c>
      <c r="L127" s="139">
        <f t="shared" si="43"/>
        <v>0</v>
      </c>
      <c r="M127" s="139">
        <f t="shared" si="43"/>
        <v>0</v>
      </c>
      <c r="N127" s="139">
        <f t="shared" si="43"/>
        <v>0</v>
      </c>
      <c r="O127" s="139">
        <f t="shared" si="43"/>
        <v>0</v>
      </c>
      <c r="P127" s="139">
        <f t="shared" si="43"/>
        <v>0</v>
      </c>
      <c r="Q127" s="139">
        <f t="shared" si="43"/>
        <v>0</v>
      </c>
      <c r="R127" s="140">
        <f t="shared" si="32"/>
        <v>0</v>
      </c>
      <c r="T127" s="141">
        <f t="shared" si="38"/>
        <v>0</v>
      </c>
      <c r="U127" s="141">
        <f t="shared" si="33"/>
        <v>-1</v>
      </c>
    </row>
    <row r="128" spans="1:26" s="142" customFormat="1" x14ac:dyDescent="0.25">
      <c r="A128" s="63" t="s">
        <v>143</v>
      </c>
      <c r="B128" s="142" t="s">
        <v>48</v>
      </c>
      <c r="C128" s="71">
        <f>C124+C121+C90+C82+C73+C62+C48+C95+C76+C127</f>
        <v>9688.5360000000001</v>
      </c>
      <c r="D128" s="72">
        <f>D124+D121+D90+D82+D73+D62+D48+D95+D76+D127</f>
        <v>1138.5958571428573</v>
      </c>
      <c r="E128" s="73">
        <f t="shared" ref="E128:Q128" si="44">E124+E121+E90+E82+E73+E62+E48+E95+E76+E127</f>
        <v>395</v>
      </c>
      <c r="F128" s="73">
        <f t="shared" si="44"/>
        <v>395</v>
      </c>
      <c r="G128" s="73">
        <f t="shared" si="44"/>
        <v>395</v>
      </c>
      <c r="H128" s="73">
        <f t="shared" si="44"/>
        <v>395</v>
      </c>
      <c r="I128" s="73">
        <f t="shared" si="44"/>
        <v>395</v>
      </c>
      <c r="J128" s="73">
        <f t="shared" si="44"/>
        <v>395</v>
      </c>
      <c r="K128" s="73">
        <f t="shared" si="44"/>
        <v>430</v>
      </c>
      <c r="L128" s="73">
        <f t="shared" si="44"/>
        <v>430</v>
      </c>
      <c r="M128" s="73">
        <f t="shared" si="44"/>
        <v>430</v>
      </c>
      <c r="N128" s="73">
        <f t="shared" si="44"/>
        <v>430</v>
      </c>
      <c r="O128" s="73">
        <f t="shared" si="44"/>
        <v>430</v>
      </c>
      <c r="P128" s="73">
        <f t="shared" si="44"/>
        <v>430</v>
      </c>
      <c r="Q128" s="73">
        <f t="shared" si="44"/>
        <v>4950</v>
      </c>
      <c r="R128" s="74">
        <f t="shared" si="32"/>
        <v>412.5</v>
      </c>
      <c r="T128" s="76">
        <f t="shared" si="38"/>
        <v>3.0000741836525385E-2</v>
      </c>
      <c r="U128" s="76">
        <f t="shared" si="33"/>
        <v>-0.48908689610071121</v>
      </c>
      <c r="W128"/>
      <c r="X128"/>
      <c r="Y128"/>
      <c r="Z128"/>
    </row>
    <row r="129" spans="1:26" x14ac:dyDescent="0.25">
      <c r="A129" s="78" t="s">
        <v>144</v>
      </c>
      <c r="B129" t="s">
        <v>48</v>
      </c>
      <c r="C129" s="79">
        <f t="shared" ref="C129:Q129" si="45">C34-C128</f>
        <v>122579.61400000003</v>
      </c>
      <c r="D129" s="80">
        <f>D34-D128</f>
        <v>9883.7499761904764</v>
      </c>
      <c r="E129" s="81">
        <f t="shared" si="45"/>
        <v>12441.16</v>
      </c>
      <c r="F129" s="81">
        <f t="shared" si="45"/>
        <v>12441.16</v>
      </c>
      <c r="G129" s="81">
        <f t="shared" si="45"/>
        <v>12441.16</v>
      </c>
      <c r="H129" s="81">
        <f t="shared" si="45"/>
        <v>12441.16</v>
      </c>
      <c r="I129" s="81">
        <f t="shared" si="45"/>
        <v>12441.16</v>
      </c>
      <c r="J129" s="81">
        <f t="shared" si="45"/>
        <v>12441.16</v>
      </c>
      <c r="K129" s="81">
        <f t="shared" si="45"/>
        <v>14233.160000000003</v>
      </c>
      <c r="L129" s="81">
        <f t="shared" si="45"/>
        <v>14233.160000000003</v>
      </c>
      <c r="M129" s="81">
        <f t="shared" si="45"/>
        <v>14233.160000000003</v>
      </c>
      <c r="N129" s="81">
        <f t="shared" si="45"/>
        <v>14233.160000000003</v>
      </c>
      <c r="O129" s="81">
        <f t="shared" si="45"/>
        <v>14233.160000000003</v>
      </c>
      <c r="P129" s="81">
        <f t="shared" si="45"/>
        <v>14233.160000000003</v>
      </c>
      <c r="Q129" s="81">
        <f t="shared" si="45"/>
        <v>160045.92000000016</v>
      </c>
      <c r="R129" s="82">
        <f t="shared" si="32"/>
        <v>13337.160000000003</v>
      </c>
      <c r="T129" s="31">
        <f t="shared" si="38"/>
        <v>0.96999925816347465</v>
      </c>
      <c r="U129" s="31">
        <f t="shared" si="33"/>
        <v>0.30564875167578942</v>
      </c>
      <c r="W129" s="142"/>
      <c r="X129" s="142"/>
      <c r="Y129" s="142"/>
      <c r="Z129" s="142"/>
    </row>
    <row r="130" spans="1:26" x14ac:dyDescent="0.25">
      <c r="A130" s="78" t="s">
        <v>145</v>
      </c>
      <c r="B130" t="s">
        <v>48</v>
      </c>
      <c r="C130" s="339">
        <f t="shared" ref="C130:Q130" si="46">IFERROR(C129/C34,0)</f>
        <v>0.92675080130779786</v>
      </c>
      <c r="D130" s="340">
        <f t="shared" si="46"/>
        <v>0.89670113110590643</v>
      </c>
      <c r="E130" s="341">
        <f t="shared" si="46"/>
        <v>0.96922755715104825</v>
      </c>
      <c r="F130" s="341">
        <f t="shared" si="46"/>
        <v>0.96922755715104825</v>
      </c>
      <c r="G130" s="341">
        <f t="shared" si="46"/>
        <v>0.96922755715104825</v>
      </c>
      <c r="H130" s="341">
        <f t="shared" si="46"/>
        <v>0.96922755715104825</v>
      </c>
      <c r="I130" s="341">
        <f t="shared" si="46"/>
        <v>0.96922755715104825</v>
      </c>
      <c r="J130" s="341">
        <f t="shared" si="46"/>
        <v>0.96922755715104825</v>
      </c>
      <c r="K130" s="341">
        <f t="shared" si="46"/>
        <v>0.97067480679471552</v>
      </c>
      <c r="L130" s="341">
        <f t="shared" si="46"/>
        <v>0.97067480679471552</v>
      </c>
      <c r="M130" s="341">
        <f t="shared" si="46"/>
        <v>0.97067480679471552</v>
      </c>
      <c r="N130" s="341">
        <f t="shared" si="46"/>
        <v>0.97067480679471552</v>
      </c>
      <c r="O130" s="341">
        <f t="shared" si="46"/>
        <v>0.97067480679471552</v>
      </c>
      <c r="P130" s="341">
        <f t="shared" si="46"/>
        <v>0.97067480679471552</v>
      </c>
      <c r="Q130" s="341">
        <f t="shared" si="46"/>
        <v>0.96999925816347465</v>
      </c>
      <c r="R130" s="342">
        <f t="shared" si="32"/>
        <v>0.96995118197288177</v>
      </c>
      <c r="T130" s="31"/>
      <c r="U130" s="31">
        <f>IFERROR((Q130-C130)/C130,0)</f>
        <v>4.6666759602091643E-2</v>
      </c>
    </row>
    <row r="131" spans="1:26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6" x14ac:dyDescent="0.25">
      <c r="A132" s="78"/>
      <c r="B132" s="15" t="s">
        <v>147</v>
      </c>
      <c r="C132" s="56"/>
      <c r="D132" s="57"/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f>SUM(E132:P132)</f>
        <v>0</v>
      </c>
      <c r="R132" s="89">
        <f t="shared" ref="R132:R137" si="47">AVERAGE(E132:P132)</f>
        <v>0</v>
      </c>
      <c r="S132" s="15"/>
      <c r="T132" s="62">
        <f t="shared" si="38"/>
        <v>0</v>
      </c>
      <c r="U132" s="62">
        <f t="shared" si="33"/>
        <v>0</v>
      </c>
    </row>
    <row r="133" spans="1:26" x14ac:dyDescent="0.25">
      <c r="A133" s="78"/>
      <c r="B133" s="15" t="s">
        <v>148</v>
      </c>
      <c r="C133" s="56"/>
      <c r="D133" s="57"/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f>SUM(E133:P133)</f>
        <v>0</v>
      </c>
      <c r="R133" s="89">
        <f t="shared" si="47"/>
        <v>0</v>
      </c>
      <c r="S133" s="15"/>
      <c r="T133" s="62">
        <f t="shared" si="38"/>
        <v>0</v>
      </c>
      <c r="U133" s="62">
        <f t="shared" si="33"/>
        <v>0</v>
      </c>
    </row>
    <row r="134" spans="1:26" x14ac:dyDescent="0.25">
      <c r="A134" s="63" t="s">
        <v>149</v>
      </c>
      <c r="C134" s="137">
        <f t="shared" ref="C134:D134" si="48">SUM(C132:C133)</f>
        <v>0</v>
      </c>
      <c r="D134" s="138">
        <f t="shared" si="48"/>
        <v>0</v>
      </c>
      <c r="E134" s="139">
        <f>SUM(E132:E133)</f>
        <v>0</v>
      </c>
      <c r="F134" s="139">
        <f t="shared" ref="F134:Q134" si="49">SUM(F132:F133)</f>
        <v>0</v>
      </c>
      <c r="G134" s="139">
        <f t="shared" si="49"/>
        <v>0</v>
      </c>
      <c r="H134" s="139">
        <f t="shared" si="49"/>
        <v>0</v>
      </c>
      <c r="I134" s="139">
        <f t="shared" si="49"/>
        <v>0</v>
      </c>
      <c r="J134" s="139">
        <f t="shared" si="49"/>
        <v>0</v>
      </c>
      <c r="K134" s="139">
        <f t="shared" si="49"/>
        <v>0</v>
      </c>
      <c r="L134" s="139">
        <f t="shared" si="49"/>
        <v>0</v>
      </c>
      <c r="M134" s="139">
        <f t="shared" si="49"/>
        <v>0</v>
      </c>
      <c r="N134" s="139">
        <f t="shared" si="49"/>
        <v>0</v>
      </c>
      <c r="O134" s="139">
        <f t="shared" si="49"/>
        <v>0</v>
      </c>
      <c r="P134" s="139">
        <f t="shared" si="49"/>
        <v>0</v>
      </c>
      <c r="Q134" s="139">
        <f t="shared" si="49"/>
        <v>0</v>
      </c>
      <c r="R134" s="140">
        <f>AVERAGE(E134:P134)</f>
        <v>0</v>
      </c>
      <c r="T134" s="141">
        <f t="shared" si="38"/>
        <v>0</v>
      </c>
      <c r="U134" s="141">
        <f t="shared" si="33"/>
        <v>0</v>
      </c>
    </row>
    <row r="135" spans="1:26" ht="22.5" x14ac:dyDescent="0.25">
      <c r="A135" s="63" t="s">
        <v>150</v>
      </c>
      <c r="C135" s="71">
        <f t="shared" ref="C135:D135" si="50">C134+C128</f>
        <v>9688.5360000000001</v>
      </c>
      <c r="D135" s="72">
        <f t="shared" si="50"/>
        <v>1138.5958571428573</v>
      </c>
      <c r="E135" s="73">
        <f>E134+E128</f>
        <v>395</v>
      </c>
      <c r="F135" s="73">
        <f t="shared" ref="F135:P135" si="51">F134+F128</f>
        <v>395</v>
      </c>
      <c r="G135" s="73">
        <f t="shared" si="51"/>
        <v>395</v>
      </c>
      <c r="H135" s="73">
        <f t="shared" si="51"/>
        <v>395</v>
      </c>
      <c r="I135" s="73">
        <f t="shared" si="51"/>
        <v>395</v>
      </c>
      <c r="J135" s="73">
        <f t="shared" si="51"/>
        <v>395</v>
      </c>
      <c r="K135" s="73">
        <f t="shared" si="51"/>
        <v>430</v>
      </c>
      <c r="L135" s="73">
        <f t="shared" si="51"/>
        <v>430</v>
      </c>
      <c r="M135" s="73">
        <f t="shared" si="51"/>
        <v>430</v>
      </c>
      <c r="N135" s="73">
        <f t="shared" si="51"/>
        <v>430</v>
      </c>
      <c r="O135" s="73">
        <f t="shared" si="51"/>
        <v>430</v>
      </c>
      <c r="P135" s="73">
        <f t="shared" si="51"/>
        <v>430</v>
      </c>
      <c r="Q135" s="73">
        <f>Q134+Q128</f>
        <v>4950</v>
      </c>
      <c r="R135" s="74">
        <f t="shared" si="47"/>
        <v>412.5</v>
      </c>
      <c r="T135" s="76">
        <f t="shared" si="38"/>
        <v>3.0000741836525385E-2</v>
      </c>
      <c r="U135" s="76">
        <f t="shared" si="33"/>
        <v>-0.48908689610071121</v>
      </c>
    </row>
    <row r="136" spans="1:26" x14ac:dyDescent="0.25">
      <c r="A136" s="78" t="s">
        <v>151</v>
      </c>
      <c r="C136" s="79">
        <f t="shared" ref="C136:Q136" si="52">C34-C135</f>
        <v>122579.61400000003</v>
      </c>
      <c r="D136" s="80">
        <f t="shared" si="52"/>
        <v>9883.7499761904764</v>
      </c>
      <c r="E136" s="81">
        <f t="shared" si="52"/>
        <v>12441.16</v>
      </c>
      <c r="F136" s="81">
        <f t="shared" si="52"/>
        <v>12441.16</v>
      </c>
      <c r="G136" s="81">
        <f t="shared" si="52"/>
        <v>12441.16</v>
      </c>
      <c r="H136" s="81">
        <f t="shared" si="52"/>
        <v>12441.16</v>
      </c>
      <c r="I136" s="81">
        <f t="shared" si="52"/>
        <v>12441.16</v>
      </c>
      <c r="J136" s="81">
        <f t="shared" si="52"/>
        <v>12441.16</v>
      </c>
      <c r="K136" s="81">
        <f t="shared" si="52"/>
        <v>14233.160000000003</v>
      </c>
      <c r="L136" s="81">
        <f t="shared" si="52"/>
        <v>14233.160000000003</v>
      </c>
      <c r="M136" s="81">
        <f t="shared" si="52"/>
        <v>14233.160000000003</v>
      </c>
      <c r="N136" s="81">
        <f t="shared" si="52"/>
        <v>14233.160000000003</v>
      </c>
      <c r="O136" s="81">
        <f t="shared" si="52"/>
        <v>14233.160000000003</v>
      </c>
      <c r="P136" s="81">
        <f t="shared" si="52"/>
        <v>14233.160000000003</v>
      </c>
      <c r="Q136" s="81">
        <f t="shared" si="52"/>
        <v>160045.92000000016</v>
      </c>
      <c r="R136" s="82">
        <f>AVERAGE(E136:P136)</f>
        <v>13337.160000000003</v>
      </c>
      <c r="T136" s="31">
        <f>Q136/$Q$34</f>
        <v>0.96999925816347465</v>
      </c>
      <c r="U136" s="31">
        <f t="shared" si="33"/>
        <v>0.30564875167578942</v>
      </c>
    </row>
    <row r="137" spans="1:26" ht="15.75" thickBot="1" x14ac:dyDescent="0.3">
      <c r="A137" s="78" t="s">
        <v>152</v>
      </c>
      <c r="C137" s="344">
        <f>IFERROR(C136/C34,"")</f>
        <v>0.92675080130779786</v>
      </c>
      <c r="D137" s="345">
        <f>IFERROR(D136/D34,"")</f>
        <v>0.89670113110590643</v>
      </c>
      <c r="E137" s="341">
        <f t="shared" ref="E137:Q137" si="53">E136/E34</f>
        <v>0.96922755715104825</v>
      </c>
      <c r="F137" s="341">
        <f t="shared" si="53"/>
        <v>0.96922755715104825</v>
      </c>
      <c r="G137" s="341">
        <f t="shared" si="53"/>
        <v>0.96922755715104825</v>
      </c>
      <c r="H137" s="341">
        <f t="shared" si="53"/>
        <v>0.96922755715104825</v>
      </c>
      <c r="I137" s="341">
        <f t="shared" si="53"/>
        <v>0.96922755715104825</v>
      </c>
      <c r="J137" s="341">
        <f t="shared" si="53"/>
        <v>0.96922755715104825</v>
      </c>
      <c r="K137" s="341">
        <f t="shared" si="53"/>
        <v>0.97067480679471552</v>
      </c>
      <c r="L137" s="341">
        <f t="shared" si="53"/>
        <v>0.97067480679471552</v>
      </c>
      <c r="M137" s="341">
        <f t="shared" si="53"/>
        <v>0.97067480679471552</v>
      </c>
      <c r="N137" s="341">
        <f t="shared" si="53"/>
        <v>0.97067480679471552</v>
      </c>
      <c r="O137" s="341">
        <f t="shared" si="53"/>
        <v>0.97067480679471552</v>
      </c>
      <c r="P137" s="341">
        <f t="shared" si="53"/>
        <v>0.97067480679471552</v>
      </c>
      <c r="Q137" s="341">
        <f t="shared" si="53"/>
        <v>0.96999925816347465</v>
      </c>
      <c r="R137" s="346">
        <f t="shared" si="47"/>
        <v>0.96995118197288177</v>
      </c>
      <c r="T137" s="181"/>
      <c r="U137" s="181">
        <f t="shared" si="33"/>
        <v>4.6666759602091643E-2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91AB-745D-4F6B-9BBB-B45C16D199F5}">
  <dimension ref="A1:AA137"/>
  <sheetViews>
    <sheetView topLeftCell="A17" workbookViewId="0">
      <selection activeCell="B24" sqref="B24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5.42578125" customWidth="1"/>
    <col min="20" max="20" width="10" bestFit="1" customWidth="1"/>
    <col min="21" max="21" width="11.85546875" customWidth="1"/>
    <col min="25" max="25" width="9.5703125" bestFit="1" customWidth="1"/>
    <col min="26" max="26" width="13" customWidth="1"/>
    <col min="27" max="27" width="14.42578125" customWidth="1"/>
  </cols>
  <sheetData>
    <row r="1" spans="1:27" ht="18" x14ac:dyDescent="0.25">
      <c r="A1" s="401" t="s">
        <v>370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7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7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7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7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7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7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7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7" x14ac:dyDescent="0.25">
      <c r="A9" s="25"/>
      <c r="B9" s="15" t="s">
        <v>24</v>
      </c>
      <c r="C9" s="16">
        <v>4.8840000000000003</v>
      </c>
      <c r="D9" s="17">
        <v>0.40700000000000003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9">
        <f t="shared" si="0"/>
        <v>12</v>
      </c>
      <c r="R9" s="20">
        <f t="shared" si="1"/>
        <v>1</v>
      </c>
      <c r="S9" s="15"/>
      <c r="T9" s="21"/>
      <c r="U9" s="22">
        <f t="shared" si="2"/>
        <v>1.4570024570024569</v>
      </c>
    </row>
    <row r="10" spans="1:27" x14ac:dyDescent="0.25">
      <c r="A10" s="15"/>
      <c r="B10" s="15" t="s">
        <v>25</v>
      </c>
      <c r="C10" s="16">
        <v>69.599999999999994</v>
      </c>
      <c r="D10" s="17">
        <v>5.8</v>
      </c>
      <c r="E10" s="18">
        <v>7</v>
      </c>
      <c r="F10" s="18">
        <v>7</v>
      </c>
      <c r="G10" s="18">
        <v>7</v>
      </c>
      <c r="H10" s="18">
        <v>7</v>
      </c>
      <c r="I10" s="18">
        <v>7</v>
      </c>
      <c r="J10" s="18">
        <v>7</v>
      </c>
      <c r="K10" s="18">
        <v>7</v>
      </c>
      <c r="L10" s="18">
        <v>7</v>
      </c>
      <c r="M10" s="18">
        <v>7</v>
      </c>
      <c r="N10" s="18">
        <v>7</v>
      </c>
      <c r="O10" s="18">
        <v>7</v>
      </c>
      <c r="P10" s="18">
        <v>7</v>
      </c>
      <c r="Q10" s="19">
        <f t="shared" si="0"/>
        <v>84</v>
      </c>
      <c r="R10" s="20">
        <f t="shared" si="1"/>
        <v>7</v>
      </c>
      <c r="S10" s="15"/>
      <c r="T10" s="21"/>
      <c r="U10" s="22">
        <f t="shared" si="2"/>
        <v>0.20689655172413804</v>
      </c>
    </row>
    <row r="11" spans="1:27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 t="shared" si="1"/>
        <v>#DIV/0!</v>
      </c>
      <c r="S11" s="15"/>
      <c r="T11" s="21"/>
      <c r="U11" s="22">
        <f t="shared" si="2"/>
        <v>0</v>
      </c>
    </row>
    <row r="12" spans="1:27" x14ac:dyDescent="0.25">
      <c r="A12" s="15"/>
      <c r="B12" s="15" t="s">
        <v>27</v>
      </c>
      <c r="C12" s="16">
        <v>5.2800000000000011</v>
      </c>
      <c r="D12" s="17">
        <v>0.44000000000000006</v>
      </c>
      <c r="E12" s="18">
        <v>2</v>
      </c>
      <c r="F12" s="18">
        <v>2</v>
      </c>
      <c r="G12" s="18">
        <v>2</v>
      </c>
      <c r="H12" s="18">
        <v>2</v>
      </c>
      <c r="I12" s="18">
        <v>2</v>
      </c>
      <c r="J12" s="18">
        <v>2</v>
      </c>
      <c r="K12" s="18">
        <v>3</v>
      </c>
      <c r="L12" s="18">
        <v>3</v>
      </c>
      <c r="M12" s="18">
        <v>3</v>
      </c>
      <c r="N12" s="18">
        <v>3</v>
      </c>
      <c r="O12" s="18">
        <v>3</v>
      </c>
      <c r="P12" s="18">
        <v>3</v>
      </c>
      <c r="Q12" s="19">
        <f t="shared" si="0"/>
        <v>30</v>
      </c>
      <c r="R12" s="20">
        <f t="shared" si="1"/>
        <v>2.5</v>
      </c>
      <c r="S12" s="15"/>
      <c r="T12" s="21"/>
      <c r="U12" s="22">
        <f>IFERROR((Q12-C12)/C12,0)</f>
        <v>4.6818181818181808</v>
      </c>
    </row>
    <row r="13" spans="1:27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 t="shared" si="1"/>
        <v>#DIV/0!</v>
      </c>
      <c r="S13" s="15"/>
      <c r="T13" s="21"/>
      <c r="U13" s="22">
        <f t="shared" si="2"/>
        <v>0</v>
      </c>
    </row>
    <row r="14" spans="1:27" x14ac:dyDescent="0.25">
      <c r="A14" s="25"/>
      <c r="B14" s="15" t="s">
        <v>29</v>
      </c>
      <c r="C14" s="26">
        <f>SUM(C7:C13)</f>
        <v>79.763999999999996</v>
      </c>
      <c r="D14" s="27">
        <f t="shared" ref="D14:Q14" si="3">SUM(D7:D13)</f>
        <v>6.6470000000000002</v>
      </c>
      <c r="E14" s="28">
        <f t="shared" si="3"/>
        <v>10</v>
      </c>
      <c r="F14" s="28">
        <f t="shared" si="3"/>
        <v>10</v>
      </c>
      <c r="G14" s="28">
        <f t="shared" si="3"/>
        <v>10</v>
      </c>
      <c r="H14" s="28">
        <f t="shared" si="3"/>
        <v>10</v>
      </c>
      <c r="I14" s="28">
        <f t="shared" si="3"/>
        <v>10</v>
      </c>
      <c r="J14" s="28">
        <f t="shared" si="3"/>
        <v>10</v>
      </c>
      <c r="K14" s="28">
        <f t="shared" si="3"/>
        <v>11</v>
      </c>
      <c r="L14" s="28">
        <f t="shared" si="3"/>
        <v>11</v>
      </c>
      <c r="M14" s="28">
        <f t="shared" si="3"/>
        <v>11</v>
      </c>
      <c r="N14" s="28">
        <f t="shared" si="3"/>
        <v>11</v>
      </c>
      <c r="O14" s="28">
        <f t="shared" si="3"/>
        <v>11</v>
      </c>
      <c r="P14" s="28">
        <f t="shared" si="3"/>
        <v>11</v>
      </c>
      <c r="Q14" s="28">
        <f t="shared" si="3"/>
        <v>126</v>
      </c>
      <c r="R14" s="29">
        <f t="shared" si="1"/>
        <v>10.5</v>
      </c>
      <c r="T14" s="30"/>
      <c r="U14" s="31">
        <f>IFERROR((Q14-C14)/C14,0)</f>
        <v>0.57965999699112392</v>
      </c>
    </row>
    <row r="15" spans="1:27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7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W16"/>
      <c r="X16"/>
      <c r="Y16"/>
      <c r="Z16"/>
      <c r="AA16"/>
    </row>
    <row r="17" spans="1:27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W17"/>
      <c r="X17"/>
      <c r="Y17"/>
      <c r="Z17"/>
      <c r="AA17"/>
    </row>
    <row r="18" spans="1:27" s="44" customFormat="1" x14ac:dyDescent="0.25">
      <c r="B18" s="15" t="s">
        <v>33</v>
      </c>
      <c r="C18" s="40"/>
      <c r="D18" s="41"/>
      <c r="E18" s="42">
        <v>315</v>
      </c>
      <c r="F18" s="42">
        <v>315</v>
      </c>
      <c r="G18" s="42">
        <v>315</v>
      </c>
      <c r="H18" s="42">
        <v>315</v>
      </c>
      <c r="I18" s="42">
        <v>315</v>
      </c>
      <c r="J18" s="42">
        <v>315</v>
      </c>
      <c r="K18" s="42">
        <v>315</v>
      </c>
      <c r="L18" s="42">
        <v>315</v>
      </c>
      <c r="M18" s="42">
        <v>315</v>
      </c>
      <c r="N18" s="42">
        <v>315</v>
      </c>
      <c r="O18" s="42">
        <v>315</v>
      </c>
      <c r="P18" s="42">
        <v>315</v>
      </c>
      <c r="Q18" s="42">
        <f>AVERAGE(E18:P18)</f>
        <v>315</v>
      </c>
      <c r="R18" s="43">
        <f t="shared" si="1"/>
        <v>315</v>
      </c>
      <c r="S18" s="15"/>
      <c r="T18" s="21"/>
      <c r="U18" s="22" t="str">
        <f t="shared" si="4"/>
        <v/>
      </c>
      <c r="W18"/>
      <c r="X18"/>
      <c r="Y18"/>
      <c r="Z18"/>
      <c r="AA18"/>
    </row>
    <row r="19" spans="1:27" s="44" customFormat="1" x14ac:dyDescent="0.25">
      <c r="B19" s="15" t="s">
        <v>34</v>
      </c>
      <c r="C19" s="40"/>
      <c r="D19" s="41"/>
      <c r="E19" s="42">
        <v>185</v>
      </c>
      <c r="F19" s="42">
        <v>185</v>
      </c>
      <c r="G19" s="42">
        <v>185</v>
      </c>
      <c r="H19" s="42">
        <v>185</v>
      </c>
      <c r="I19" s="42">
        <v>185</v>
      </c>
      <c r="J19" s="42">
        <v>185</v>
      </c>
      <c r="K19" s="42">
        <v>185</v>
      </c>
      <c r="L19" s="42">
        <v>185</v>
      </c>
      <c r="M19" s="42">
        <v>185</v>
      </c>
      <c r="N19" s="42">
        <v>185</v>
      </c>
      <c r="O19" s="42">
        <v>185</v>
      </c>
      <c r="P19" s="42">
        <v>185</v>
      </c>
      <c r="Q19" s="42">
        <f>AVERAGE(E19:P19)</f>
        <v>185</v>
      </c>
      <c r="R19" s="43">
        <f t="shared" si="1"/>
        <v>185</v>
      </c>
      <c r="S19" s="15"/>
      <c r="T19" s="21"/>
      <c r="U19" s="22" t="str">
        <f t="shared" si="4"/>
        <v/>
      </c>
      <c r="W19"/>
      <c r="X19"/>
      <c r="Y19"/>
      <c r="Z19"/>
      <c r="AA19"/>
    </row>
    <row r="20" spans="1:27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 t="shared" si="1"/>
        <v>0</v>
      </c>
      <c r="S20" s="15"/>
      <c r="T20" s="21"/>
      <c r="U20" s="22" t="str">
        <f t="shared" si="4"/>
        <v/>
      </c>
      <c r="W20"/>
      <c r="X20"/>
      <c r="Y20"/>
      <c r="Z20"/>
      <c r="AA20"/>
    </row>
    <row r="21" spans="1:27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 t="shared" si="1"/>
        <v>0</v>
      </c>
      <c r="S21" s="15"/>
      <c r="T21" s="21"/>
      <c r="U21" s="22" t="str">
        <f t="shared" si="4"/>
        <v/>
      </c>
      <c r="W21"/>
      <c r="X21"/>
      <c r="Y21"/>
      <c r="Z21"/>
      <c r="AA21"/>
    </row>
    <row r="22" spans="1:27" s="44" customFormat="1" x14ac:dyDescent="0.25">
      <c r="B22" s="15"/>
      <c r="C22" s="46"/>
      <c r="D22" s="47"/>
      <c r="E22" s="42"/>
      <c r="R22" s="48"/>
      <c r="S22" s="49"/>
      <c r="T22" s="50"/>
      <c r="U22" s="50"/>
      <c r="W22"/>
      <c r="X22"/>
      <c r="Y22"/>
      <c r="Z22"/>
      <c r="AA22"/>
    </row>
    <row r="23" spans="1:27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7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15"/>
    </row>
    <row r="25" spans="1:27" x14ac:dyDescent="0.25">
      <c r="A25" s="25"/>
      <c r="B25" s="15" t="s">
        <v>39</v>
      </c>
      <c r="C25" s="56">
        <v>0</v>
      </c>
      <c r="D25" s="57">
        <f t="shared" ref="D25:D29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 t="shared" si="1"/>
        <v>0</v>
      </c>
      <c r="S25" s="15"/>
      <c r="T25" s="61"/>
      <c r="U25" s="62">
        <f t="shared" si="6"/>
        <v>0</v>
      </c>
      <c r="V25" s="15"/>
    </row>
    <row r="26" spans="1:27" x14ac:dyDescent="0.25">
      <c r="A26" s="25"/>
      <c r="B26" s="15" t="s">
        <v>40</v>
      </c>
      <c r="C26" s="56">
        <v>199459.21</v>
      </c>
      <c r="D26" s="57">
        <f t="shared" si="7"/>
        <v>16621.600833333334</v>
      </c>
      <c r="E26" s="58">
        <f>(((E9*E18)*21.75)+(((E10*E19)*13.08)+(((E11*E20)*4.33))))</f>
        <v>23789.85</v>
      </c>
      <c r="F26" s="58">
        <f t="shared" ref="F26:O26" si="8">(((F9*F18)*21.75)+(((F10*F19)*13.08)+(((F11*F20)*4.33))))</f>
        <v>23789.85</v>
      </c>
      <c r="G26" s="58">
        <f t="shared" si="8"/>
        <v>23789.85</v>
      </c>
      <c r="H26" s="58">
        <f t="shared" si="8"/>
        <v>23789.85</v>
      </c>
      <c r="I26" s="58">
        <f t="shared" si="8"/>
        <v>23789.85</v>
      </c>
      <c r="J26" s="58">
        <f t="shared" si="8"/>
        <v>23789.85</v>
      </c>
      <c r="K26" s="58">
        <f t="shared" si="8"/>
        <v>23789.85</v>
      </c>
      <c r="L26" s="58">
        <f t="shared" si="8"/>
        <v>23789.85</v>
      </c>
      <c r="M26" s="58">
        <f t="shared" si="8"/>
        <v>23789.85</v>
      </c>
      <c r="N26" s="58">
        <f t="shared" si="8"/>
        <v>23789.85</v>
      </c>
      <c r="O26" s="58">
        <f t="shared" si="8"/>
        <v>23789.85</v>
      </c>
      <c r="P26" s="58">
        <f>(((P9*P18)*21.75)+(((P10*P19)*13.08)+(((P11*P20)*4.33))))</f>
        <v>23789.85</v>
      </c>
      <c r="Q26" s="59">
        <f>SUM(E26:P26)</f>
        <v>285478.2</v>
      </c>
      <c r="R26" s="60">
        <f t="shared" si="1"/>
        <v>23789.850000000002</v>
      </c>
      <c r="S26" s="15"/>
      <c r="T26" s="61"/>
      <c r="U26" s="62">
        <f t="shared" si="6"/>
        <v>0.43126105833869505</v>
      </c>
      <c r="V26" s="15"/>
    </row>
    <row r="27" spans="1:27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 t="shared" si="1"/>
        <v>0</v>
      </c>
      <c r="S27" s="15"/>
      <c r="T27" s="61"/>
      <c r="U27" s="62">
        <f t="shared" si="6"/>
        <v>0</v>
      </c>
      <c r="V27" s="15"/>
    </row>
    <row r="28" spans="1:27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9"/>
        <v>0</v>
      </c>
      <c r="L28" s="58">
        <f t="shared" si="9"/>
        <v>0</v>
      </c>
      <c r="M28" s="58">
        <f t="shared" si="9"/>
        <v>0</v>
      </c>
      <c r="N28" s="58">
        <f t="shared" si="9"/>
        <v>0</v>
      </c>
      <c r="O28" s="58">
        <f t="shared" si="9"/>
        <v>0</v>
      </c>
      <c r="P28" s="58">
        <f t="shared" si="9"/>
        <v>0</v>
      </c>
      <c r="Q28" s="59">
        <f>SUM(E28:P28)</f>
        <v>0</v>
      </c>
      <c r="R28" s="60">
        <f t="shared" si="1"/>
        <v>0</v>
      </c>
      <c r="S28" s="15"/>
      <c r="T28" s="61"/>
      <c r="U28" s="62">
        <f t="shared" si="6"/>
        <v>0</v>
      </c>
      <c r="V28" s="15"/>
    </row>
    <row r="29" spans="1:27" x14ac:dyDescent="0.25">
      <c r="A29" s="63" t="s">
        <v>43</v>
      </c>
      <c r="B29" s="15"/>
      <c r="C29" s="347">
        <f>SUM(C24:C28)</f>
        <v>199459.21</v>
      </c>
      <c r="D29" s="57">
        <f t="shared" si="7"/>
        <v>16621.600833333334</v>
      </c>
      <c r="E29" s="348">
        <f t="shared" ref="E29:Q29" si="10">SUM(E24:E28)</f>
        <v>23789.85</v>
      </c>
      <c r="F29" s="348">
        <f t="shared" si="10"/>
        <v>23789.85</v>
      </c>
      <c r="G29" s="348">
        <f t="shared" si="10"/>
        <v>23789.85</v>
      </c>
      <c r="H29" s="348">
        <f t="shared" si="10"/>
        <v>23789.85</v>
      </c>
      <c r="I29" s="348">
        <f t="shared" si="10"/>
        <v>23789.85</v>
      </c>
      <c r="J29" s="348">
        <f t="shared" si="10"/>
        <v>23789.85</v>
      </c>
      <c r="K29" s="348">
        <f t="shared" si="10"/>
        <v>23789.85</v>
      </c>
      <c r="L29" s="348">
        <f t="shared" si="10"/>
        <v>23789.85</v>
      </c>
      <c r="M29" s="348">
        <f t="shared" si="10"/>
        <v>23789.85</v>
      </c>
      <c r="N29" s="348">
        <f t="shared" si="10"/>
        <v>23789.85</v>
      </c>
      <c r="O29" s="348">
        <f t="shared" si="10"/>
        <v>23789.85</v>
      </c>
      <c r="P29" s="348">
        <f t="shared" si="10"/>
        <v>23789.85</v>
      </c>
      <c r="Q29" s="348">
        <f t="shared" si="10"/>
        <v>285478.2</v>
      </c>
      <c r="R29" s="349">
        <f>AVERAGE(E29:P29)</f>
        <v>23789.850000000002</v>
      </c>
      <c r="T29" s="68"/>
      <c r="U29" s="69">
        <f t="shared" si="6"/>
        <v>0.43126105833869505</v>
      </c>
    </row>
    <row r="30" spans="1:27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7" x14ac:dyDescent="0.25">
      <c r="A31" s="63"/>
      <c r="B31" s="15" t="s">
        <v>45</v>
      </c>
      <c r="C31" s="56">
        <v>-142188.37</v>
      </c>
      <c r="D31" s="57">
        <f>C31/12</f>
        <v>-11849.030833333332</v>
      </c>
      <c r="E31" s="58">
        <f t="shared" ref="E31:P31" si="11">-E26*0.7</f>
        <v>-16652.894999999997</v>
      </c>
      <c r="F31" s="58">
        <f t="shared" si="11"/>
        <v>-16652.894999999997</v>
      </c>
      <c r="G31" s="58">
        <f t="shared" si="11"/>
        <v>-16652.894999999997</v>
      </c>
      <c r="H31" s="58">
        <f t="shared" si="11"/>
        <v>-16652.894999999997</v>
      </c>
      <c r="I31" s="58">
        <f t="shared" si="11"/>
        <v>-16652.894999999997</v>
      </c>
      <c r="J31" s="58">
        <f t="shared" si="11"/>
        <v>-16652.894999999997</v>
      </c>
      <c r="K31" s="58">
        <f t="shared" si="11"/>
        <v>-16652.894999999997</v>
      </c>
      <c r="L31" s="58">
        <f t="shared" si="11"/>
        <v>-16652.894999999997</v>
      </c>
      <c r="M31" s="58">
        <f t="shared" si="11"/>
        <v>-16652.894999999997</v>
      </c>
      <c r="N31" s="58">
        <f t="shared" si="11"/>
        <v>-16652.894999999997</v>
      </c>
      <c r="O31" s="58">
        <f t="shared" si="11"/>
        <v>-16652.894999999997</v>
      </c>
      <c r="P31" s="58">
        <f t="shared" si="11"/>
        <v>-16652.894999999997</v>
      </c>
      <c r="Q31" s="59">
        <f>SUM(E31:P31)</f>
        <v>-199834.7399999999</v>
      </c>
      <c r="R31" s="349">
        <f>AVERAGE(E31:P31)</f>
        <v>-16652.894999999993</v>
      </c>
      <c r="S31" s="15"/>
      <c r="T31" s="61"/>
      <c r="U31" s="62">
        <f t="shared" si="6"/>
        <v>0.4054225391289028</v>
      </c>
    </row>
    <row r="32" spans="1:27" x14ac:dyDescent="0.25">
      <c r="A32" s="63" t="s">
        <v>46</v>
      </c>
      <c r="B32" s="15"/>
      <c r="C32" s="347">
        <f t="shared" ref="C32:D32" si="12">SUM(C31)</f>
        <v>-142188.37</v>
      </c>
      <c r="D32" s="350">
        <f t="shared" si="12"/>
        <v>-11849.030833333332</v>
      </c>
      <c r="E32" s="348">
        <f>SUM(E31)</f>
        <v>-16652.894999999997</v>
      </c>
      <c r="F32" s="348">
        <f>SUM(F31)</f>
        <v>-16652.894999999997</v>
      </c>
      <c r="G32" s="348">
        <f t="shared" ref="G32:P32" si="13">SUM(G31)</f>
        <v>-16652.894999999997</v>
      </c>
      <c r="H32" s="348">
        <f t="shared" si="13"/>
        <v>-16652.894999999997</v>
      </c>
      <c r="I32" s="348">
        <f t="shared" si="13"/>
        <v>-16652.894999999997</v>
      </c>
      <c r="J32" s="348">
        <f t="shared" si="13"/>
        <v>-16652.894999999997</v>
      </c>
      <c r="K32" s="348">
        <f t="shared" si="13"/>
        <v>-16652.894999999997</v>
      </c>
      <c r="L32" s="348">
        <f t="shared" si="13"/>
        <v>-16652.894999999997</v>
      </c>
      <c r="M32" s="348">
        <f t="shared" si="13"/>
        <v>-16652.894999999997</v>
      </c>
      <c r="N32" s="348">
        <f t="shared" si="13"/>
        <v>-16652.894999999997</v>
      </c>
      <c r="O32" s="348">
        <f t="shared" si="13"/>
        <v>-16652.894999999997</v>
      </c>
      <c r="P32" s="348">
        <f t="shared" si="13"/>
        <v>-16652.894999999997</v>
      </c>
      <c r="Q32" s="348">
        <f>SUM(Q31)</f>
        <v>-199834.7399999999</v>
      </c>
      <c r="R32" s="349">
        <f>AVERAGE(E32:P32)</f>
        <v>-16652.894999999993</v>
      </c>
      <c r="T32" s="68"/>
      <c r="U32" s="69">
        <f t="shared" si="6"/>
        <v>0.4054225391289028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4">C29+C32</f>
        <v>57270.84</v>
      </c>
      <c r="D33" s="352">
        <f t="shared" si="14"/>
        <v>4772.5700000000015</v>
      </c>
      <c r="E33" s="353">
        <f>E29+E32</f>
        <v>7136.9550000000017</v>
      </c>
      <c r="F33" s="353">
        <f>F29+F32</f>
        <v>7136.9550000000017</v>
      </c>
      <c r="G33" s="353">
        <f t="shared" ref="G33:Q33" si="15">G29+G32</f>
        <v>7136.9550000000017</v>
      </c>
      <c r="H33" s="353">
        <f t="shared" si="15"/>
        <v>7136.9550000000017</v>
      </c>
      <c r="I33" s="353">
        <f t="shared" si="15"/>
        <v>7136.9550000000017</v>
      </c>
      <c r="J33" s="353">
        <f t="shared" si="15"/>
        <v>7136.9550000000017</v>
      </c>
      <c r="K33" s="353">
        <f t="shared" si="15"/>
        <v>7136.9550000000017</v>
      </c>
      <c r="L33" s="353">
        <f t="shared" si="15"/>
        <v>7136.9550000000017</v>
      </c>
      <c r="M33" s="353">
        <f t="shared" si="15"/>
        <v>7136.9550000000017</v>
      </c>
      <c r="N33" s="353">
        <f t="shared" si="15"/>
        <v>7136.9550000000017</v>
      </c>
      <c r="O33" s="353">
        <f t="shared" si="15"/>
        <v>7136.9550000000017</v>
      </c>
      <c r="P33" s="353">
        <f t="shared" si="15"/>
        <v>7136.9550000000017</v>
      </c>
      <c r="Q33" s="353">
        <f t="shared" si="15"/>
        <v>85643.460000000108</v>
      </c>
      <c r="R33" s="354">
        <f>AVERAGE(E33:P33)</f>
        <v>7136.9550000000017</v>
      </c>
      <c r="T33" s="75"/>
      <c r="U33" s="76">
        <f t="shared" si="6"/>
        <v>0.49541127736209412</v>
      </c>
    </row>
    <row r="34" spans="1:21" x14ac:dyDescent="0.25">
      <c r="A34" s="78" t="s">
        <v>49</v>
      </c>
      <c r="B34" t="s">
        <v>48</v>
      </c>
      <c r="C34" s="355">
        <f t="shared" ref="C34:D34" si="16">C33</f>
        <v>57270.84</v>
      </c>
      <c r="D34" s="356">
        <f t="shared" si="16"/>
        <v>4772.5700000000015</v>
      </c>
      <c r="E34" s="357">
        <f>E33</f>
        <v>7136.9550000000017</v>
      </c>
      <c r="F34" s="357">
        <f t="shared" ref="F34:Q34" si="17">F33</f>
        <v>7136.9550000000017</v>
      </c>
      <c r="G34" s="357">
        <f t="shared" si="17"/>
        <v>7136.9550000000017</v>
      </c>
      <c r="H34" s="357">
        <f t="shared" si="17"/>
        <v>7136.9550000000017</v>
      </c>
      <c r="I34" s="357">
        <f t="shared" si="17"/>
        <v>7136.9550000000017</v>
      </c>
      <c r="J34" s="357">
        <f t="shared" si="17"/>
        <v>7136.9550000000017</v>
      </c>
      <c r="K34" s="357">
        <f t="shared" si="17"/>
        <v>7136.9550000000017</v>
      </c>
      <c r="L34" s="357">
        <f t="shared" si="17"/>
        <v>7136.9550000000017</v>
      </c>
      <c r="M34" s="357">
        <f t="shared" si="17"/>
        <v>7136.9550000000017</v>
      </c>
      <c r="N34" s="357">
        <f t="shared" si="17"/>
        <v>7136.9550000000017</v>
      </c>
      <c r="O34" s="357">
        <f t="shared" si="17"/>
        <v>7136.9550000000017</v>
      </c>
      <c r="P34" s="357">
        <f t="shared" si="17"/>
        <v>7136.9550000000017</v>
      </c>
      <c r="Q34" s="357">
        <f t="shared" si="17"/>
        <v>85643.460000000108</v>
      </c>
      <c r="R34" s="358">
        <f t="shared" si="1"/>
        <v>7136.9550000000017</v>
      </c>
      <c r="T34" s="30"/>
      <c r="U34" s="31">
        <f t="shared" si="6"/>
        <v>0.49541127736209412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f>SUM(E37:P37)</f>
        <v>0</v>
      </c>
      <c r="R37" s="89">
        <f t="shared" si="1"/>
        <v>0</v>
      </c>
      <c r="S37" s="15"/>
      <c r="T37" s="62">
        <f>Q37/$Q$34</f>
        <v>0</v>
      </c>
      <c r="U37" s="62">
        <f t="shared" si="6"/>
        <v>0</v>
      </c>
    </row>
    <row r="38" spans="1:21" x14ac:dyDescent="0.25">
      <c r="A38" s="25"/>
      <c r="B38" s="15" t="s">
        <v>53</v>
      </c>
      <c r="C38" s="56"/>
      <c r="D38" s="57"/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f t="shared" ref="Q38:Q47" si="18">SUM(E38:P38)</f>
        <v>0</v>
      </c>
      <c r="R38" s="89">
        <f t="shared" si="1"/>
        <v>0</v>
      </c>
      <c r="S38" s="15"/>
      <c r="T38" s="62">
        <f t="shared" ref="T38:T102" si="19">Q38/$Q$34</f>
        <v>0</v>
      </c>
      <c r="U38" s="62">
        <f t="shared" si="6"/>
        <v>0</v>
      </c>
    </row>
    <row r="39" spans="1:21" x14ac:dyDescent="0.25">
      <c r="A39" s="25"/>
      <c r="B39" s="15" t="s">
        <v>54</v>
      </c>
      <c r="C39" s="56"/>
      <c r="D39" s="57"/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f t="shared" si="18"/>
        <v>0</v>
      </c>
      <c r="R39" s="89">
        <f t="shared" si="1"/>
        <v>0</v>
      </c>
      <c r="S39" s="15"/>
      <c r="T39" s="62">
        <f t="shared" si="19"/>
        <v>0</v>
      </c>
      <c r="U39" s="62">
        <f t="shared" si="6"/>
        <v>0</v>
      </c>
    </row>
    <row r="40" spans="1:21" x14ac:dyDescent="0.25">
      <c r="A40" s="25"/>
      <c r="B40" s="15" t="s">
        <v>55</v>
      </c>
      <c r="C40" s="56"/>
      <c r="D40" s="57"/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f t="shared" si="18"/>
        <v>0</v>
      </c>
      <c r="R40" s="89">
        <f t="shared" si="1"/>
        <v>0</v>
      </c>
      <c r="S40" s="15"/>
      <c r="T40" s="62">
        <f t="shared" si="19"/>
        <v>0</v>
      </c>
      <c r="U40" s="62">
        <f t="shared" si="6"/>
        <v>0</v>
      </c>
    </row>
    <row r="41" spans="1:21" x14ac:dyDescent="0.25">
      <c r="A41" s="25"/>
      <c r="B41" s="15" t="s">
        <v>56</v>
      </c>
      <c r="C41" s="56"/>
      <c r="D41" s="57"/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f t="shared" si="18"/>
        <v>0</v>
      </c>
      <c r="R41" s="89">
        <f t="shared" si="1"/>
        <v>0</v>
      </c>
      <c r="S41" s="15"/>
      <c r="T41" s="62">
        <f t="shared" si="19"/>
        <v>0</v>
      </c>
      <c r="U41" s="62">
        <f t="shared" si="6"/>
        <v>0</v>
      </c>
    </row>
    <row r="42" spans="1:21" x14ac:dyDescent="0.25">
      <c r="A42" s="25"/>
      <c r="B42" s="15" t="s">
        <v>57</v>
      </c>
      <c r="C42" s="56"/>
      <c r="D42" s="57"/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f t="shared" si="18"/>
        <v>0</v>
      </c>
      <c r="R42" s="89">
        <f t="shared" si="1"/>
        <v>0</v>
      </c>
      <c r="S42" s="15"/>
      <c r="T42" s="62">
        <f t="shared" si="19"/>
        <v>0</v>
      </c>
      <c r="U42" s="62">
        <f t="shared" si="6"/>
        <v>0</v>
      </c>
    </row>
    <row r="43" spans="1:21" x14ac:dyDescent="0.25">
      <c r="A43" s="25"/>
      <c r="B43" s="15" t="s">
        <v>58</v>
      </c>
      <c r="C43" s="56"/>
      <c r="D43" s="57"/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f t="shared" si="18"/>
        <v>0</v>
      </c>
      <c r="R43" s="89">
        <f t="shared" si="1"/>
        <v>0</v>
      </c>
      <c r="S43" s="15"/>
      <c r="T43" s="62">
        <f t="shared" si="19"/>
        <v>0</v>
      </c>
      <c r="U43" s="62">
        <f t="shared" si="6"/>
        <v>0</v>
      </c>
    </row>
    <row r="44" spans="1:21" x14ac:dyDescent="0.25">
      <c r="A44" s="25"/>
      <c r="B44" s="15" t="s">
        <v>59</v>
      </c>
      <c r="C44" s="56"/>
      <c r="D44" s="57"/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f t="shared" si="18"/>
        <v>0</v>
      </c>
      <c r="R44" s="89">
        <f t="shared" si="1"/>
        <v>0</v>
      </c>
      <c r="S44" s="15"/>
      <c r="T44" s="62">
        <f t="shared" si="19"/>
        <v>0</v>
      </c>
      <c r="U44" s="62">
        <f t="shared" si="6"/>
        <v>0</v>
      </c>
    </row>
    <row r="45" spans="1:21" x14ac:dyDescent="0.25">
      <c r="A45" s="25"/>
      <c r="B45" s="15" t="s">
        <v>60</v>
      </c>
      <c r="C45" s="56"/>
      <c r="D45" s="57"/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f t="shared" si="18"/>
        <v>0</v>
      </c>
      <c r="R45" s="89">
        <f t="shared" si="1"/>
        <v>0</v>
      </c>
      <c r="S45" s="15"/>
      <c r="T45" s="62">
        <f t="shared" si="19"/>
        <v>0</v>
      </c>
      <c r="U45" s="62">
        <f t="shared" si="6"/>
        <v>0</v>
      </c>
    </row>
    <row r="46" spans="1:21" x14ac:dyDescent="0.25">
      <c r="A46" s="25"/>
      <c r="B46" s="15" t="s">
        <v>61</v>
      </c>
      <c r="C46" s="56"/>
      <c r="D46" s="57"/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f t="shared" si="18"/>
        <v>0</v>
      </c>
      <c r="R46" s="89">
        <f t="shared" si="1"/>
        <v>0</v>
      </c>
      <c r="S46" s="15"/>
      <c r="T46" s="62">
        <f t="shared" si="19"/>
        <v>0</v>
      </c>
      <c r="U46" s="62">
        <f t="shared" si="6"/>
        <v>0</v>
      </c>
    </row>
    <row r="47" spans="1:21" x14ac:dyDescent="0.25">
      <c r="A47" s="25"/>
      <c r="B47" s="15" t="s">
        <v>62</v>
      </c>
      <c r="C47" s="56"/>
      <c r="D47" s="57"/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f t="shared" si="18"/>
        <v>0</v>
      </c>
      <c r="R47" s="89">
        <f t="shared" si="1"/>
        <v>0</v>
      </c>
      <c r="S47" s="15"/>
      <c r="T47" s="62">
        <f t="shared" si="19"/>
        <v>0</v>
      </c>
      <c r="U47" s="62">
        <f t="shared" si="6"/>
        <v>0</v>
      </c>
    </row>
    <row r="48" spans="1:21" x14ac:dyDescent="0.25">
      <c r="A48" s="63" t="s">
        <v>63</v>
      </c>
      <c r="B48" t="s">
        <v>48</v>
      </c>
      <c r="C48" s="91">
        <f t="shared" ref="C48:Q48" si="20">SUM(C37:C47)</f>
        <v>0</v>
      </c>
      <c r="D48" s="92">
        <f t="shared" si="20"/>
        <v>0</v>
      </c>
      <c r="E48" s="93">
        <f t="shared" si="20"/>
        <v>0</v>
      </c>
      <c r="F48" s="93">
        <f t="shared" si="20"/>
        <v>0</v>
      </c>
      <c r="G48" s="93">
        <f t="shared" si="20"/>
        <v>0</v>
      </c>
      <c r="H48" s="93">
        <f t="shared" si="20"/>
        <v>0</v>
      </c>
      <c r="I48" s="93">
        <f t="shared" si="20"/>
        <v>0</v>
      </c>
      <c r="J48" s="93">
        <f t="shared" si="20"/>
        <v>0</v>
      </c>
      <c r="K48" s="93">
        <f t="shared" si="20"/>
        <v>0</v>
      </c>
      <c r="L48" s="93">
        <f t="shared" si="20"/>
        <v>0</v>
      </c>
      <c r="M48" s="93">
        <f t="shared" si="20"/>
        <v>0</v>
      </c>
      <c r="N48" s="93">
        <f t="shared" si="20"/>
        <v>0</v>
      </c>
      <c r="O48" s="93">
        <f t="shared" si="20"/>
        <v>0</v>
      </c>
      <c r="P48" s="93">
        <f t="shared" si="20"/>
        <v>0</v>
      </c>
      <c r="Q48" s="93">
        <f t="shared" si="20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f t="shared" ref="Q50:Q61" si="21">SUM(E50:P50)</f>
        <v>0</v>
      </c>
      <c r="R50" s="89">
        <f t="shared" si="1"/>
        <v>0</v>
      </c>
      <c r="S50" s="15"/>
      <c r="T50" s="62">
        <f t="shared" si="19"/>
        <v>0</v>
      </c>
      <c r="U50" s="62">
        <f t="shared" si="6"/>
        <v>0</v>
      </c>
    </row>
    <row r="51" spans="1:21" x14ac:dyDescent="0.25">
      <c r="A51" s="25"/>
      <c r="B51" s="15" t="s">
        <v>66</v>
      </c>
      <c r="C51" s="56"/>
      <c r="D51" s="57"/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f t="shared" si="21"/>
        <v>0</v>
      </c>
      <c r="R51" s="89">
        <f t="shared" si="1"/>
        <v>0</v>
      </c>
      <c r="S51" s="15"/>
      <c r="T51" s="62">
        <f t="shared" si="19"/>
        <v>0</v>
      </c>
      <c r="U51" s="62">
        <f t="shared" si="6"/>
        <v>0</v>
      </c>
    </row>
    <row r="52" spans="1:21" x14ac:dyDescent="0.25">
      <c r="A52" s="25"/>
      <c r="B52" s="15" t="s">
        <v>67</v>
      </c>
      <c r="C52" s="56"/>
      <c r="D52" s="57"/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f t="shared" si="21"/>
        <v>0</v>
      </c>
      <c r="R52" s="89">
        <f t="shared" si="1"/>
        <v>0</v>
      </c>
      <c r="S52" s="15"/>
      <c r="T52" s="62">
        <f t="shared" si="19"/>
        <v>0</v>
      </c>
      <c r="U52" s="62">
        <f t="shared" si="6"/>
        <v>0</v>
      </c>
    </row>
    <row r="53" spans="1:21" x14ac:dyDescent="0.25">
      <c r="A53" s="25"/>
      <c r="B53" s="15" t="s">
        <v>68</v>
      </c>
      <c r="C53" s="56"/>
      <c r="D53" s="57"/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f t="shared" si="21"/>
        <v>0</v>
      </c>
      <c r="R53" s="89">
        <f t="shared" si="1"/>
        <v>0</v>
      </c>
      <c r="S53" s="15"/>
      <c r="T53" s="62">
        <f t="shared" si="19"/>
        <v>0</v>
      </c>
      <c r="U53" s="62">
        <f t="shared" si="6"/>
        <v>0</v>
      </c>
    </row>
    <row r="54" spans="1:21" x14ac:dyDescent="0.25">
      <c r="A54" s="25"/>
      <c r="B54" s="15" t="s">
        <v>69</v>
      </c>
      <c r="C54" s="56"/>
      <c r="D54" s="57"/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f t="shared" si="21"/>
        <v>0</v>
      </c>
      <c r="R54" s="89">
        <f t="shared" si="1"/>
        <v>0</v>
      </c>
      <c r="S54" s="15"/>
      <c r="T54" s="62">
        <f t="shared" si="19"/>
        <v>0</v>
      </c>
      <c r="U54" s="62">
        <f t="shared" si="6"/>
        <v>0</v>
      </c>
    </row>
    <row r="55" spans="1:21" x14ac:dyDescent="0.25">
      <c r="A55" s="25"/>
      <c r="B55" s="15" t="s">
        <v>70</v>
      </c>
      <c r="C55" s="56"/>
      <c r="D55" s="57"/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f t="shared" si="21"/>
        <v>0</v>
      </c>
      <c r="R55" s="89">
        <f t="shared" si="1"/>
        <v>0</v>
      </c>
      <c r="S55" s="15"/>
      <c r="T55" s="62">
        <f t="shared" si="19"/>
        <v>0</v>
      </c>
      <c r="U55" s="62">
        <f t="shared" si="6"/>
        <v>0</v>
      </c>
    </row>
    <row r="56" spans="1:21" x14ac:dyDescent="0.25">
      <c r="A56" s="25"/>
      <c r="B56" s="15" t="s">
        <v>71</v>
      </c>
      <c r="C56" s="56"/>
      <c r="D56" s="57"/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f t="shared" ref="Q56:Q57" si="22">SUM(E56:P56)</f>
        <v>0</v>
      </c>
      <c r="R56" s="89">
        <f t="shared" si="1"/>
        <v>0</v>
      </c>
      <c r="S56" s="15"/>
      <c r="T56" s="62">
        <f t="shared" si="19"/>
        <v>0</v>
      </c>
      <c r="U56" s="62">
        <f t="shared" si="6"/>
        <v>0</v>
      </c>
    </row>
    <row r="57" spans="1:21" x14ac:dyDescent="0.25">
      <c r="A57" s="25"/>
      <c r="B57" s="15" t="s">
        <v>72</v>
      </c>
      <c r="C57" s="56"/>
      <c r="D57" s="57"/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f t="shared" si="22"/>
        <v>0</v>
      </c>
      <c r="R57" s="89">
        <f t="shared" si="1"/>
        <v>0</v>
      </c>
      <c r="S57" s="15"/>
      <c r="T57" s="62">
        <f t="shared" si="19"/>
        <v>0</v>
      </c>
      <c r="U57" s="62">
        <f t="shared" si="6"/>
        <v>0</v>
      </c>
    </row>
    <row r="58" spans="1:21" x14ac:dyDescent="0.25">
      <c r="A58" s="25"/>
      <c r="B58" s="15" t="s">
        <v>73</v>
      </c>
      <c r="C58" s="56"/>
      <c r="D58" s="57"/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f t="shared" si="21"/>
        <v>0</v>
      </c>
      <c r="R58" s="89">
        <f t="shared" si="1"/>
        <v>0</v>
      </c>
      <c r="S58" s="15"/>
      <c r="T58" s="62">
        <f t="shared" si="19"/>
        <v>0</v>
      </c>
      <c r="U58" s="62">
        <f t="shared" si="6"/>
        <v>0</v>
      </c>
    </row>
    <row r="59" spans="1:21" x14ac:dyDescent="0.25">
      <c r="A59" s="25"/>
      <c r="B59" s="15" t="s">
        <v>74</v>
      </c>
      <c r="C59" s="56"/>
      <c r="D59" s="57"/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f t="shared" si="21"/>
        <v>0</v>
      </c>
      <c r="R59" s="89">
        <f t="shared" si="1"/>
        <v>0</v>
      </c>
      <c r="S59" s="15"/>
      <c r="T59" s="62">
        <f t="shared" si="19"/>
        <v>0</v>
      </c>
      <c r="U59" s="62">
        <f t="shared" si="6"/>
        <v>0</v>
      </c>
    </row>
    <row r="60" spans="1:21" x14ac:dyDescent="0.25">
      <c r="A60" s="25"/>
      <c r="B60" s="15" t="s">
        <v>75</v>
      </c>
      <c r="C60" s="56"/>
      <c r="D60" s="57"/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f t="shared" si="21"/>
        <v>0</v>
      </c>
      <c r="R60" s="89">
        <f t="shared" si="1"/>
        <v>0</v>
      </c>
      <c r="S60" s="15"/>
      <c r="T60" s="62">
        <f t="shared" si="19"/>
        <v>0</v>
      </c>
      <c r="U60" s="62">
        <f t="shared" si="6"/>
        <v>0</v>
      </c>
    </row>
    <row r="61" spans="1:21" x14ac:dyDescent="0.25">
      <c r="A61" s="25"/>
      <c r="B61" s="15" t="s">
        <v>76</v>
      </c>
      <c r="C61" s="56"/>
      <c r="D61" s="57"/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f t="shared" si="21"/>
        <v>0</v>
      </c>
      <c r="R61" s="89">
        <f t="shared" si="1"/>
        <v>0</v>
      </c>
      <c r="S61" s="15"/>
      <c r="T61" s="62">
        <f t="shared" si="19"/>
        <v>0</v>
      </c>
      <c r="U61" s="62">
        <f t="shared" si="6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f>SUM(E64:P64)</f>
        <v>0</v>
      </c>
      <c r="R64" s="89">
        <f t="shared" si="1"/>
        <v>0</v>
      </c>
      <c r="S64" s="15"/>
      <c r="T64" s="62">
        <f t="shared" si="19"/>
        <v>0</v>
      </c>
      <c r="U64" s="62">
        <f t="shared" si="6"/>
        <v>0</v>
      </c>
    </row>
    <row r="65" spans="1:21" x14ac:dyDescent="0.25">
      <c r="A65" s="25"/>
      <c r="B65" s="15" t="s">
        <v>80</v>
      </c>
      <c r="C65" s="56"/>
      <c r="D65" s="57"/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f>SUM(E65:P65)</f>
        <v>0</v>
      </c>
      <c r="R65" s="89">
        <f t="shared" si="1"/>
        <v>0</v>
      </c>
      <c r="S65" s="15"/>
      <c r="T65" s="62">
        <f t="shared" si="19"/>
        <v>0</v>
      </c>
      <c r="U65" s="62">
        <f t="shared" si="6"/>
        <v>0</v>
      </c>
    </row>
    <row r="66" spans="1:21" x14ac:dyDescent="0.25">
      <c r="A66" s="25"/>
      <c r="B66" s="15" t="s">
        <v>81</v>
      </c>
      <c r="C66" s="56"/>
      <c r="D66" s="57"/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f>SUM(E66:P66)</f>
        <v>0</v>
      </c>
      <c r="R66" s="89">
        <f t="shared" si="1"/>
        <v>0</v>
      </c>
      <c r="S66" s="15"/>
      <c r="T66" s="62">
        <f t="shared" si="19"/>
        <v>0</v>
      </c>
      <c r="U66" s="62">
        <f t="shared" si="6"/>
        <v>0</v>
      </c>
    </row>
    <row r="67" spans="1:21" x14ac:dyDescent="0.25">
      <c r="A67" s="25"/>
      <c r="B67" s="15" t="s">
        <v>82</v>
      </c>
      <c r="C67" s="56"/>
      <c r="D67" s="57"/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f t="shared" ref="Q67:Q72" si="25">SUM(E67:P67)</f>
        <v>0</v>
      </c>
      <c r="R67" s="89">
        <f t="shared" si="1"/>
        <v>0</v>
      </c>
      <c r="S67" s="15"/>
      <c r="T67" s="62">
        <f t="shared" si="19"/>
        <v>0</v>
      </c>
      <c r="U67" s="62">
        <f t="shared" si="6"/>
        <v>0</v>
      </c>
    </row>
    <row r="68" spans="1:21" x14ac:dyDescent="0.25">
      <c r="A68" s="25"/>
      <c r="B68" s="15" t="s">
        <v>83</v>
      </c>
      <c r="C68" s="56"/>
      <c r="D68" s="57"/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f t="shared" si="25"/>
        <v>0</v>
      </c>
      <c r="R68" s="89">
        <f t="shared" si="1"/>
        <v>0</v>
      </c>
      <c r="S68" s="15"/>
      <c r="T68" s="62">
        <f t="shared" si="19"/>
        <v>0</v>
      </c>
      <c r="U68" s="62">
        <f t="shared" si="6"/>
        <v>0</v>
      </c>
    </row>
    <row r="69" spans="1:21" ht="23.25" x14ac:dyDescent="0.25">
      <c r="A69" s="25"/>
      <c r="B69" s="15" t="s">
        <v>84</v>
      </c>
      <c r="C69" s="56"/>
      <c r="D69" s="57"/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f t="shared" si="25"/>
        <v>0</v>
      </c>
      <c r="R69" s="89">
        <f t="shared" si="1"/>
        <v>0</v>
      </c>
      <c r="S69" s="15"/>
      <c r="T69" s="62">
        <f t="shared" si="19"/>
        <v>0</v>
      </c>
      <c r="U69" s="62">
        <f t="shared" si="6"/>
        <v>0</v>
      </c>
    </row>
    <row r="70" spans="1:21" x14ac:dyDescent="0.25">
      <c r="A70" s="25"/>
      <c r="B70" s="15" t="s">
        <v>85</v>
      </c>
      <c r="C70" s="56"/>
      <c r="D70" s="57"/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f t="shared" si="25"/>
        <v>0</v>
      </c>
      <c r="R70" s="89">
        <f t="shared" si="1"/>
        <v>0</v>
      </c>
      <c r="S70" s="15"/>
      <c r="T70" s="62">
        <f t="shared" si="19"/>
        <v>0</v>
      </c>
      <c r="U70" s="62">
        <f t="shared" si="6"/>
        <v>0</v>
      </c>
    </row>
    <row r="71" spans="1:21" x14ac:dyDescent="0.25">
      <c r="A71" s="25"/>
      <c r="B71" s="15" t="s">
        <v>86</v>
      </c>
      <c r="C71" s="56"/>
      <c r="D71" s="57"/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f t="shared" si="25"/>
        <v>0</v>
      </c>
      <c r="R71" s="89">
        <f t="shared" si="1"/>
        <v>0</v>
      </c>
      <c r="S71" s="15"/>
      <c r="T71" s="62">
        <f t="shared" si="19"/>
        <v>0</v>
      </c>
      <c r="U71" s="62">
        <f t="shared" si="6"/>
        <v>0</v>
      </c>
    </row>
    <row r="72" spans="1:21" x14ac:dyDescent="0.25">
      <c r="A72" s="25"/>
      <c r="B72" s="15" t="s">
        <v>87</v>
      </c>
      <c r="C72" s="56"/>
      <c r="D72" s="57"/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f t="shared" si="25"/>
        <v>0</v>
      </c>
      <c r="R72" s="89">
        <f t="shared" si="1"/>
        <v>0</v>
      </c>
      <c r="S72" s="15"/>
      <c r="T72" s="62">
        <f t="shared" si="19"/>
        <v>0</v>
      </c>
      <c r="U72" s="62">
        <f t="shared" si="6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6">SUM(C64:C72)</f>
        <v>0</v>
      </c>
      <c r="D73" s="92">
        <f t="shared" si="26"/>
        <v>0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19"/>
        <v>0</v>
      </c>
      <c r="U73" s="96">
        <f t="shared" si="6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f>SUM(E75:P75)</f>
        <v>0</v>
      </c>
      <c r="R75" s="89">
        <f t="shared" si="1"/>
        <v>0</v>
      </c>
      <c r="S75" s="15"/>
      <c r="T75" s="62">
        <f t="shared" si="19"/>
        <v>0</v>
      </c>
      <c r="U75" s="62">
        <f t="shared" si="6"/>
        <v>0</v>
      </c>
    </row>
    <row r="76" spans="1:21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/>
      <c r="D78" s="57"/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f>SUM(E78:P78)</f>
        <v>0</v>
      </c>
      <c r="R78" s="89">
        <f t="shared" si="1"/>
        <v>0</v>
      </c>
      <c r="S78" s="15"/>
      <c r="T78" s="62">
        <f t="shared" si="19"/>
        <v>0</v>
      </c>
      <c r="U78" s="62">
        <f t="shared" si="6"/>
        <v>0</v>
      </c>
    </row>
    <row r="79" spans="1:21" x14ac:dyDescent="0.25">
      <c r="A79" s="25"/>
      <c r="B79" s="15" t="s">
        <v>94</v>
      </c>
      <c r="C79" s="56"/>
      <c r="D79" s="57"/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f>SUM(E79:P79)</f>
        <v>0</v>
      </c>
      <c r="R79" s="89">
        <f t="shared" si="1"/>
        <v>0</v>
      </c>
      <c r="S79" s="15"/>
      <c r="T79" s="62">
        <f t="shared" si="19"/>
        <v>0</v>
      </c>
      <c r="U79" s="62">
        <f t="shared" si="6"/>
        <v>0</v>
      </c>
    </row>
    <row r="80" spans="1:21" x14ac:dyDescent="0.25">
      <c r="A80" s="25"/>
      <c r="B80" s="15" t="s">
        <v>95</v>
      </c>
      <c r="C80" s="56"/>
      <c r="D80" s="57"/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58">
        <f>SUM(E80:P80)</f>
        <v>0</v>
      </c>
      <c r="R80" s="89">
        <f t="shared" si="1"/>
        <v>0</v>
      </c>
      <c r="S80" s="15"/>
      <c r="T80" s="62">
        <f t="shared" si="19"/>
        <v>0</v>
      </c>
      <c r="U80" s="62">
        <f t="shared" si="6"/>
        <v>0</v>
      </c>
    </row>
    <row r="81" spans="1:21" ht="23.25" x14ac:dyDescent="0.25">
      <c r="A81" s="25"/>
      <c r="B81" s="15" t="s">
        <v>96</v>
      </c>
      <c r="C81" s="56"/>
      <c r="D81" s="57"/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f>SUM(E81:P81)</f>
        <v>0</v>
      </c>
      <c r="R81" s="89">
        <f t="shared" si="1"/>
        <v>0</v>
      </c>
      <c r="S81" s="15"/>
      <c r="T81" s="62">
        <f t="shared" si="19"/>
        <v>0</v>
      </c>
      <c r="U81" s="62">
        <f t="shared" si="6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29">SUM(C78:C81)</f>
        <v>0</v>
      </c>
      <c r="D82" s="92">
        <f t="shared" si="29"/>
        <v>0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19"/>
        <v>0</v>
      </c>
      <c r="U82" s="96">
        <f t="shared" si="6"/>
        <v>0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/>
      <c r="D84" s="57"/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f t="shared" ref="Q84:Q89" si="31">SUM(E84:P84)</f>
        <v>0</v>
      </c>
      <c r="R84" s="89">
        <f t="shared" si="1"/>
        <v>0</v>
      </c>
      <c r="S84" s="15"/>
      <c r="T84" s="62">
        <f t="shared" si="19"/>
        <v>0</v>
      </c>
      <c r="U84" s="62">
        <f t="shared" si="6"/>
        <v>0</v>
      </c>
    </row>
    <row r="85" spans="1:21" x14ac:dyDescent="0.25">
      <c r="A85" s="25"/>
      <c r="B85" s="15" t="s">
        <v>100</v>
      </c>
      <c r="C85" s="56"/>
      <c r="D85" s="57"/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f t="shared" si="31"/>
        <v>0</v>
      </c>
      <c r="R85" s="89">
        <f t="shared" si="1"/>
        <v>0</v>
      </c>
      <c r="S85" s="15"/>
      <c r="T85" s="62">
        <f t="shared" si="19"/>
        <v>0</v>
      </c>
      <c r="U85" s="62">
        <f t="shared" si="6"/>
        <v>0</v>
      </c>
    </row>
    <row r="86" spans="1:21" x14ac:dyDescent="0.25">
      <c r="A86" s="25"/>
      <c r="B86" s="15" t="s">
        <v>101</v>
      </c>
      <c r="C86" s="56"/>
      <c r="D86" s="57"/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f t="shared" si="31"/>
        <v>0</v>
      </c>
      <c r="R86" s="89">
        <f t="shared" si="1"/>
        <v>0</v>
      </c>
      <c r="S86" s="15"/>
      <c r="T86" s="62">
        <f t="shared" si="19"/>
        <v>0</v>
      </c>
      <c r="U86" s="62">
        <f t="shared" si="6"/>
        <v>0</v>
      </c>
    </row>
    <row r="87" spans="1:21" x14ac:dyDescent="0.25">
      <c r="A87" s="25"/>
      <c r="B87" s="15" t="s">
        <v>102</v>
      </c>
      <c r="C87" s="56"/>
      <c r="D87" s="57"/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f t="shared" si="31"/>
        <v>0</v>
      </c>
      <c r="R87" s="89">
        <f t="shared" si="1"/>
        <v>0</v>
      </c>
      <c r="S87" s="15"/>
      <c r="T87" s="62">
        <f t="shared" si="19"/>
        <v>0</v>
      </c>
      <c r="U87" s="62">
        <f t="shared" si="6"/>
        <v>0</v>
      </c>
    </row>
    <row r="88" spans="1:21" x14ac:dyDescent="0.25">
      <c r="A88" s="25"/>
      <c r="B88" s="15" t="s">
        <v>103</v>
      </c>
      <c r="C88" s="56"/>
      <c r="D88" s="57"/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f t="shared" si="31"/>
        <v>0</v>
      </c>
      <c r="R88" s="89">
        <f t="shared" ref="R88:R129" si="32">AVERAGE(E88:P88)</f>
        <v>0</v>
      </c>
      <c r="S88" s="15"/>
      <c r="T88" s="62">
        <f t="shared" si="19"/>
        <v>0</v>
      </c>
      <c r="U88" s="62">
        <f t="shared" si="6"/>
        <v>0</v>
      </c>
    </row>
    <row r="89" spans="1:21" x14ac:dyDescent="0.25">
      <c r="A89" s="25"/>
      <c r="B89" s="15" t="s">
        <v>104</v>
      </c>
      <c r="C89" s="56"/>
      <c r="D89" s="57"/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f t="shared" si="31"/>
        <v>0</v>
      </c>
      <c r="R89" s="89">
        <f t="shared" si="32"/>
        <v>0</v>
      </c>
      <c r="S89" s="15"/>
      <c r="T89" s="62">
        <f t="shared" si="19"/>
        <v>0</v>
      </c>
      <c r="U89" s="62">
        <f t="shared" ref="U89:U137" si="33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4">SUM(C84:C89)</f>
        <v>0</v>
      </c>
      <c r="D90" s="92">
        <f t="shared" si="34"/>
        <v>0</v>
      </c>
      <c r="E90" s="93">
        <f t="shared" ref="E90:Q90" si="35">SUM(E84:E89)</f>
        <v>0</v>
      </c>
      <c r="F90" s="93">
        <f t="shared" si="35"/>
        <v>0</v>
      </c>
      <c r="G90" s="93">
        <f t="shared" si="35"/>
        <v>0</v>
      </c>
      <c r="H90" s="93">
        <f t="shared" si="35"/>
        <v>0</v>
      </c>
      <c r="I90" s="93">
        <f t="shared" si="35"/>
        <v>0</v>
      </c>
      <c r="J90" s="93">
        <f t="shared" si="35"/>
        <v>0</v>
      </c>
      <c r="K90" s="93">
        <f t="shared" si="35"/>
        <v>0</v>
      </c>
      <c r="L90" s="93">
        <f t="shared" si="35"/>
        <v>0</v>
      </c>
      <c r="M90" s="93">
        <f t="shared" si="35"/>
        <v>0</v>
      </c>
      <c r="N90" s="93">
        <f t="shared" si="35"/>
        <v>0</v>
      </c>
      <c r="O90" s="93">
        <f t="shared" si="35"/>
        <v>0</v>
      </c>
      <c r="P90" s="93">
        <f t="shared" si="35"/>
        <v>0</v>
      </c>
      <c r="Q90" s="93">
        <f t="shared" si="35"/>
        <v>0</v>
      </c>
      <c r="R90" s="94">
        <f>AVERAGE(E90:P90)</f>
        <v>0</v>
      </c>
      <c r="T90" s="96">
        <f t="shared" si="19"/>
        <v>0</v>
      </c>
      <c r="U90" s="96">
        <f t="shared" si="33"/>
        <v>0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f>SUM(E92:P92)</f>
        <v>0</v>
      </c>
      <c r="R92" s="89">
        <f>AVERAGE(E92:P92)</f>
        <v>0</v>
      </c>
      <c r="S92" s="15"/>
      <c r="T92" s="62">
        <f t="shared" si="19"/>
        <v>0</v>
      </c>
      <c r="U92" s="62">
        <f t="shared" si="33"/>
        <v>0</v>
      </c>
    </row>
    <row r="93" spans="1:21" x14ac:dyDescent="0.25">
      <c r="A93" s="25"/>
      <c r="B93" s="15" t="s">
        <v>108</v>
      </c>
      <c r="C93" s="56"/>
      <c r="D93" s="57"/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f>SUM(E93:P93)</f>
        <v>0</v>
      </c>
      <c r="R93" s="89">
        <f t="shared" si="32"/>
        <v>0</v>
      </c>
      <c r="S93" s="15"/>
      <c r="T93" s="62">
        <f t="shared" si="19"/>
        <v>0</v>
      </c>
      <c r="U93" s="62">
        <f t="shared" si="33"/>
        <v>0</v>
      </c>
    </row>
    <row r="94" spans="1:21" x14ac:dyDescent="0.25">
      <c r="A94" s="25"/>
      <c r="B94" s="15" t="s">
        <v>109</v>
      </c>
      <c r="C94" s="56"/>
      <c r="D94" s="57"/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f>SUM(E94:P94)</f>
        <v>0</v>
      </c>
      <c r="R94" s="89">
        <f t="shared" si="32"/>
        <v>0</v>
      </c>
      <c r="S94" s="15"/>
      <c r="T94" s="62">
        <f t="shared" si="19"/>
        <v>0</v>
      </c>
      <c r="U94" s="62">
        <f t="shared" si="33"/>
        <v>0</v>
      </c>
    </row>
    <row r="95" spans="1:21" x14ac:dyDescent="0.25">
      <c r="A95" s="63" t="s">
        <v>110</v>
      </c>
      <c r="B95" s="15"/>
      <c r="C95" s="91">
        <f t="shared" ref="C95:Q95" si="36">SUM(C92:C94)</f>
        <v>0</v>
      </c>
      <c r="D95" s="92">
        <f t="shared" si="36"/>
        <v>0</v>
      </c>
      <c r="E95" s="93">
        <f t="shared" si="36"/>
        <v>0</v>
      </c>
      <c r="F95" s="93">
        <f t="shared" si="36"/>
        <v>0</v>
      </c>
      <c r="G95" s="93">
        <f t="shared" si="36"/>
        <v>0</v>
      </c>
      <c r="H95" s="93">
        <f t="shared" si="36"/>
        <v>0</v>
      </c>
      <c r="I95" s="93">
        <f t="shared" si="36"/>
        <v>0</v>
      </c>
      <c r="J95" s="93">
        <f t="shared" si="36"/>
        <v>0</v>
      </c>
      <c r="K95" s="93">
        <f t="shared" si="36"/>
        <v>0</v>
      </c>
      <c r="L95" s="93">
        <f t="shared" si="36"/>
        <v>0</v>
      </c>
      <c r="M95" s="93">
        <f t="shared" si="36"/>
        <v>0</v>
      </c>
      <c r="N95" s="93">
        <f t="shared" si="36"/>
        <v>0</v>
      </c>
      <c r="O95" s="93">
        <f t="shared" si="36"/>
        <v>0</v>
      </c>
      <c r="P95" s="93">
        <f t="shared" si="36"/>
        <v>0</v>
      </c>
      <c r="Q95" s="93">
        <f t="shared" si="36"/>
        <v>0</v>
      </c>
      <c r="R95" s="94">
        <f t="shared" si="32"/>
        <v>0</v>
      </c>
      <c r="T95" s="96">
        <f t="shared" si="19"/>
        <v>0</v>
      </c>
      <c r="U95" s="96">
        <f t="shared" si="33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f t="shared" ref="Q97:Q105" si="37">SUM(E97:P97)</f>
        <v>0</v>
      </c>
      <c r="R97" s="89">
        <f t="shared" si="32"/>
        <v>0</v>
      </c>
      <c r="S97" s="15"/>
      <c r="T97" s="62">
        <f t="shared" si="19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f t="shared" si="37"/>
        <v>0</v>
      </c>
      <c r="R98" s="89">
        <f t="shared" si="32"/>
        <v>0</v>
      </c>
      <c r="S98" s="15"/>
      <c r="T98" s="62">
        <f t="shared" si="19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/>
      <c r="D99" s="57"/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f t="shared" si="37"/>
        <v>0</v>
      </c>
      <c r="R99" s="89">
        <f t="shared" si="32"/>
        <v>0</v>
      </c>
      <c r="S99" s="15"/>
      <c r="T99" s="62">
        <f t="shared" si="19"/>
        <v>0</v>
      </c>
      <c r="U99" s="62">
        <f t="shared" si="33"/>
        <v>0</v>
      </c>
    </row>
    <row r="100" spans="1:21" x14ac:dyDescent="0.25">
      <c r="A100" s="25"/>
      <c r="B100" s="15" t="s">
        <v>115</v>
      </c>
      <c r="C100" s="56"/>
      <c r="D100" s="57"/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f t="shared" si="37"/>
        <v>0</v>
      </c>
      <c r="R100" s="89">
        <f t="shared" si="32"/>
        <v>0</v>
      </c>
      <c r="S100" s="15"/>
      <c r="T100" s="62">
        <f t="shared" si="19"/>
        <v>0</v>
      </c>
      <c r="U100" s="62">
        <f t="shared" si="33"/>
        <v>0</v>
      </c>
    </row>
    <row r="101" spans="1:21" x14ac:dyDescent="0.25">
      <c r="A101" s="25"/>
      <c r="B101" s="15" t="s">
        <v>116</v>
      </c>
      <c r="C101" s="56">
        <f>240/10*12</f>
        <v>288</v>
      </c>
      <c r="D101" s="57">
        <f>C101/12</f>
        <v>24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f t="shared" si="37"/>
        <v>0</v>
      </c>
      <c r="R101" s="89">
        <f t="shared" si="32"/>
        <v>0</v>
      </c>
      <c r="S101" s="15"/>
      <c r="T101" s="62">
        <f t="shared" si="19"/>
        <v>0</v>
      </c>
      <c r="U101" s="62">
        <f t="shared" si="33"/>
        <v>-1</v>
      </c>
    </row>
    <row r="102" spans="1:21" x14ac:dyDescent="0.25">
      <c r="A102" s="25"/>
      <c r="B102" s="15" t="s">
        <v>117</v>
      </c>
      <c r="C102" s="56"/>
      <c r="D102" s="57"/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f t="shared" si="37"/>
        <v>0</v>
      </c>
      <c r="R102" s="89">
        <f t="shared" si="32"/>
        <v>0</v>
      </c>
      <c r="S102" s="15"/>
      <c r="T102" s="62">
        <f t="shared" si="19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/>
      <c r="D103" s="57"/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58">
        <v>0</v>
      </c>
      <c r="Q103" s="58">
        <f>SUM(E103:P103)</f>
        <v>0</v>
      </c>
      <c r="R103" s="89">
        <f t="shared" si="32"/>
        <v>0</v>
      </c>
      <c r="S103" s="15"/>
      <c r="T103" s="62">
        <f t="shared" ref="T103:T135" si="38">Q103/$Q$34</f>
        <v>0</v>
      </c>
      <c r="U103" s="62">
        <f t="shared" si="33"/>
        <v>0</v>
      </c>
    </row>
    <row r="104" spans="1:21" x14ac:dyDescent="0.25">
      <c r="A104" s="25"/>
      <c r="B104" s="15" t="s">
        <v>119</v>
      </c>
      <c r="C104" s="56">
        <v>3075.36</v>
      </c>
      <c r="D104" s="57">
        <f>C104/7</f>
        <v>439.33714285714285</v>
      </c>
      <c r="E104" s="58">
        <f>(50*(E7+E8))+(25*(E9+E10))+(10*(E11+E12))+(15*E13)</f>
        <v>220</v>
      </c>
      <c r="F104" s="58">
        <f t="shared" ref="F104:P104" si="39">(50*(F7+F8))+(25*(F9+F10))+(10*(F11+F12))+(15*F13)</f>
        <v>220</v>
      </c>
      <c r="G104" s="58">
        <f t="shared" si="39"/>
        <v>220</v>
      </c>
      <c r="H104" s="58">
        <f t="shared" si="39"/>
        <v>220</v>
      </c>
      <c r="I104" s="58">
        <f t="shared" si="39"/>
        <v>220</v>
      </c>
      <c r="J104" s="58">
        <f t="shared" si="39"/>
        <v>220</v>
      </c>
      <c r="K104" s="58">
        <f t="shared" si="39"/>
        <v>230</v>
      </c>
      <c r="L104" s="58">
        <f>(50*(L7+L8))+(25*(L9+L10))+(10*(L11+L12))+(15*L13)</f>
        <v>230</v>
      </c>
      <c r="M104" s="58">
        <f t="shared" si="39"/>
        <v>230</v>
      </c>
      <c r="N104" s="58">
        <f t="shared" si="39"/>
        <v>230</v>
      </c>
      <c r="O104" s="58">
        <f t="shared" si="39"/>
        <v>230</v>
      </c>
      <c r="P104" s="58">
        <f t="shared" si="39"/>
        <v>230</v>
      </c>
      <c r="Q104" s="58">
        <f t="shared" si="37"/>
        <v>2700</v>
      </c>
      <c r="R104" s="89">
        <f t="shared" si="32"/>
        <v>225</v>
      </c>
      <c r="S104" s="15"/>
      <c r="T104" s="62">
        <f t="shared" si="38"/>
        <v>3.1526049975094381E-2</v>
      </c>
      <c r="U104" s="62">
        <f t="shared" si="33"/>
        <v>-0.12205400343374438</v>
      </c>
    </row>
    <row r="105" spans="1:21" x14ac:dyDescent="0.25">
      <c r="A105" s="25"/>
      <c r="B105" s="15" t="s">
        <v>120</v>
      </c>
      <c r="C105" s="56"/>
      <c r="D105" s="57"/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f t="shared" si="37"/>
        <v>0</v>
      </c>
      <c r="R105" s="89">
        <f t="shared" si="32"/>
        <v>0</v>
      </c>
      <c r="S105" s="15"/>
      <c r="T105" s="62">
        <f t="shared" si="38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f t="shared" ref="Q106:Q120" si="40">SUM(E106:P106)</f>
        <v>0</v>
      </c>
      <c r="R106" s="89">
        <f t="shared" si="32"/>
        <v>0</v>
      </c>
      <c r="S106" s="15"/>
      <c r="T106" s="62">
        <f t="shared" si="38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f t="shared" si="40"/>
        <v>0</v>
      </c>
      <c r="R107" s="89">
        <f t="shared" si="32"/>
        <v>0</v>
      </c>
      <c r="S107" s="15"/>
      <c r="T107" s="62">
        <f t="shared" si="38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f t="shared" si="40"/>
        <v>0</v>
      </c>
      <c r="R108" s="89">
        <f t="shared" si="32"/>
        <v>0</v>
      </c>
      <c r="S108" s="15"/>
      <c r="T108" s="62">
        <f t="shared" si="38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f t="shared" si="40"/>
        <v>0</v>
      </c>
      <c r="R109" s="89">
        <f t="shared" si="32"/>
        <v>0</v>
      </c>
      <c r="S109" s="15"/>
      <c r="T109" s="62">
        <f t="shared" si="38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f t="shared" si="40"/>
        <v>0</v>
      </c>
      <c r="R110" s="89">
        <f t="shared" si="32"/>
        <v>0</v>
      </c>
      <c r="S110" s="15"/>
      <c r="T110" s="62">
        <f t="shared" si="38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/>
      <c r="D111" s="57"/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f t="shared" si="40"/>
        <v>0</v>
      </c>
      <c r="R111" s="89">
        <f t="shared" si="32"/>
        <v>0</v>
      </c>
      <c r="S111" s="15"/>
      <c r="T111" s="62">
        <f t="shared" si="38"/>
        <v>0</v>
      </c>
      <c r="U111" s="62">
        <f t="shared" si="33"/>
        <v>0</v>
      </c>
    </row>
    <row r="112" spans="1:21" x14ac:dyDescent="0.25">
      <c r="A112" s="25"/>
      <c r="B112" s="15" t="s">
        <v>127</v>
      </c>
      <c r="C112" s="56"/>
      <c r="D112" s="57"/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f t="shared" si="40"/>
        <v>0</v>
      </c>
      <c r="R112" s="89">
        <f t="shared" si="32"/>
        <v>0</v>
      </c>
      <c r="S112" s="15"/>
      <c r="T112" s="62">
        <f t="shared" si="38"/>
        <v>0</v>
      </c>
      <c r="U112" s="62">
        <f t="shared" si="33"/>
        <v>0</v>
      </c>
    </row>
    <row r="113" spans="1:21" x14ac:dyDescent="0.25">
      <c r="A113" s="25"/>
      <c r="B113" s="15" t="s">
        <v>128</v>
      </c>
      <c r="C113" s="56"/>
      <c r="D113" s="57"/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f t="shared" si="40"/>
        <v>0</v>
      </c>
      <c r="R113" s="89">
        <f t="shared" si="32"/>
        <v>0</v>
      </c>
      <c r="S113" s="15"/>
      <c r="T113" s="62">
        <f t="shared" si="38"/>
        <v>0</v>
      </c>
      <c r="U113" s="62">
        <f t="shared" si="33"/>
        <v>0</v>
      </c>
    </row>
    <row r="114" spans="1:21" x14ac:dyDescent="0.25">
      <c r="A114" s="25"/>
      <c r="B114" s="15" t="s">
        <v>129</v>
      </c>
      <c r="C114" s="56"/>
      <c r="D114" s="57"/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f t="shared" si="40"/>
        <v>0</v>
      </c>
      <c r="R114" s="89">
        <f t="shared" si="32"/>
        <v>0</v>
      </c>
      <c r="S114" s="15"/>
      <c r="T114" s="62">
        <f t="shared" si="38"/>
        <v>0</v>
      </c>
      <c r="U114" s="62">
        <f t="shared" si="33"/>
        <v>0</v>
      </c>
    </row>
    <row r="115" spans="1:21" x14ac:dyDescent="0.25">
      <c r="A115" s="25"/>
      <c r="B115" s="15" t="s">
        <v>130</v>
      </c>
      <c r="C115" s="56"/>
      <c r="D115" s="57"/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f t="shared" si="40"/>
        <v>0</v>
      </c>
      <c r="R115" s="89">
        <f t="shared" si="32"/>
        <v>0</v>
      </c>
      <c r="S115" s="15"/>
      <c r="T115" s="62">
        <f t="shared" si="38"/>
        <v>0</v>
      </c>
      <c r="U115" s="62">
        <f t="shared" si="33"/>
        <v>0</v>
      </c>
    </row>
    <row r="116" spans="1:21" x14ac:dyDescent="0.25">
      <c r="A116" s="25"/>
      <c r="B116" s="15" t="s">
        <v>131</v>
      </c>
      <c r="C116" s="56"/>
      <c r="D116" s="57"/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f t="shared" si="40"/>
        <v>0</v>
      </c>
      <c r="R116" s="89">
        <f t="shared" si="32"/>
        <v>0</v>
      </c>
      <c r="S116" s="15"/>
      <c r="T116" s="62">
        <f t="shared" si="38"/>
        <v>0</v>
      </c>
      <c r="U116" s="62">
        <f t="shared" si="33"/>
        <v>0</v>
      </c>
    </row>
    <row r="117" spans="1:21" ht="23.25" x14ac:dyDescent="0.25">
      <c r="A117" s="25"/>
      <c r="B117" s="15" t="s">
        <v>132</v>
      </c>
      <c r="C117" s="56"/>
      <c r="D117" s="57"/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f t="shared" si="40"/>
        <v>0</v>
      </c>
      <c r="R117" s="89">
        <f t="shared" si="32"/>
        <v>0</v>
      </c>
      <c r="S117" s="15"/>
      <c r="T117" s="62">
        <f t="shared" si="38"/>
        <v>0</v>
      </c>
      <c r="U117" s="62">
        <f t="shared" si="33"/>
        <v>0</v>
      </c>
    </row>
    <row r="118" spans="1:21" ht="23.25" x14ac:dyDescent="0.25">
      <c r="A118" s="25"/>
      <c r="B118" s="15" t="s">
        <v>133</v>
      </c>
      <c r="C118" s="56"/>
      <c r="D118" s="57"/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f t="shared" si="40"/>
        <v>0</v>
      </c>
      <c r="R118" s="89">
        <f t="shared" si="32"/>
        <v>0</v>
      </c>
      <c r="S118" s="15"/>
      <c r="T118" s="62">
        <f t="shared" si="38"/>
        <v>0</v>
      </c>
      <c r="U118" s="62">
        <f t="shared" si="33"/>
        <v>0</v>
      </c>
    </row>
    <row r="119" spans="1:21" x14ac:dyDescent="0.25">
      <c r="A119" s="25"/>
      <c r="B119" s="15" t="s">
        <v>134</v>
      </c>
      <c r="C119" s="56"/>
      <c r="D119" s="57"/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f t="shared" si="40"/>
        <v>0</v>
      </c>
      <c r="R119" s="89">
        <f t="shared" si="32"/>
        <v>0</v>
      </c>
      <c r="S119" s="15"/>
      <c r="T119" s="62">
        <f t="shared" si="38"/>
        <v>0</v>
      </c>
      <c r="U119" s="62">
        <f t="shared" si="33"/>
        <v>0</v>
      </c>
    </row>
    <row r="120" spans="1:21" x14ac:dyDescent="0.25">
      <c r="A120" s="25"/>
      <c r="B120" s="15" t="s">
        <v>135</v>
      </c>
      <c r="C120" s="56"/>
      <c r="D120" s="57"/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f t="shared" si="40"/>
        <v>0</v>
      </c>
      <c r="R120" s="89">
        <f t="shared" si="32"/>
        <v>0</v>
      </c>
      <c r="S120" s="15"/>
      <c r="T120" s="62">
        <f t="shared" si="38"/>
        <v>0</v>
      </c>
      <c r="U120" s="62">
        <f t="shared" si="33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41">SUM(C97:C120)</f>
        <v>3363.36</v>
      </c>
      <c r="D121" s="92">
        <f t="shared" si="41"/>
        <v>463.33714285714285</v>
      </c>
      <c r="E121" s="93">
        <f t="shared" si="41"/>
        <v>220</v>
      </c>
      <c r="F121" s="93">
        <f t="shared" si="41"/>
        <v>220</v>
      </c>
      <c r="G121" s="93">
        <f t="shared" si="41"/>
        <v>220</v>
      </c>
      <c r="H121" s="93">
        <f t="shared" si="41"/>
        <v>220</v>
      </c>
      <c r="I121" s="93">
        <f t="shared" si="41"/>
        <v>220</v>
      </c>
      <c r="J121" s="93">
        <f t="shared" si="41"/>
        <v>220</v>
      </c>
      <c r="K121" s="93">
        <f t="shared" si="41"/>
        <v>230</v>
      </c>
      <c r="L121" s="93">
        <f t="shared" si="41"/>
        <v>230</v>
      </c>
      <c r="M121" s="93">
        <f t="shared" si="41"/>
        <v>230</v>
      </c>
      <c r="N121" s="93">
        <f t="shared" si="41"/>
        <v>230</v>
      </c>
      <c r="O121" s="93">
        <f t="shared" si="41"/>
        <v>230</v>
      </c>
      <c r="P121" s="93">
        <f t="shared" si="41"/>
        <v>230</v>
      </c>
      <c r="Q121" s="93">
        <f t="shared" si="41"/>
        <v>2700</v>
      </c>
      <c r="R121" s="94">
        <f>AVERAGE(E121:P121)</f>
        <v>225</v>
      </c>
      <c r="T121" s="96">
        <f t="shared" si="38"/>
        <v>3.1526049975094381E-2</v>
      </c>
      <c r="U121" s="96">
        <f t="shared" si="33"/>
        <v>-0.19723134008848298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f>SUM(E123:P123)</f>
        <v>0</v>
      </c>
      <c r="R123" s="89">
        <f t="shared" si="32"/>
        <v>0</v>
      </c>
      <c r="S123" s="15"/>
      <c r="T123" s="62">
        <f t="shared" si="38"/>
        <v>0</v>
      </c>
      <c r="U123" s="62">
        <f t="shared" si="33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2">SUM(C123:C123)</f>
        <v>0</v>
      </c>
      <c r="D124" s="92">
        <f t="shared" si="42"/>
        <v>0</v>
      </c>
      <c r="E124" s="93">
        <f t="shared" si="42"/>
        <v>0</v>
      </c>
      <c r="F124" s="93">
        <f t="shared" si="42"/>
        <v>0</v>
      </c>
      <c r="G124" s="93">
        <f t="shared" si="42"/>
        <v>0</v>
      </c>
      <c r="H124" s="93">
        <f t="shared" si="42"/>
        <v>0</v>
      </c>
      <c r="I124" s="93">
        <f t="shared" si="42"/>
        <v>0</v>
      </c>
      <c r="J124" s="93">
        <f t="shared" si="42"/>
        <v>0</v>
      </c>
      <c r="K124" s="93">
        <f t="shared" si="42"/>
        <v>0</v>
      </c>
      <c r="L124" s="93">
        <f t="shared" si="42"/>
        <v>0</v>
      </c>
      <c r="M124" s="93">
        <f t="shared" si="42"/>
        <v>0</v>
      </c>
      <c r="N124" s="93">
        <f t="shared" si="42"/>
        <v>0</v>
      </c>
      <c r="O124" s="93">
        <f t="shared" si="42"/>
        <v>0</v>
      </c>
      <c r="P124" s="93">
        <f t="shared" si="42"/>
        <v>0</v>
      </c>
      <c r="Q124" s="93">
        <f t="shared" si="42"/>
        <v>0</v>
      </c>
      <c r="R124" s="94">
        <f t="shared" si="32"/>
        <v>0</v>
      </c>
      <c r="T124" s="96">
        <f t="shared" si="38"/>
        <v>0</v>
      </c>
      <c r="U124" s="96">
        <f t="shared" si="33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f>320/10*12</f>
        <v>384</v>
      </c>
      <c r="D126" s="57">
        <f>C126/12</f>
        <v>32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f>SUM(E126:P126)</f>
        <v>0</v>
      </c>
      <c r="R126" s="89">
        <f t="shared" si="32"/>
        <v>0</v>
      </c>
      <c r="S126" s="15"/>
      <c r="T126" s="62">
        <f t="shared" si="38"/>
        <v>0</v>
      </c>
      <c r="U126" s="62">
        <f t="shared" si="33"/>
        <v>-1</v>
      </c>
    </row>
    <row r="127" spans="1:21" x14ac:dyDescent="0.25">
      <c r="A127" s="63" t="s">
        <v>142</v>
      </c>
      <c r="B127" s="15"/>
      <c r="C127" s="137">
        <f t="shared" ref="C127:Q127" si="43">SUM(C126:C126)</f>
        <v>384</v>
      </c>
      <c r="D127" s="138">
        <f t="shared" si="43"/>
        <v>32</v>
      </c>
      <c r="E127" s="139">
        <f t="shared" si="43"/>
        <v>0</v>
      </c>
      <c r="F127" s="139">
        <f t="shared" si="43"/>
        <v>0</v>
      </c>
      <c r="G127" s="139">
        <f t="shared" si="43"/>
        <v>0</v>
      </c>
      <c r="H127" s="139">
        <f t="shared" si="43"/>
        <v>0</v>
      </c>
      <c r="I127" s="139">
        <f t="shared" si="43"/>
        <v>0</v>
      </c>
      <c r="J127" s="139">
        <f t="shared" si="43"/>
        <v>0</v>
      </c>
      <c r="K127" s="139">
        <f t="shared" si="43"/>
        <v>0</v>
      </c>
      <c r="L127" s="139">
        <f t="shared" si="43"/>
        <v>0</v>
      </c>
      <c r="M127" s="139">
        <f t="shared" si="43"/>
        <v>0</v>
      </c>
      <c r="N127" s="139">
        <f t="shared" si="43"/>
        <v>0</v>
      </c>
      <c r="O127" s="139">
        <f t="shared" si="43"/>
        <v>0</v>
      </c>
      <c r="P127" s="139">
        <f t="shared" si="43"/>
        <v>0</v>
      </c>
      <c r="Q127" s="139">
        <f t="shared" si="43"/>
        <v>0</v>
      </c>
      <c r="R127" s="140">
        <f t="shared" si="32"/>
        <v>0</v>
      </c>
      <c r="T127" s="141">
        <f t="shared" si="38"/>
        <v>0</v>
      </c>
      <c r="U127" s="141">
        <f t="shared" si="33"/>
        <v>-1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4">C124+C121+C90+C82+C73+C62+C48+C95+C76+C127</f>
        <v>3747.36</v>
      </c>
      <c r="D128" s="72">
        <f t="shared" si="44"/>
        <v>495.33714285714285</v>
      </c>
      <c r="E128" s="73">
        <f t="shared" si="44"/>
        <v>220</v>
      </c>
      <c r="F128" s="73">
        <f t="shared" si="44"/>
        <v>220</v>
      </c>
      <c r="G128" s="73">
        <f t="shared" si="44"/>
        <v>220</v>
      </c>
      <c r="H128" s="73">
        <f t="shared" si="44"/>
        <v>220</v>
      </c>
      <c r="I128" s="73">
        <f t="shared" si="44"/>
        <v>220</v>
      </c>
      <c r="J128" s="73">
        <f t="shared" si="44"/>
        <v>220</v>
      </c>
      <c r="K128" s="73">
        <f t="shared" si="44"/>
        <v>230</v>
      </c>
      <c r="L128" s="73">
        <f t="shared" si="44"/>
        <v>230</v>
      </c>
      <c r="M128" s="73">
        <f t="shared" si="44"/>
        <v>230</v>
      </c>
      <c r="N128" s="73">
        <f t="shared" si="44"/>
        <v>230</v>
      </c>
      <c r="O128" s="73">
        <f t="shared" si="44"/>
        <v>230</v>
      </c>
      <c r="P128" s="73">
        <f t="shared" si="44"/>
        <v>230</v>
      </c>
      <c r="Q128" s="73">
        <f t="shared" si="44"/>
        <v>2700</v>
      </c>
      <c r="R128" s="74">
        <f t="shared" si="32"/>
        <v>225</v>
      </c>
      <c r="T128" s="76">
        <f t="shared" si="38"/>
        <v>3.1526049975094381E-2</v>
      </c>
      <c r="U128" s="76">
        <f t="shared" si="33"/>
        <v>-0.27949276290508518</v>
      </c>
    </row>
    <row r="129" spans="1:21" x14ac:dyDescent="0.25">
      <c r="A129" s="78" t="s">
        <v>144</v>
      </c>
      <c r="B129" t="s">
        <v>48</v>
      </c>
      <c r="C129" s="79">
        <f t="shared" ref="C129:Q129" si="45">C34-C128</f>
        <v>53523.479999999996</v>
      </c>
      <c r="D129" s="80">
        <f t="shared" si="45"/>
        <v>4277.2328571428588</v>
      </c>
      <c r="E129" s="81">
        <f t="shared" si="45"/>
        <v>6916.9550000000017</v>
      </c>
      <c r="F129" s="81">
        <f t="shared" si="45"/>
        <v>6916.9550000000017</v>
      </c>
      <c r="G129" s="81">
        <f t="shared" si="45"/>
        <v>6916.9550000000017</v>
      </c>
      <c r="H129" s="81">
        <f t="shared" si="45"/>
        <v>6916.9550000000017</v>
      </c>
      <c r="I129" s="81">
        <f t="shared" si="45"/>
        <v>6916.9550000000017</v>
      </c>
      <c r="J129" s="81">
        <f t="shared" si="45"/>
        <v>6916.9550000000017</v>
      </c>
      <c r="K129" s="81">
        <f t="shared" si="45"/>
        <v>6906.9550000000017</v>
      </c>
      <c r="L129" s="81">
        <f t="shared" si="45"/>
        <v>6906.9550000000017</v>
      </c>
      <c r="M129" s="81">
        <f t="shared" si="45"/>
        <v>6906.9550000000017</v>
      </c>
      <c r="N129" s="81">
        <f t="shared" si="45"/>
        <v>6906.9550000000017</v>
      </c>
      <c r="O129" s="81">
        <f t="shared" si="45"/>
        <v>6906.9550000000017</v>
      </c>
      <c r="P129" s="81">
        <f t="shared" si="45"/>
        <v>6906.9550000000017</v>
      </c>
      <c r="Q129" s="81">
        <f t="shared" si="45"/>
        <v>82943.460000000108</v>
      </c>
      <c r="R129" s="82">
        <f t="shared" si="32"/>
        <v>6911.9550000000017</v>
      </c>
      <c r="T129" s="31">
        <f t="shared" si="38"/>
        <v>0.96847395002490566</v>
      </c>
      <c r="U129" s="31">
        <f t="shared" si="33"/>
        <v>0.54966493210082967</v>
      </c>
    </row>
    <row r="130" spans="1:21" x14ac:dyDescent="0.25">
      <c r="A130" s="78" t="s">
        <v>145</v>
      </c>
      <c r="B130" t="s">
        <v>48</v>
      </c>
      <c r="C130" s="339">
        <f t="shared" ref="C130:Q130" si="46">IFERROR(C129/C34,0)</f>
        <v>0.9345677486134305</v>
      </c>
      <c r="D130" s="340">
        <f t="shared" si="46"/>
        <v>0.89621165475684117</v>
      </c>
      <c r="E130" s="341">
        <f t="shared" si="46"/>
        <v>0.96917452891324107</v>
      </c>
      <c r="F130" s="341">
        <f t="shared" si="46"/>
        <v>0.96917452891324107</v>
      </c>
      <c r="G130" s="341">
        <f t="shared" si="46"/>
        <v>0.96917452891324107</v>
      </c>
      <c r="H130" s="341">
        <f t="shared" si="46"/>
        <v>0.96917452891324107</v>
      </c>
      <c r="I130" s="341">
        <f t="shared" si="46"/>
        <v>0.96917452891324107</v>
      </c>
      <c r="J130" s="341">
        <f t="shared" si="46"/>
        <v>0.96917452891324107</v>
      </c>
      <c r="K130" s="341">
        <f t="shared" si="46"/>
        <v>0.96777337113657014</v>
      </c>
      <c r="L130" s="341">
        <f t="shared" si="46"/>
        <v>0.96777337113657014</v>
      </c>
      <c r="M130" s="341">
        <f t="shared" si="46"/>
        <v>0.96777337113657014</v>
      </c>
      <c r="N130" s="341">
        <f t="shared" si="46"/>
        <v>0.96777337113657014</v>
      </c>
      <c r="O130" s="341">
        <f t="shared" si="46"/>
        <v>0.96777337113657014</v>
      </c>
      <c r="P130" s="341">
        <f t="shared" si="46"/>
        <v>0.96777337113657014</v>
      </c>
      <c r="Q130" s="341">
        <f t="shared" si="46"/>
        <v>0.96847395002490566</v>
      </c>
      <c r="R130" s="342">
        <f>AVERAGE(E130:P130)</f>
        <v>0.96847395002490544</v>
      </c>
      <c r="T130" s="31"/>
      <c r="U130" s="31">
        <f>IFERROR((Q130-C130)/C130,0)</f>
        <v>3.6280089337322012E-2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f>SUM(E132:P132)</f>
        <v>0</v>
      </c>
      <c r="R132" s="89">
        <f t="shared" ref="R132:R137" si="47">AVERAGE(E132:P132)</f>
        <v>0</v>
      </c>
      <c r="S132" s="15"/>
      <c r="T132" s="62">
        <f t="shared" si="38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f>SUM(E133:P133)</f>
        <v>0</v>
      </c>
      <c r="R133" s="89">
        <f t="shared" si="47"/>
        <v>0</v>
      </c>
      <c r="S133" s="15"/>
      <c r="T133" s="62">
        <f t="shared" si="38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8">SUM(C132:C133)</f>
        <v>0</v>
      </c>
      <c r="D134" s="138">
        <f t="shared" si="48"/>
        <v>0</v>
      </c>
      <c r="E134" s="139">
        <f>SUM(E132:E133)</f>
        <v>0</v>
      </c>
      <c r="F134" s="139">
        <f t="shared" ref="F134:Q134" si="49">SUM(F132:F133)</f>
        <v>0</v>
      </c>
      <c r="G134" s="139">
        <f t="shared" si="49"/>
        <v>0</v>
      </c>
      <c r="H134" s="139">
        <f t="shared" si="49"/>
        <v>0</v>
      </c>
      <c r="I134" s="139">
        <f t="shared" si="49"/>
        <v>0</v>
      </c>
      <c r="J134" s="139">
        <f t="shared" si="49"/>
        <v>0</v>
      </c>
      <c r="K134" s="139">
        <f t="shared" si="49"/>
        <v>0</v>
      </c>
      <c r="L134" s="139">
        <f t="shared" si="49"/>
        <v>0</v>
      </c>
      <c r="M134" s="139">
        <f t="shared" si="49"/>
        <v>0</v>
      </c>
      <c r="N134" s="139">
        <f t="shared" si="49"/>
        <v>0</v>
      </c>
      <c r="O134" s="139">
        <f t="shared" si="49"/>
        <v>0</v>
      </c>
      <c r="P134" s="139">
        <f t="shared" si="49"/>
        <v>0</v>
      </c>
      <c r="Q134" s="139">
        <f t="shared" si="49"/>
        <v>0</v>
      </c>
      <c r="R134" s="140">
        <f>AVERAGE(E134:P134)</f>
        <v>0</v>
      </c>
      <c r="T134" s="141">
        <f t="shared" si="38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50">C134+C128</f>
        <v>3747.36</v>
      </c>
      <c r="D135" s="72">
        <f t="shared" si="50"/>
        <v>495.33714285714285</v>
      </c>
      <c r="E135" s="73">
        <f>E134+E128</f>
        <v>220</v>
      </c>
      <c r="F135" s="73">
        <f t="shared" ref="F135:P135" si="51">F134+F128</f>
        <v>220</v>
      </c>
      <c r="G135" s="73">
        <f t="shared" si="51"/>
        <v>220</v>
      </c>
      <c r="H135" s="73">
        <f t="shared" si="51"/>
        <v>220</v>
      </c>
      <c r="I135" s="73">
        <f t="shared" si="51"/>
        <v>220</v>
      </c>
      <c r="J135" s="73">
        <f t="shared" si="51"/>
        <v>220</v>
      </c>
      <c r="K135" s="73">
        <f t="shared" si="51"/>
        <v>230</v>
      </c>
      <c r="L135" s="73">
        <f t="shared" si="51"/>
        <v>230</v>
      </c>
      <c r="M135" s="73">
        <f t="shared" si="51"/>
        <v>230</v>
      </c>
      <c r="N135" s="73">
        <f t="shared" si="51"/>
        <v>230</v>
      </c>
      <c r="O135" s="73">
        <f t="shared" si="51"/>
        <v>230</v>
      </c>
      <c r="P135" s="73">
        <f t="shared" si="51"/>
        <v>230</v>
      </c>
      <c r="Q135" s="73">
        <f>Q134+Q128</f>
        <v>2700</v>
      </c>
      <c r="R135" s="74">
        <f t="shared" si="47"/>
        <v>225</v>
      </c>
      <c r="T135" s="76">
        <f t="shared" si="38"/>
        <v>3.1526049975094381E-2</v>
      </c>
      <c r="U135" s="76">
        <f t="shared" si="33"/>
        <v>-0.27949276290508518</v>
      </c>
    </row>
    <row r="136" spans="1:21" x14ac:dyDescent="0.25">
      <c r="A136" s="78" t="s">
        <v>151</v>
      </c>
      <c r="C136" s="79">
        <f t="shared" ref="C136:Q136" si="52">C34-C135</f>
        <v>53523.479999999996</v>
      </c>
      <c r="D136" s="80">
        <f t="shared" si="52"/>
        <v>4277.2328571428588</v>
      </c>
      <c r="E136" s="81">
        <f t="shared" si="52"/>
        <v>6916.9550000000017</v>
      </c>
      <c r="F136" s="81">
        <f t="shared" si="52"/>
        <v>6916.9550000000017</v>
      </c>
      <c r="G136" s="81">
        <f t="shared" si="52"/>
        <v>6916.9550000000017</v>
      </c>
      <c r="H136" s="81">
        <f t="shared" si="52"/>
        <v>6916.9550000000017</v>
      </c>
      <c r="I136" s="81">
        <f t="shared" si="52"/>
        <v>6916.9550000000017</v>
      </c>
      <c r="J136" s="81">
        <f t="shared" si="52"/>
        <v>6916.9550000000017</v>
      </c>
      <c r="K136" s="81">
        <f t="shared" si="52"/>
        <v>6906.9550000000017</v>
      </c>
      <c r="L136" s="81">
        <f t="shared" si="52"/>
        <v>6906.9550000000017</v>
      </c>
      <c r="M136" s="81">
        <f t="shared" si="52"/>
        <v>6906.9550000000017</v>
      </c>
      <c r="N136" s="81">
        <f t="shared" si="52"/>
        <v>6906.9550000000017</v>
      </c>
      <c r="O136" s="81">
        <f t="shared" si="52"/>
        <v>6906.9550000000017</v>
      </c>
      <c r="P136" s="81">
        <f t="shared" si="52"/>
        <v>6906.9550000000017</v>
      </c>
      <c r="Q136" s="81">
        <f t="shared" si="52"/>
        <v>82943.460000000108</v>
      </c>
      <c r="R136" s="82">
        <f>AVERAGE(E136:P136)</f>
        <v>6911.9550000000017</v>
      </c>
      <c r="T136" s="31">
        <f>Q136/$Q$34</f>
        <v>0.96847395002490566</v>
      </c>
      <c r="U136" s="31">
        <f t="shared" si="33"/>
        <v>0.54966493210082967</v>
      </c>
    </row>
    <row r="137" spans="1:21" ht="15.75" thickBot="1" x14ac:dyDescent="0.3">
      <c r="A137" s="78" t="s">
        <v>152</v>
      </c>
      <c r="C137" s="344">
        <f>IFERROR(C136/C34,"")</f>
        <v>0.9345677486134305</v>
      </c>
      <c r="D137" s="345">
        <f>IFERROR(D136/D34,"")</f>
        <v>0.89621165475684117</v>
      </c>
      <c r="E137" s="341">
        <f t="shared" ref="E137:Q137" si="53">E136/E34</f>
        <v>0.96917452891324107</v>
      </c>
      <c r="F137" s="341">
        <f t="shared" si="53"/>
        <v>0.96917452891324107</v>
      </c>
      <c r="G137" s="341">
        <f t="shared" si="53"/>
        <v>0.96917452891324107</v>
      </c>
      <c r="H137" s="341">
        <f t="shared" si="53"/>
        <v>0.96917452891324107</v>
      </c>
      <c r="I137" s="341">
        <f t="shared" si="53"/>
        <v>0.96917452891324107</v>
      </c>
      <c r="J137" s="341">
        <f t="shared" si="53"/>
        <v>0.96917452891324107</v>
      </c>
      <c r="K137" s="341">
        <f t="shared" si="53"/>
        <v>0.96777337113657014</v>
      </c>
      <c r="L137" s="341">
        <f t="shared" si="53"/>
        <v>0.96777337113657014</v>
      </c>
      <c r="M137" s="341">
        <f t="shared" si="53"/>
        <v>0.96777337113657014</v>
      </c>
      <c r="N137" s="341">
        <f t="shared" si="53"/>
        <v>0.96777337113657014</v>
      </c>
      <c r="O137" s="341">
        <f t="shared" si="53"/>
        <v>0.96777337113657014</v>
      </c>
      <c r="P137" s="341">
        <f t="shared" si="53"/>
        <v>0.96777337113657014</v>
      </c>
      <c r="Q137" s="341">
        <f t="shared" si="53"/>
        <v>0.96847395002490566</v>
      </c>
      <c r="R137" s="346">
        <f t="shared" si="47"/>
        <v>0.96847395002490544</v>
      </c>
      <c r="T137" s="181"/>
      <c r="U137" s="181">
        <f t="shared" si="33"/>
        <v>3.6280089337322012E-2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D5DD7-D0D0-4E6D-8C2D-3F2AA5CC0ECC}">
  <dimension ref="A1:AA137"/>
  <sheetViews>
    <sheetView topLeftCell="B1" workbookViewId="0">
      <selection activeCell="S1" sqref="S1:S1048576"/>
    </sheetView>
  </sheetViews>
  <sheetFormatPr defaultRowHeight="15" x14ac:dyDescent="0.25"/>
  <cols>
    <col min="1" max="1" width="30.5703125" bestFit="1" customWidth="1"/>
    <col min="2" max="2" width="34.140625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5" customWidth="1"/>
    <col min="20" max="20" width="10" bestFit="1" customWidth="1"/>
    <col min="21" max="21" width="11.85546875" customWidth="1"/>
    <col min="24" max="24" width="13.140625" customWidth="1"/>
    <col min="25" max="25" width="14" customWidth="1"/>
    <col min="26" max="26" width="14.140625" customWidth="1"/>
  </cols>
  <sheetData>
    <row r="1" spans="1:27" ht="18" x14ac:dyDescent="0.25">
      <c r="A1" s="401" t="s">
        <v>371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7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7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7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7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7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359" t="s">
        <v>154</v>
      </c>
      <c r="T6" s="13" t="s">
        <v>19</v>
      </c>
      <c r="U6" s="13" t="s">
        <v>153</v>
      </c>
    </row>
    <row r="7" spans="1:27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60" t="e">
        <f>AVERAGE(E7:P7)</f>
        <v>#DIV/0!</v>
      </c>
      <c r="S7" s="15"/>
      <c r="T7" s="21"/>
      <c r="U7" s="22">
        <f>IFERROR((Q7-C7)/C7,0)</f>
        <v>0</v>
      </c>
      <c r="V7" s="15"/>
    </row>
    <row r="8" spans="1:27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60" t="e">
        <f t="shared" ref="R8:R87" si="1">AVERAGE(E8:P8)</f>
        <v>#DIV/0!</v>
      </c>
      <c r="S8" s="15"/>
      <c r="T8" s="21"/>
      <c r="U8" s="22">
        <f t="shared" ref="U8:U13" si="2">IFERROR((Q8-C8)/C8,0)</f>
        <v>0</v>
      </c>
      <c r="V8" s="15"/>
    </row>
    <row r="9" spans="1:27" x14ac:dyDescent="0.25">
      <c r="A9" s="25"/>
      <c r="B9" s="15" t="s">
        <v>24</v>
      </c>
      <c r="C9" s="16">
        <v>11.04</v>
      </c>
      <c r="D9" s="17">
        <v>0.91999999999999993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9">
        <f t="shared" si="0"/>
        <v>24</v>
      </c>
      <c r="R9" s="360">
        <f t="shared" si="1"/>
        <v>2</v>
      </c>
      <c r="S9" s="15"/>
      <c r="T9" s="21"/>
      <c r="U9" s="22">
        <f t="shared" si="2"/>
        <v>1.173913043478261</v>
      </c>
      <c r="V9" s="15"/>
    </row>
    <row r="10" spans="1:27" x14ac:dyDescent="0.25">
      <c r="A10" s="15"/>
      <c r="B10" s="15" t="s">
        <v>25</v>
      </c>
      <c r="C10" s="16">
        <v>60.240000000000009</v>
      </c>
      <c r="D10" s="17">
        <v>5.0200000000000005</v>
      </c>
      <c r="E10" s="18">
        <v>7</v>
      </c>
      <c r="F10" s="18">
        <v>7</v>
      </c>
      <c r="G10" s="18">
        <v>7</v>
      </c>
      <c r="H10" s="18">
        <v>7</v>
      </c>
      <c r="I10" s="18">
        <v>7</v>
      </c>
      <c r="J10" s="18">
        <v>7</v>
      </c>
      <c r="K10" s="18">
        <v>7</v>
      </c>
      <c r="L10" s="18">
        <v>7</v>
      </c>
      <c r="M10" s="18">
        <v>7</v>
      </c>
      <c r="N10" s="18">
        <v>7</v>
      </c>
      <c r="O10" s="18">
        <v>7</v>
      </c>
      <c r="P10" s="18">
        <v>7</v>
      </c>
      <c r="Q10" s="19">
        <f t="shared" si="0"/>
        <v>84</v>
      </c>
      <c r="R10" s="360">
        <f t="shared" si="1"/>
        <v>7</v>
      </c>
      <c r="S10" s="15"/>
      <c r="T10" s="21"/>
      <c r="U10" s="22">
        <f t="shared" si="2"/>
        <v>0.39442231075697193</v>
      </c>
      <c r="V10" s="15"/>
    </row>
    <row r="11" spans="1:27" x14ac:dyDescent="0.25">
      <c r="A11" s="15"/>
      <c r="B11" s="15" t="s">
        <v>26</v>
      </c>
      <c r="C11" s="16">
        <v>13</v>
      </c>
      <c r="D11" s="17">
        <v>1.0833333333333333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2</v>
      </c>
      <c r="L11" s="18">
        <v>2</v>
      </c>
      <c r="M11" s="18">
        <v>2</v>
      </c>
      <c r="N11" s="18">
        <v>2</v>
      </c>
      <c r="O11" s="18">
        <v>2</v>
      </c>
      <c r="P11" s="18">
        <v>2</v>
      </c>
      <c r="Q11" s="19">
        <f t="shared" si="0"/>
        <v>18</v>
      </c>
      <c r="R11" s="360">
        <f t="shared" si="1"/>
        <v>1.5</v>
      </c>
      <c r="S11" s="15"/>
      <c r="T11" s="21"/>
      <c r="U11" s="22">
        <f t="shared" si="2"/>
        <v>0.38461538461538464</v>
      </c>
      <c r="V11" s="15"/>
    </row>
    <row r="12" spans="1:27" x14ac:dyDescent="0.25">
      <c r="A12" s="15"/>
      <c r="B12" s="15" t="s">
        <v>27</v>
      </c>
      <c r="C12" s="16">
        <v>0</v>
      </c>
      <c r="D12" s="17">
        <v>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>
        <f>SUM(E12:P12)</f>
        <v>0</v>
      </c>
      <c r="R12" s="360" t="e">
        <f>AVERAGE(E12:P12)</f>
        <v>#DIV/0!</v>
      </c>
      <c r="S12" s="15"/>
      <c r="T12" s="21"/>
      <c r="U12" s="22">
        <f t="shared" si="2"/>
        <v>0</v>
      </c>
      <c r="V12" s="15"/>
    </row>
    <row r="13" spans="1:27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60" t="e">
        <f t="shared" si="1"/>
        <v>#DIV/0!</v>
      </c>
      <c r="S13" s="15"/>
      <c r="T13" s="21"/>
      <c r="U13" s="22">
        <f t="shared" si="2"/>
        <v>0</v>
      </c>
      <c r="V13" s="15"/>
    </row>
    <row r="14" spans="1:27" x14ac:dyDescent="0.25">
      <c r="A14" s="25"/>
      <c r="B14" s="15" t="s">
        <v>29</v>
      </c>
      <c r="C14" s="26">
        <f>SUM(C7:C13)</f>
        <v>84.28</v>
      </c>
      <c r="D14" s="27">
        <f t="shared" ref="D14" si="3">SUM(D7:D13)</f>
        <v>7.0233333333333334</v>
      </c>
      <c r="E14" s="28">
        <f>SUM(E7:E13)</f>
        <v>10</v>
      </c>
      <c r="F14" s="28">
        <f>SUM(F7:F13)</f>
        <v>10</v>
      </c>
      <c r="G14" s="28">
        <f t="shared" ref="G14:Q14" si="4">SUM(G7:G13)</f>
        <v>10</v>
      </c>
      <c r="H14" s="28">
        <f t="shared" si="4"/>
        <v>10</v>
      </c>
      <c r="I14" s="28">
        <f t="shared" si="4"/>
        <v>10</v>
      </c>
      <c r="J14" s="28">
        <f t="shared" si="4"/>
        <v>10</v>
      </c>
      <c r="K14" s="28">
        <f t="shared" si="4"/>
        <v>11</v>
      </c>
      <c r="L14" s="28">
        <f t="shared" si="4"/>
        <v>11</v>
      </c>
      <c r="M14" s="28">
        <f t="shared" si="4"/>
        <v>11</v>
      </c>
      <c r="N14" s="28">
        <f t="shared" si="4"/>
        <v>11</v>
      </c>
      <c r="O14" s="28">
        <f t="shared" si="4"/>
        <v>11</v>
      </c>
      <c r="P14" s="28">
        <f t="shared" si="4"/>
        <v>11</v>
      </c>
      <c r="Q14" s="28">
        <f t="shared" si="4"/>
        <v>126</v>
      </c>
      <c r="R14" s="361">
        <f>AVERAGE(E14:P14)</f>
        <v>10.5</v>
      </c>
      <c r="T14" s="30"/>
      <c r="U14" s="31">
        <f>IFERROR((Q14-C14)/C14,0)</f>
        <v>0.49501661129568103</v>
      </c>
    </row>
    <row r="15" spans="1:27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62"/>
      <c r="T15" s="39"/>
      <c r="U15" s="39"/>
      <c r="AA15" s="44"/>
    </row>
    <row r="16" spans="1:27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363">
        <f t="shared" si="1"/>
        <v>0</v>
      </c>
      <c r="S16" s="15"/>
      <c r="T16" s="21"/>
      <c r="U16" s="22" t="str">
        <f t="shared" ref="U16:U21" si="5">IFERROR((Q16-C16)/C16,"")</f>
        <v/>
      </c>
      <c r="V16" s="15"/>
      <c r="W16"/>
      <c r="X16"/>
      <c r="Y16"/>
      <c r="Z16"/>
    </row>
    <row r="17" spans="1:26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363">
        <f t="shared" si="1"/>
        <v>0</v>
      </c>
      <c r="S17" s="15"/>
      <c r="T17" s="21"/>
      <c r="U17" s="22" t="str">
        <f t="shared" si="5"/>
        <v/>
      </c>
      <c r="V17" s="15"/>
      <c r="W17"/>
      <c r="X17"/>
      <c r="Y17"/>
      <c r="Z17"/>
    </row>
    <row r="18" spans="1:26" s="44" customFormat="1" x14ac:dyDescent="0.25">
      <c r="B18" s="15" t="s">
        <v>33</v>
      </c>
      <c r="C18" s="40"/>
      <c r="D18" s="41"/>
      <c r="E18" s="42">
        <v>280</v>
      </c>
      <c r="F18" s="42">
        <v>280</v>
      </c>
      <c r="G18" s="42">
        <v>280</v>
      </c>
      <c r="H18" s="42">
        <v>280</v>
      </c>
      <c r="I18" s="42">
        <v>280</v>
      </c>
      <c r="J18" s="42">
        <v>280</v>
      </c>
      <c r="K18" s="42">
        <v>280</v>
      </c>
      <c r="L18" s="42">
        <v>280</v>
      </c>
      <c r="M18" s="42">
        <v>280</v>
      </c>
      <c r="N18" s="42">
        <v>280</v>
      </c>
      <c r="O18" s="42">
        <v>280</v>
      </c>
      <c r="P18" s="42">
        <v>280</v>
      </c>
      <c r="Q18" s="42">
        <f>AVERAGE(E18:P18)</f>
        <v>280</v>
      </c>
      <c r="R18" s="363">
        <f t="shared" si="1"/>
        <v>280</v>
      </c>
      <c r="S18" s="15"/>
      <c r="T18" s="21"/>
      <c r="U18" s="22" t="str">
        <f t="shared" si="5"/>
        <v/>
      </c>
      <c r="V18" s="15"/>
      <c r="W18"/>
      <c r="X18"/>
      <c r="Y18"/>
      <c r="Z18"/>
    </row>
    <row r="19" spans="1:26" s="44" customFormat="1" x14ac:dyDescent="0.25">
      <c r="B19" s="15" t="s">
        <v>34</v>
      </c>
      <c r="C19" s="40"/>
      <c r="D19" s="41"/>
      <c r="E19" s="42">
        <v>180</v>
      </c>
      <c r="F19" s="42">
        <v>180</v>
      </c>
      <c r="G19" s="42">
        <v>180</v>
      </c>
      <c r="H19" s="42">
        <v>180</v>
      </c>
      <c r="I19" s="42">
        <v>180</v>
      </c>
      <c r="J19" s="42">
        <v>180</v>
      </c>
      <c r="K19" s="42">
        <v>180</v>
      </c>
      <c r="L19" s="42">
        <v>180</v>
      </c>
      <c r="M19" s="42">
        <v>180</v>
      </c>
      <c r="N19" s="42">
        <v>180</v>
      </c>
      <c r="O19" s="42">
        <v>180</v>
      </c>
      <c r="P19" s="42">
        <v>180</v>
      </c>
      <c r="Q19" s="42">
        <f>AVERAGE(E19:P19)</f>
        <v>180</v>
      </c>
      <c r="R19" s="363">
        <f t="shared" si="1"/>
        <v>180</v>
      </c>
      <c r="S19" s="15"/>
      <c r="T19" s="21"/>
      <c r="U19" s="22" t="str">
        <f t="shared" si="5"/>
        <v/>
      </c>
      <c r="V19" s="15"/>
      <c r="W19"/>
      <c r="X19"/>
      <c r="Y19"/>
      <c r="Z19"/>
    </row>
    <row r="20" spans="1:26" s="44" customFormat="1" x14ac:dyDescent="0.25">
      <c r="B20" s="15" t="s">
        <v>35</v>
      </c>
      <c r="C20" s="40"/>
      <c r="D20" s="41"/>
      <c r="E20" s="42">
        <v>100</v>
      </c>
      <c r="F20" s="42">
        <v>100</v>
      </c>
      <c r="G20" s="42">
        <v>100</v>
      </c>
      <c r="H20" s="42">
        <v>100</v>
      </c>
      <c r="I20" s="42">
        <v>100</v>
      </c>
      <c r="J20" s="42">
        <v>100</v>
      </c>
      <c r="K20" s="42">
        <v>100</v>
      </c>
      <c r="L20" s="42">
        <v>100</v>
      </c>
      <c r="M20" s="42">
        <v>100</v>
      </c>
      <c r="N20" s="42">
        <v>100</v>
      </c>
      <c r="O20" s="42">
        <v>100</v>
      </c>
      <c r="P20" s="42">
        <v>100</v>
      </c>
      <c r="Q20" s="42">
        <f>AVERAGE(E20:P20)</f>
        <v>100</v>
      </c>
      <c r="R20" s="363">
        <f>AVERAGE(E20:P20)</f>
        <v>100</v>
      </c>
      <c r="S20" s="15"/>
      <c r="T20" s="21"/>
      <c r="U20" s="22" t="str">
        <f t="shared" si="5"/>
        <v/>
      </c>
      <c r="V20" s="15"/>
      <c r="W20"/>
      <c r="X20"/>
      <c r="Y20"/>
      <c r="Z20"/>
    </row>
    <row r="21" spans="1:26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363">
        <f>AVERAGE(E21:P21)</f>
        <v>0</v>
      </c>
      <c r="S21" s="15"/>
      <c r="T21" s="21"/>
      <c r="U21" s="22" t="str">
        <f t="shared" si="5"/>
        <v/>
      </c>
      <c r="V21" s="15"/>
      <c r="W21"/>
      <c r="X21"/>
      <c r="Y21"/>
      <c r="Z21"/>
    </row>
    <row r="22" spans="1:26" s="44" customFormat="1" x14ac:dyDescent="0.25">
      <c r="B22" s="15"/>
      <c r="C22" s="46"/>
      <c r="D22" s="47"/>
      <c r="E22" s="42"/>
      <c r="R22" s="364"/>
      <c r="S22" s="49"/>
      <c r="T22" s="50"/>
      <c r="U22" s="50"/>
      <c r="V22" s="49"/>
      <c r="W22"/>
      <c r="X22"/>
      <c r="Y22"/>
      <c r="Z22"/>
    </row>
    <row r="23" spans="1:26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365"/>
      <c r="T23" s="55"/>
      <c r="U23" s="55"/>
    </row>
    <row r="24" spans="1:26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v>0</v>
      </c>
      <c r="P24" s="58">
        <v>0</v>
      </c>
      <c r="Q24" s="59">
        <f>SUM(E24:P24)</f>
        <v>0</v>
      </c>
      <c r="R24" s="366">
        <f t="shared" ref="R24:R29" si="6">AVERAGE(E24:P24)</f>
        <v>0</v>
      </c>
      <c r="S24" s="15"/>
      <c r="T24" s="61"/>
      <c r="U24" s="62">
        <f t="shared" ref="U24:U88" si="7">IFERROR((Q24-C24)/C24,0)</f>
        <v>0</v>
      </c>
      <c r="V24" s="53"/>
    </row>
    <row r="25" spans="1:26" x14ac:dyDescent="0.25">
      <c r="A25" s="25"/>
      <c r="B25" s="15" t="s">
        <v>39</v>
      </c>
      <c r="C25" s="56">
        <v>0</v>
      </c>
      <c r="D25" s="57">
        <f t="shared" ref="D25:D29" si="8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366">
        <f t="shared" si="6"/>
        <v>0</v>
      </c>
      <c r="S25" s="15"/>
      <c r="T25" s="61"/>
      <c r="U25" s="62">
        <f>IFERROR((Q26-C25)/C25,0)</f>
        <v>0</v>
      </c>
      <c r="V25" s="53"/>
    </row>
    <row r="26" spans="1:26" x14ac:dyDescent="0.25">
      <c r="A26" s="25"/>
      <c r="B26" s="15" t="s">
        <v>40</v>
      </c>
      <c r="C26" s="56">
        <v>107952.6</v>
      </c>
      <c r="D26" s="57">
        <f t="shared" si="8"/>
        <v>8996.0500000000011</v>
      </c>
      <c r="E26" s="58">
        <f>(((E9*E18)*21.75)+(((E10*E19)*13.08)+(((E11*E20)*4.33))))</f>
        <v>29093.8</v>
      </c>
      <c r="F26" s="58">
        <f t="shared" ref="F26:O26" si="9">(((F9*F18)*21.75)+(((F10*F19)*13.08)+(((F11*F20)*4.33))))</f>
        <v>29093.8</v>
      </c>
      <c r="G26" s="58">
        <f t="shared" si="9"/>
        <v>29093.8</v>
      </c>
      <c r="H26" s="58">
        <f t="shared" si="9"/>
        <v>29093.8</v>
      </c>
      <c r="I26" s="58">
        <f t="shared" si="9"/>
        <v>29093.8</v>
      </c>
      <c r="J26" s="58">
        <f t="shared" si="9"/>
        <v>29093.8</v>
      </c>
      <c r="K26" s="58">
        <f t="shared" si="9"/>
        <v>29526.799999999999</v>
      </c>
      <c r="L26" s="58">
        <f t="shared" si="9"/>
        <v>29526.799999999999</v>
      </c>
      <c r="M26" s="58">
        <f t="shared" si="9"/>
        <v>29526.799999999999</v>
      </c>
      <c r="N26" s="58">
        <f t="shared" si="9"/>
        <v>29526.799999999999</v>
      </c>
      <c r="O26" s="58">
        <f t="shared" si="9"/>
        <v>29526.799999999999</v>
      </c>
      <c r="P26" s="58">
        <f>(((P9*P18)*21.75)+(((P10*P19)*13.08)+(((P11*P20)*4.33))))</f>
        <v>29526.799999999999</v>
      </c>
      <c r="Q26" s="59">
        <f>SUM(E26:P26)</f>
        <v>351723.59999999992</v>
      </c>
      <c r="R26" s="366">
        <f t="shared" si="6"/>
        <v>29310.299999999992</v>
      </c>
      <c r="S26" s="15"/>
      <c r="T26" s="61"/>
      <c r="U26" s="62">
        <f>IFERROR((#REF!-C26)/C26,0)</f>
        <v>0</v>
      </c>
      <c r="V26" s="53"/>
    </row>
    <row r="27" spans="1:26" x14ac:dyDescent="0.25">
      <c r="A27" s="25"/>
      <c r="B27" s="15" t="s">
        <v>41</v>
      </c>
      <c r="C27" s="56">
        <v>0</v>
      </c>
      <c r="D27" s="57">
        <f t="shared" si="8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9">
        <f>SUM(E27:P27)</f>
        <v>0</v>
      </c>
      <c r="R27" s="366">
        <f t="shared" si="6"/>
        <v>0</v>
      </c>
      <c r="S27" s="15"/>
      <c r="T27" s="61"/>
      <c r="U27" s="62">
        <f>IFERROR((Q27-C27)/C27,0)</f>
        <v>0</v>
      </c>
      <c r="V27" s="15"/>
    </row>
    <row r="28" spans="1:26" x14ac:dyDescent="0.25">
      <c r="A28" s="25"/>
      <c r="B28" s="15" t="s">
        <v>42</v>
      </c>
      <c r="C28" s="56">
        <v>0</v>
      </c>
      <c r="D28" s="57">
        <f t="shared" si="8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9">
        <f>SUM(E28:P28)</f>
        <v>0</v>
      </c>
      <c r="R28" s="366">
        <f t="shared" si="6"/>
        <v>0</v>
      </c>
      <c r="S28" s="15"/>
      <c r="T28" s="61"/>
      <c r="U28" s="62">
        <f>IFERROR((Q28-C28)/C28,0)</f>
        <v>0</v>
      </c>
      <c r="V28" s="15"/>
    </row>
    <row r="29" spans="1:26" x14ac:dyDescent="0.25">
      <c r="A29" s="63" t="s">
        <v>43</v>
      </c>
      <c r="B29" s="15"/>
      <c r="C29" s="64">
        <f>SUM(C24:C28)</f>
        <v>107952.6</v>
      </c>
      <c r="D29" s="57">
        <f t="shared" si="8"/>
        <v>8996.0500000000011</v>
      </c>
      <c r="E29" s="66">
        <f t="shared" ref="E29:Q29" si="10">SUM(E24:E28)</f>
        <v>29093.8</v>
      </c>
      <c r="F29" s="66">
        <f t="shared" si="10"/>
        <v>29093.8</v>
      </c>
      <c r="G29" s="66">
        <f t="shared" si="10"/>
        <v>29093.8</v>
      </c>
      <c r="H29" s="66">
        <f t="shared" si="10"/>
        <v>29093.8</v>
      </c>
      <c r="I29" s="66">
        <f t="shared" si="10"/>
        <v>29093.8</v>
      </c>
      <c r="J29" s="66">
        <f t="shared" si="10"/>
        <v>29093.8</v>
      </c>
      <c r="K29" s="66">
        <f t="shared" si="10"/>
        <v>29526.799999999999</v>
      </c>
      <c r="L29" s="66">
        <f t="shared" si="10"/>
        <v>29526.799999999999</v>
      </c>
      <c r="M29" s="66">
        <f t="shared" si="10"/>
        <v>29526.799999999999</v>
      </c>
      <c r="N29" s="66">
        <f t="shared" si="10"/>
        <v>29526.799999999999</v>
      </c>
      <c r="O29" s="66">
        <f t="shared" si="10"/>
        <v>29526.799999999999</v>
      </c>
      <c r="P29" s="66">
        <f t="shared" si="10"/>
        <v>29526.799999999999</v>
      </c>
      <c r="Q29" s="66">
        <f t="shared" si="10"/>
        <v>351723.59999999992</v>
      </c>
      <c r="R29" s="367">
        <f t="shared" si="6"/>
        <v>29310.299999999992</v>
      </c>
      <c r="T29" s="68"/>
      <c r="U29" s="69">
        <f t="shared" si="7"/>
        <v>2.2581299570366986</v>
      </c>
    </row>
    <row r="30" spans="1:26" x14ac:dyDescent="0.25">
      <c r="A30" s="15" t="s">
        <v>44</v>
      </c>
      <c r="B30" s="15"/>
      <c r="C30" s="64"/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367"/>
      <c r="T30" s="69"/>
      <c r="U30" s="69"/>
    </row>
    <row r="31" spans="1:26" x14ac:dyDescent="0.25">
      <c r="A31" s="63"/>
      <c r="B31" s="15" t="s">
        <v>45</v>
      </c>
      <c r="C31" s="56">
        <v>-36534.97</v>
      </c>
      <c r="D31" s="57">
        <f>C31/4</f>
        <v>-9133.7425000000003</v>
      </c>
      <c r="E31" s="58">
        <f>-E26*0.7</f>
        <v>-20365.66</v>
      </c>
      <c r="F31" s="58">
        <f t="shared" ref="F31:O31" si="11">-F26*0.7</f>
        <v>-20365.66</v>
      </c>
      <c r="G31" s="58">
        <f t="shared" si="11"/>
        <v>-20365.66</v>
      </c>
      <c r="H31" s="58">
        <f t="shared" si="11"/>
        <v>-20365.66</v>
      </c>
      <c r="I31" s="58">
        <f t="shared" si="11"/>
        <v>-20365.66</v>
      </c>
      <c r="J31" s="58">
        <f t="shared" si="11"/>
        <v>-20365.66</v>
      </c>
      <c r="K31" s="58">
        <f t="shared" si="11"/>
        <v>-20668.759999999998</v>
      </c>
      <c r="L31" s="58">
        <f t="shared" si="11"/>
        <v>-20668.759999999998</v>
      </c>
      <c r="M31" s="58">
        <f t="shared" si="11"/>
        <v>-20668.759999999998</v>
      </c>
      <c r="N31" s="58">
        <f t="shared" si="11"/>
        <v>-20668.759999999998</v>
      </c>
      <c r="O31" s="58">
        <f t="shared" si="11"/>
        <v>-20668.759999999998</v>
      </c>
      <c r="P31" s="58">
        <f>-P26*0.7</f>
        <v>-20668.759999999998</v>
      </c>
      <c r="Q31" s="59">
        <f>SUM(E31:P31)</f>
        <v>-246206.52000000005</v>
      </c>
      <c r="R31" s="349">
        <f>AVERAGE(E31:P31)</f>
        <v>-20517.210000000003</v>
      </c>
      <c r="S31" s="15"/>
      <c r="T31" s="61"/>
      <c r="U31" s="62">
        <f t="shared" si="7"/>
        <v>5.7389276630034196</v>
      </c>
    </row>
    <row r="32" spans="1:26" x14ac:dyDescent="0.25">
      <c r="A32" s="63" t="s">
        <v>46</v>
      </c>
      <c r="B32" s="15"/>
      <c r="C32" s="64">
        <f t="shared" ref="C32:D32" si="12">SUM(C31)</f>
        <v>-36534.97</v>
      </c>
      <c r="D32" s="65">
        <f t="shared" si="12"/>
        <v>-9133.7425000000003</v>
      </c>
      <c r="E32" s="66">
        <f>SUM(E31)</f>
        <v>-20365.66</v>
      </c>
      <c r="F32" s="66">
        <f>SUM(F31)</f>
        <v>-20365.66</v>
      </c>
      <c r="G32" s="66">
        <f t="shared" ref="G32:P32" si="13">SUM(G31)</f>
        <v>-20365.66</v>
      </c>
      <c r="H32" s="66">
        <f t="shared" si="13"/>
        <v>-20365.66</v>
      </c>
      <c r="I32" s="66">
        <f t="shared" si="13"/>
        <v>-20365.66</v>
      </c>
      <c r="J32" s="66">
        <f t="shared" si="13"/>
        <v>-20365.66</v>
      </c>
      <c r="K32" s="66">
        <f t="shared" si="13"/>
        <v>-20668.759999999998</v>
      </c>
      <c r="L32" s="66">
        <f t="shared" si="13"/>
        <v>-20668.759999999998</v>
      </c>
      <c r="M32" s="66">
        <f t="shared" si="13"/>
        <v>-20668.759999999998</v>
      </c>
      <c r="N32" s="66">
        <f t="shared" si="13"/>
        <v>-20668.759999999998</v>
      </c>
      <c r="O32" s="66">
        <f t="shared" si="13"/>
        <v>-20668.759999999998</v>
      </c>
      <c r="P32" s="66">
        <f t="shared" si="13"/>
        <v>-20668.759999999998</v>
      </c>
      <c r="Q32" s="66">
        <f>SUM(Q31)</f>
        <v>-246206.52000000005</v>
      </c>
      <c r="R32" s="367">
        <f>AVERAGE(E32:P32)</f>
        <v>-20517.210000000003</v>
      </c>
      <c r="T32" s="68"/>
      <c r="U32" s="69">
        <f t="shared" si="7"/>
        <v>5.7389276630034196</v>
      </c>
    </row>
    <row r="33" spans="1:22" s="70" customFormat="1" x14ac:dyDescent="0.25">
      <c r="A33" s="63" t="s">
        <v>47</v>
      </c>
      <c r="B33" s="70" t="s">
        <v>48</v>
      </c>
      <c r="C33" s="71">
        <f t="shared" ref="C33:D33" si="14">C29+C32</f>
        <v>71417.63</v>
      </c>
      <c r="D33" s="72">
        <f t="shared" si="14"/>
        <v>-137.6924999999992</v>
      </c>
      <c r="E33" s="73">
        <f>E29+E32</f>
        <v>8728.14</v>
      </c>
      <c r="F33" s="73">
        <f>F29+F32</f>
        <v>8728.14</v>
      </c>
      <c r="G33" s="73">
        <f t="shared" ref="G33:Q33" si="15">G29+G32</f>
        <v>8728.14</v>
      </c>
      <c r="H33" s="73">
        <f t="shared" si="15"/>
        <v>8728.14</v>
      </c>
      <c r="I33" s="73">
        <f t="shared" si="15"/>
        <v>8728.14</v>
      </c>
      <c r="J33" s="73">
        <f t="shared" si="15"/>
        <v>8728.14</v>
      </c>
      <c r="K33" s="73">
        <f t="shared" si="15"/>
        <v>8858.0400000000009</v>
      </c>
      <c r="L33" s="73">
        <f t="shared" si="15"/>
        <v>8858.0400000000009</v>
      </c>
      <c r="M33" s="73">
        <f t="shared" si="15"/>
        <v>8858.0400000000009</v>
      </c>
      <c r="N33" s="73">
        <f t="shared" si="15"/>
        <v>8858.0400000000009</v>
      </c>
      <c r="O33" s="73">
        <f t="shared" si="15"/>
        <v>8858.0400000000009</v>
      </c>
      <c r="P33" s="73">
        <f t="shared" si="15"/>
        <v>8858.0400000000009</v>
      </c>
      <c r="Q33" s="73">
        <f t="shared" si="15"/>
        <v>105517.07999999987</v>
      </c>
      <c r="R33" s="368">
        <f>AVERAGE(E33:P33)</f>
        <v>8793.090000000002</v>
      </c>
      <c r="T33" s="75"/>
      <c r="U33" s="76">
        <f t="shared" si="7"/>
        <v>0.47746543815581483</v>
      </c>
    </row>
    <row r="34" spans="1:22" x14ac:dyDescent="0.25">
      <c r="A34" s="78" t="s">
        <v>49</v>
      </c>
      <c r="B34" t="s">
        <v>48</v>
      </c>
      <c r="C34" s="79">
        <f t="shared" ref="C34:D34" si="16">C33</f>
        <v>71417.63</v>
      </c>
      <c r="D34" s="80">
        <f t="shared" si="16"/>
        <v>-137.6924999999992</v>
      </c>
      <c r="E34" s="81">
        <f>E33</f>
        <v>8728.14</v>
      </c>
      <c r="F34" s="81">
        <f t="shared" ref="F34:Q34" si="17">F33</f>
        <v>8728.14</v>
      </c>
      <c r="G34" s="81">
        <f t="shared" si="17"/>
        <v>8728.14</v>
      </c>
      <c r="H34" s="81">
        <f t="shared" si="17"/>
        <v>8728.14</v>
      </c>
      <c r="I34" s="81">
        <f t="shared" si="17"/>
        <v>8728.14</v>
      </c>
      <c r="J34" s="81">
        <f t="shared" si="17"/>
        <v>8728.14</v>
      </c>
      <c r="K34" s="81">
        <f t="shared" si="17"/>
        <v>8858.0400000000009</v>
      </c>
      <c r="L34" s="81">
        <f t="shared" si="17"/>
        <v>8858.0400000000009</v>
      </c>
      <c r="M34" s="81">
        <f t="shared" si="17"/>
        <v>8858.0400000000009</v>
      </c>
      <c r="N34" s="81">
        <f t="shared" si="17"/>
        <v>8858.0400000000009</v>
      </c>
      <c r="O34" s="81">
        <f t="shared" si="17"/>
        <v>8858.0400000000009</v>
      </c>
      <c r="P34" s="81">
        <f t="shared" si="17"/>
        <v>8858.0400000000009</v>
      </c>
      <c r="Q34" s="81">
        <f t="shared" si="17"/>
        <v>105517.07999999987</v>
      </c>
      <c r="R34" s="369">
        <f t="shared" si="1"/>
        <v>8793.090000000002</v>
      </c>
      <c r="T34" s="30"/>
      <c r="U34" s="31">
        <f t="shared" si="7"/>
        <v>0.47746543815581483</v>
      </c>
    </row>
    <row r="35" spans="1:22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370"/>
      <c r="T35" s="55"/>
      <c r="U35" s="55"/>
    </row>
    <row r="36" spans="1:22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370"/>
      <c r="T36" s="55"/>
      <c r="U36" s="55"/>
    </row>
    <row r="37" spans="1:22" x14ac:dyDescent="0.25">
      <c r="A37" s="25"/>
      <c r="B37" s="15" t="s">
        <v>52</v>
      </c>
      <c r="C37" s="56">
        <f>20813.93</f>
        <v>20813.93</v>
      </c>
      <c r="D37" s="57">
        <f>C37/8</f>
        <v>2601.74125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f>SUM(E37:P37)</f>
        <v>0</v>
      </c>
      <c r="R37" s="371">
        <f>AVERAGE(E37:P37)</f>
        <v>0</v>
      </c>
      <c r="S37" s="15"/>
      <c r="T37" s="62">
        <f>Q37/$Q$34</f>
        <v>0</v>
      </c>
      <c r="U37" s="62">
        <f t="shared" si="7"/>
        <v>-1</v>
      </c>
      <c r="V37" s="15"/>
    </row>
    <row r="38" spans="1:22" x14ac:dyDescent="0.25">
      <c r="A38" s="25"/>
      <c r="B38" s="15" t="s">
        <v>53</v>
      </c>
      <c r="C38" s="56"/>
      <c r="D38" s="57">
        <f t="shared" ref="D38:D47" si="18">C38/8</f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f t="shared" ref="Q38:Q47" si="19">SUM(E38:P38)</f>
        <v>0</v>
      </c>
      <c r="R38" s="371">
        <f t="shared" si="1"/>
        <v>0</v>
      </c>
      <c r="S38" s="15"/>
      <c r="T38" s="62">
        <f t="shared" ref="T38:T102" si="20">Q38/$Q$34</f>
        <v>0</v>
      </c>
      <c r="U38" s="62">
        <f t="shared" si="7"/>
        <v>0</v>
      </c>
      <c r="V38" s="15"/>
    </row>
    <row r="39" spans="1:22" x14ac:dyDescent="0.25">
      <c r="A39" s="372"/>
      <c r="B39" s="15" t="s">
        <v>54</v>
      </c>
      <c r="C39" s="56"/>
      <c r="D39" s="57">
        <f t="shared" si="18"/>
        <v>0</v>
      </c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f t="shared" si="19"/>
        <v>0</v>
      </c>
      <c r="R39" s="371">
        <f t="shared" si="1"/>
        <v>0</v>
      </c>
      <c r="S39" s="15"/>
      <c r="T39" s="62">
        <f t="shared" si="20"/>
        <v>0</v>
      </c>
      <c r="U39" s="62">
        <f t="shared" si="7"/>
        <v>0</v>
      </c>
      <c r="V39" s="15"/>
    </row>
    <row r="40" spans="1:22" x14ac:dyDescent="0.25">
      <c r="A40" s="25"/>
      <c r="B40" s="15" t="s">
        <v>55</v>
      </c>
      <c r="C40" s="56">
        <f>-188.21</f>
        <v>-188.21</v>
      </c>
      <c r="D40" s="57">
        <f t="shared" si="18"/>
        <v>-23.526250000000001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f t="shared" si="19"/>
        <v>0</v>
      </c>
      <c r="R40" s="371">
        <f t="shared" si="1"/>
        <v>0</v>
      </c>
      <c r="S40" s="15"/>
      <c r="T40" s="62">
        <f t="shared" si="20"/>
        <v>0</v>
      </c>
      <c r="U40" s="62">
        <f t="shared" si="7"/>
        <v>-1</v>
      </c>
    </row>
    <row r="41" spans="1:22" x14ac:dyDescent="0.25">
      <c r="A41" s="25"/>
      <c r="B41" s="15" t="s">
        <v>56</v>
      </c>
      <c r="C41" s="56"/>
      <c r="D41" s="57">
        <f t="shared" si="18"/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f t="shared" si="19"/>
        <v>0</v>
      </c>
      <c r="R41" s="371">
        <f t="shared" si="1"/>
        <v>0</v>
      </c>
      <c r="S41" s="15"/>
      <c r="T41" s="62">
        <f t="shared" si="20"/>
        <v>0</v>
      </c>
      <c r="U41" s="62">
        <f t="shared" si="7"/>
        <v>0</v>
      </c>
    </row>
    <row r="42" spans="1:22" x14ac:dyDescent="0.25">
      <c r="A42" s="25"/>
      <c r="B42" s="15" t="s">
        <v>57</v>
      </c>
      <c r="C42" s="56"/>
      <c r="D42" s="57">
        <f t="shared" si="18"/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f t="shared" si="19"/>
        <v>0</v>
      </c>
      <c r="R42" s="371">
        <f t="shared" si="1"/>
        <v>0</v>
      </c>
      <c r="S42" s="15"/>
      <c r="T42" s="62">
        <f t="shared" si="20"/>
        <v>0</v>
      </c>
      <c r="U42" s="62">
        <f t="shared" si="7"/>
        <v>0</v>
      </c>
    </row>
    <row r="43" spans="1:22" x14ac:dyDescent="0.25">
      <c r="A43" s="25"/>
      <c r="B43" s="15" t="s">
        <v>58</v>
      </c>
      <c r="C43" s="56">
        <f>1711.72</f>
        <v>1711.72</v>
      </c>
      <c r="D43" s="57">
        <f t="shared" si="18"/>
        <v>213.965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f t="shared" si="19"/>
        <v>0</v>
      </c>
      <c r="R43" s="371">
        <f t="shared" si="1"/>
        <v>0</v>
      </c>
      <c r="S43" s="15"/>
      <c r="T43" s="62">
        <f t="shared" si="20"/>
        <v>0</v>
      </c>
      <c r="U43" s="62">
        <f t="shared" si="7"/>
        <v>-1</v>
      </c>
    </row>
    <row r="44" spans="1:22" x14ac:dyDescent="0.25">
      <c r="A44" s="25"/>
      <c r="B44" s="15" t="s">
        <v>59</v>
      </c>
      <c r="C44" s="56"/>
      <c r="D44" s="57">
        <f t="shared" si="18"/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f t="shared" si="19"/>
        <v>0</v>
      </c>
      <c r="R44" s="371">
        <f t="shared" si="1"/>
        <v>0</v>
      </c>
      <c r="S44" s="15"/>
      <c r="T44" s="62">
        <f t="shared" si="20"/>
        <v>0</v>
      </c>
      <c r="U44" s="62">
        <f t="shared" si="7"/>
        <v>0</v>
      </c>
    </row>
    <row r="45" spans="1:22" x14ac:dyDescent="0.25">
      <c r="A45" s="25"/>
      <c r="B45" s="15" t="s">
        <v>60</v>
      </c>
      <c r="C45" s="56"/>
      <c r="D45" s="57">
        <f t="shared" si="18"/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f t="shared" si="19"/>
        <v>0</v>
      </c>
      <c r="R45" s="371">
        <f t="shared" si="1"/>
        <v>0</v>
      </c>
      <c r="S45" s="15"/>
      <c r="T45" s="62">
        <f t="shared" si="20"/>
        <v>0</v>
      </c>
      <c r="U45" s="62">
        <f t="shared" si="7"/>
        <v>0</v>
      </c>
    </row>
    <row r="46" spans="1:22" x14ac:dyDescent="0.25">
      <c r="A46" s="25"/>
      <c r="B46" s="15" t="s">
        <v>61</v>
      </c>
      <c r="C46" s="56"/>
      <c r="D46" s="57">
        <f t="shared" si="18"/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f t="shared" si="19"/>
        <v>0</v>
      </c>
      <c r="R46" s="371">
        <f t="shared" si="1"/>
        <v>0</v>
      </c>
      <c r="S46" s="15"/>
      <c r="T46" s="62">
        <f t="shared" si="20"/>
        <v>0</v>
      </c>
      <c r="U46" s="62">
        <f t="shared" si="7"/>
        <v>0</v>
      </c>
    </row>
    <row r="47" spans="1:22" x14ac:dyDescent="0.25">
      <c r="A47" s="25"/>
      <c r="B47" s="15" t="s">
        <v>62</v>
      </c>
      <c r="C47" s="56"/>
      <c r="D47" s="57">
        <f t="shared" si="18"/>
        <v>0</v>
      </c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f t="shared" si="19"/>
        <v>0</v>
      </c>
      <c r="R47" s="371">
        <f t="shared" si="1"/>
        <v>0</v>
      </c>
      <c r="S47" s="15"/>
      <c r="T47" s="62">
        <f t="shared" si="20"/>
        <v>0</v>
      </c>
      <c r="U47" s="62">
        <f t="shared" si="7"/>
        <v>0</v>
      </c>
    </row>
    <row r="48" spans="1:22" x14ac:dyDescent="0.25">
      <c r="A48" s="63" t="s">
        <v>63</v>
      </c>
      <c r="B48" t="s">
        <v>48</v>
      </c>
      <c r="C48" s="91">
        <f t="shared" ref="C48:Q48" si="21">SUM(C37:C47)</f>
        <v>22337.440000000002</v>
      </c>
      <c r="D48" s="92">
        <f t="shared" si="21"/>
        <v>2792.1800000000003</v>
      </c>
      <c r="E48" s="93">
        <f t="shared" si="21"/>
        <v>0</v>
      </c>
      <c r="F48" s="93">
        <f t="shared" si="21"/>
        <v>0</v>
      </c>
      <c r="G48" s="93">
        <f t="shared" si="21"/>
        <v>0</v>
      </c>
      <c r="H48" s="93">
        <f t="shared" si="21"/>
        <v>0</v>
      </c>
      <c r="I48" s="93">
        <f t="shared" si="21"/>
        <v>0</v>
      </c>
      <c r="J48" s="93">
        <f t="shared" si="21"/>
        <v>0</v>
      </c>
      <c r="K48" s="93">
        <f t="shared" si="21"/>
        <v>0</v>
      </c>
      <c r="L48" s="93">
        <f t="shared" si="21"/>
        <v>0</v>
      </c>
      <c r="M48" s="93">
        <f t="shared" si="21"/>
        <v>0</v>
      </c>
      <c r="N48" s="93">
        <f t="shared" si="21"/>
        <v>0</v>
      </c>
      <c r="O48" s="93">
        <f t="shared" si="21"/>
        <v>0</v>
      </c>
      <c r="P48" s="93">
        <f t="shared" si="21"/>
        <v>0</v>
      </c>
      <c r="Q48" s="93">
        <f t="shared" si="21"/>
        <v>0</v>
      </c>
      <c r="R48" s="373">
        <f t="shared" si="1"/>
        <v>0</v>
      </c>
      <c r="T48" s="96">
        <f t="shared" si="20"/>
        <v>0</v>
      </c>
      <c r="U48" s="96">
        <f t="shared" si="7"/>
        <v>-1</v>
      </c>
    </row>
    <row r="49" spans="1:22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101"/>
      <c r="R49" s="374"/>
      <c r="T49" s="55"/>
      <c r="U49" s="55"/>
    </row>
    <row r="50" spans="1:22" x14ac:dyDescent="0.25">
      <c r="A50" s="25"/>
      <c r="B50" s="15" t="s">
        <v>65</v>
      </c>
      <c r="C50" s="56"/>
      <c r="D50" s="57"/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f t="shared" ref="Q50:Q61" si="22">SUM(E50:P50)</f>
        <v>0</v>
      </c>
      <c r="R50" s="371">
        <f t="shared" si="1"/>
        <v>0</v>
      </c>
      <c r="S50" s="15"/>
      <c r="T50" s="62">
        <f t="shared" si="20"/>
        <v>0</v>
      </c>
      <c r="U50" s="62">
        <f t="shared" si="7"/>
        <v>0</v>
      </c>
      <c r="V50" s="15"/>
    </row>
    <row r="51" spans="1:22" x14ac:dyDescent="0.25">
      <c r="A51" s="25"/>
      <c r="B51" s="15" t="s">
        <v>66</v>
      </c>
      <c r="C51" s="56"/>
      <c r="D51" s="57"/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f t="shared" si="22"/>
        <v>0</v>
      </c>
      <c r="R51" s="371">
        <f t="shared" si="1"/>
        <v>0</v>
      </c>
      <c r="S51" s="15"/>
      <c r="T51" s="62">
        <f t="shared" si="20"/>
        <v>0</v>
      </c>
      <c r="U51" s="62">
        <f t="shared" si="7"/>
        <v>0</v>
      </c>
      <c r="V51" s="15"/>
    </row>
    <row r="52" spans="1:22" x14ac:dyDescent="0.25">
      <c r="A52" s="25"/>
      <c r="B52" s="15" t="s">
        <v>67</v>
      </c>
      <c r="C52" s="56"/>
      <c r="D52" s="57"/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f t="shared" si="22"/>
        <v>0</v>
      </c>
      <c r="R52" s="371">
        <f t="shared" si="1"/>
        <v>0</v>
      </c>
      <c r="S52" s="15"/>
      <c r="T52" s="62">
        <f t="shared" si="20"/>
        <v>0</v>
      </c>
      <c r="U52" s="62">
        <f t="shared" si="7"/>
        <v>0</v>
      </c>
      <c r="V52" s="15"/>
    </row>
    <row r="53" spans="1:22" x14ac:dyDescent="0.25">
      <c r="A53" s="25"/>
      <c r="B53" s="15" t="s">
        <v>68</v>
      </c>
      <c r="C53" s="56"/>
      <c r="D53" s="57"/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f t="shared" si="22"/>
        <v>0</v>
      </c>
      <c r="R53" s="371">
        <f t="shared" si="1"/>
        <v>0</v>
      </c>
      <c r="S53" s="15"/>
      <c r="T53" s="62">
        <f t="shared" si="20"/>
        <v>0</v>
      </c>
      <c r="U53" s="62">
        <f t="shared" si="7"/>
        <v>0</v>
      </c>
      <c r="V53" s="15"/>
    </row>
    <row r="54" spans="1:22" x14ac:dyDescent="0.25">
      <c r="A54" s="25"/>
      <c r="B54" s="15" t="s">
        <v>69</v>
      </c>
      <c r="C54" s="56">
        <v>803.92</v>
      </c>
      <c r="D54" s="57">
        <f>C54/8</f>
        <v>100.49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f t="shared" si="22"/>
        <v>0</v>
      </c>
      <c r="R54" s="371">
        <f t="shared" si="1"/>
        <v>0</v>
      </c>
      <c r="S54" s="15"/>
      <c r="T54" s="62">
        <f t="shared" si="20"/>
        <v>0</v>
      </c>
      <c r="U54" s="62">
        <f t="shared" si="7"/>
        <v>-1</v>
      </c>
      <c r="V54" s="15"/>
    </row>
    <row r="55" spans="1:22" x14ac:dyDescent="0.25">
      <c r="A55" s="25"/>
      <c r="B55" s="15" t="s">
        <v>70</v>
      </c>
      <c r="C55" s="56"/>
      <c r="D55" s="57"/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f t="shared" si="22"/>
        <v>0</v>
      </c>
      <c r="R55" s="371">
        <f t="shared" si="1"/>
        <v>0</v>
      </c>
      <c r="S55" s="15"/>
      <c r="T55" s="62">
        <f t="shared" si="20"/>
        <v>0</v>
      </c>
      <c r="U55" s="62">
        <f t="shared" si="7"/>
        <v>0</v>
      </c>
      <c r="V55" s="15"/>
    </row>
    <row r="56" spans="1:22" x14ac:dyDescent="0.25">
      <c r="A56" s="25"/>
      <c r="B56" s="15" t="s">
        <v>71</v>
      </c>
      <c r="C56" s="56"/>
      <c r="D56" s="57"/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f t="shared" si="22"/>
        <v>0</v>
      </c>
      <c r="R56" s="371">
        <f t="shared" si="1"/>
        <v>0</v>
      </c>
      <c r="S56" s="15"/>
      <c r="T56" s="62">
        <f t="shared" si="20"/>
        <v>0</v>
      </c>
      <c r="U56" s="62">
        <f t="shared" si="7"/>
        <v>0</v>
      </c>
      <c r="V56" s="15"/>
    </row>
    <row r="57" spans="1:22" x14ac:dyDescent="0.25">
      <c r="A57" s="25"/>
      <c r="B57" s="15" t="s">
        <v>72</v>
      </c>
      <c r="C57" s="56"/>
      <c r="D57" s="57"/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f t="shared" si="22"/>
        <v>0</v>
      </c>
      <c r="R57" s="371">
        <f t="shared" si="1"/>
        <v>0</v>
      </c>
      <c r="S57" s="15"/>
      <c r="T57" s="62">
        <f t="shared" si="20"/>
        <v>0</v>
      </c>
      <c r="U57" s="62">
        <f t="shared" si="7"/>
        <v>0</v>
      </c>
      <c r="V57" s="15"/>
    </row>
    <row r="58" spans="1:22" x14ac:dyDescent="0.25">
      <c r="A58" s="25"/>
      <c r="B58" s="15" t="s">
        <v>73</v>
      </c>
      <c r="C58" s="56"/>
      <c r="D58" s="57"/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f t="shared" si="22"/>
        <v>0</v>
      </c>
      <c r="R58" s="371">
        <f t="shared" si="1"/>
        <v>0</v>
      </c>
      <c r="S58" s="15"/>
      <c r="T58" s="62">
        <f t="shared" si="20"/>
        <v>0</v>
      </c>
      <c r="U58" s="62">
        <f t="shared" si="7"/>
        <v>0</v>
      </c>
      <c r="V58" s="15"/>
    </row>
    <row r="59" spans="1:22" x14ac:dyDescent="0.25">
      <c r="A59" s="25"/>
      <c r="B59" s="15" t="s">
        <v>74</v>
      </c>
      <c r="C59" s="56">
        <f>21996.09+959.77+959.77</f>
        <v>23915.63</v>
      </c>
      <c r="D59" s="57">
        <f>C59/8</f>
        <v>2989.4537500000001</v>
      </c>
      <c r="E59" s="58">
        <v>959.77</v>
      </c>
      <c r="F59" s="58">
        <v>959.77</v>
      </c>
      <c r="G59" s="58">
        <v>959.77</v>
      </c>
      <c r="H59" s="58">
        <v>959.77</v>
      </c>
      <c r="I59" s="58">
        <v>959.77</v>
      </c>
      <c r="J59" s="58">
        <v>959.77</v>
      </c>
      <c r="K59" s="58">
        <v>959.77</v>
      </c>
      <c r="L59" s="58">
        <v>959.77</v>
      </c>
      <c r="M59" s="58">
        <v>959.77</v>
      </c>
      <c r="N59" s="58">
        <v>959.77</v>
      </c>
      <c r="O59" s="58">
        <v>959.77</v>
      </c>
      <c r="P59" s="58">
        <v>959.77</v>
      </c>
      <c r="Q59" s="58">
        <f t="shared" si="22"/>
        <v>11517.240000000003</v>
      </c>
      <c r="R59" s="371">
        <f t="shared" si="1"/>
        <v>959.77000000000032</v>
      </c>
      <c r="S59" s="15"/>
      <c r="T59" s="62">
        <f t="shared" si="20"/>
        <v>0.10915048066151961</v>
      </c>
      <c r="U59" s="62">
        <f t="shared" si="7"/>
        <v>-0.51842205285831888</v>
      </c>
      <c r="V59" s="15"/>
    </row>
    <row r="60" spans="1:22" x14ac:dyDescent="0.25">
      <c r="A60" s="25"/>
      <c r="B60" s="15" t="s">
        <v>75</v>
      </c>
      <c r="C60" s="56"/>
      <c r="D60" s="57"/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f t="shared" si="22"/>
        <v>0</v>
      </c>
      <c r="R60" s="371">
        <f t="shared" si="1"/>
        <v>0</v>
      </c>
      <c r="S60" s="15"/>
      <c r="T60" s="62">
        <f t="shared" si="20"/>
        <v>0</v>
      </c>
      <c r="U60" s="62">
        <f t="shared" si="7"/>
        <v>0</v>
      </c>
      <c r="V60" s="15"/>
    </row>
    <row r="61" spans="1:22" x14ac:dyDescent="0.25">
      <c r="A61" s="25"/>
      <c r="B61" s="15" t="s">
        <v>76</v>
      </c>
      <c r="C61" s="56"/>
      <c r="D61" s="57"/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f t="shared" si="22"/>
        <v>0</v>
      </c>
      <c r="R61" s="371">
        <f t="shared" si="1"/>
        <v>0</v>
      </c>
      <c r="S61" s="15"/>
      <c r="T61" s="62">
        <f t="shared" si="20"/>
        <v>0</v>
      </c>
      <c r="U61" s="62">
        <f t="shared" si="7"/>
        <v>0</v>
      </c>
      <c r="V61" s="15"/>
    </row>
    <row r="62" spans="1:22" x14ac:dyDescent="0.25">
      <c r="A62" s="63" t="s">
        <v>77</v>
      </c>
      <c r="B62" s="15" t="s">
        <v>48</v>
      </c>
      <c r="C62" s="91">
        <f t="shared" ref="C62:D62" si="23">SUM(C50:C61)</f>
        <v>24719.55</v>
      </c>
      <c r="D62" s="92">
        <f t="shared" si="23"/>
        <v>3089.9437499999999</v>
      </c>
      <c r="E62" s="93">
        <f>SUM(E50:E61)</f>
        <v>959.77</v>
      </c>
      <c r="F62" s="93">
        <f t="shared" ref="F62:Q62" si="24">SUM(F50:F61)</f>
        <v>959.77</v>
      </c>
      <c r="G62" s="93">
        <f t="shared" si="24"/>
        <v>959.77</v>
      </c>
      <c r="H62" s="93">
        <f t="shared" si="24"/>
        <v>959.77</v>
      </c>
      <c r="I62" s="93">
        <f t="shared" si="24"/>
        <v>959.77</v>
      </c>
      <c r="J62" s="93">
        <f t="shared" si="24"/>
        <v>959.77</v>
      </c>
      <c r="K62" s="93">
        <f t="shared" si="24"/>
        <v>959.77</v>
      </c>
      <c r="L62" s="93">
        <f t="shared" si="24"/>
        <v>959.77</v>
      </c>
      <c r="M62" s="93">
        <f t="shared" si="24"/>
        <v>959.77</v>
      </c>
      <c r="N62" s="93">
        <f t="shared" si="24"/>
        <v>959.77</v>
      </c>
      <c r="O62" s="93">
        <f t="shared" si="24"/>
        <v>959.77</v>
      </c>
      <c r="P62" s="93">
        <f t="shared" si="24"/>
        <v>959.77</v>
      </c>
      <c r="Q62" s="93">
        <f t="shared" si="24"/>
        <v>11517.240000000003</v>
      </c>
      <c r="R62" s="373">
        <f t="shared" si="1"/>
        <v>959.77000000000032</v>
      </c>
      <c r="T62" s="96">
        <f t="shared" si="20"/>
        <v>0.10915048066151961</v>
      </c>
      <c r="U62" s="96">
        <f t="shared" si="7"/>
        <v>-0.53408375152460286</v>
      </c>
    </row>
    <row r="63" spans="1:22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375"/>
      <c r="T63" s="107"/>
      <c r="U63" s="107"/>
    </row>
    <row r="64" spans="1:22" x14ac:dyDescent="0.25">
      <c r="A64" s="25"/>
      <c r="B64" s="15" t="s">
        <v>79</v>
      </c>
      <c r="C64" s="56"/>
      <c r="D64" s="57"/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f>SUM(E64:P64)</f>
        <v>0</v>
      </c>
      <c r="R64" s="371">
        <f t="shared" si="1"/>
        <v>0</v>
      </c>
      <c r="S64" s="15"/>
      <c r="T64" s="62">
        <f t="shared" si="20"/>
        <v>0</v>
      </c>
      <c r="U64" s="62">
        <f t="shared" si="7"/>
        <v>0</v>
      </c>
    </row>
    <row r="65" spans="1:22" x14ac:dyDescent="0.25">
      <c r="A65" s="25"/>
      <c r="B65" s="15" t="s">
        <v>80</v>
      </c>
      <c r="C65" s="56"/>
      <c r="D65" s="57"/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f>SUM(E65:P65)</f>
        <v>0</v>
      </c>
      <c r="R65" s="371">
        <f t="shared" si="1"/>
        <v>0</v>
      </c>
      <c r="S65" s="15"/>
      <c r="T65" s="62">
        <f t="shared" si="20"/>
        <v>0</v>
      </c>
      <c r="U65" s="62">
        <f t="shared" si="7"/>
        <v>0</v>
      </c>
    </row>
    <row r="66" spans="1:22" x14ac:dyDescent="0.25">
      <c r="A66" s="25"/>
      <c r="B66" s="15" t="s">
        <v>81</v>
      </c>
      <c r="C66" s="56"/>
      <c r="D66" s="57"/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f>SUM(E66:P66)</f>
        <v>0</v>
      </c>
      <c r="R66" s="371">
        <f t="shared" si="1"/>
        <v>0</v>
      </c>
      <c r="S66" s="15"/>
      <c r="T66" s="62">
        <f t="shared" si="20"/>
        <v>0</v>
      </c>
      <c r="U66" s="62">
        <f t="shared" si="7"/>
        <v>0</v>
      </c>
    </row>
    <row r="67" spans="1:22" x14ac:dyDescent="0.25">
      <c r="A67" s="25"/>
      <c r="B67" s="15" t="s">
        <v>82</v>
      </c>
      <c r="C67" s="56"/>
      <c r="D67" s="57"/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f t="shared" ref="Q67:Q72" si="25">SUM(E67:P67)</f>
        <v>0</v>
      </c>
      <c r="R67" s="371">
        <f t="shared" si="1"/>
        <v>0</v>
      </c>
      <c r="S67" s="15"/>
      <c r="T67" s="62">
        <f t="shared" si="20"/>
        <v>0</v>
      </c>
      <c r="U67" s="62">
        <f t="shared" si="7"/>
        <v>0</v>
      </c>
    </row>
    <row r="68" spans="1:22" x14ac:dyDescent="0.25">
      <c r="A68" s="25"/>
      <c r="B68" s="15" t="s">
        <v>83</v>
      </c>
      <c r="C68" s="56"/>
      <c r="D68" s="57"/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f t="shared" si="25"/>
        <v>0</v>
      </c>
      <c r="R68" s="371">
        <f t="shared" si="1"/>
        <v>0</v>
      </c>
      <c r="S68" s="15"/>
      <c r="T68" s="62">
        <f t="shared" si="20"/>
        <v>0</v>
      </c>
      <c r="U68" s="62">
        <f t="shared" si="7"/>
        <v>0</v>
      </c>
    </row>
    <row r="69" spans="1:22" x14ac:dyDescent="0.25">
      <c r="A69" s="25"/>
      <c r="B69" s="15" t="s">
        <v>84</v>
      </c>
      <c r="C69" s="56">
        <v>2837.66</v>
      </c>
      <c r="D69" s="57">
        <f>C69/12</f>
        <v>236.47166666666666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f t="shared" si="25"/>
        <v>0</v>
      </c>
      <c r="R69" s="371">
        <f t="shared" si="1"/>
        <v>0</v>
      </c>
      <c r="S69" s="15"/>
      <c r="T69" s="62">
        <f t="shared" si="20"/>
        <v>0</v>
      </c>
      <c r="U69" s="62">
        <f t="shared" si="7"/>
        <v>-1</v>
      </c>
    </row>
    <row r="70" spans="1:22" x14ac:dyDescent="0.25">
      <c r="A70" s="25"/>
      <c r="B70" s="15" t="s">
        <v>85</v>
      </c>
      <c r="C70" s="56"/>
      <c r="D70" s="57"/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f t="shared" si="25"/>
        <v>0</v>
      </c>
      <c r="R70" s="371">
        <f t="shared" si="1"/>
        <v>0</v>
      </c>
      <c r="S70" s="15"/>
      <c r="T70" s="62">
        <f t="shared" si="20"/>
        <v>0</v>
      </c>
      <c r="U70" s="62">
        <f t="shared" si="7"/>
        <v>0</v>
      </c>
    </row>
    <row r="71" spans="1:22" x14ac:dyDescent="0.25">
      <c r="A71" s="25"/>
      <c r="B71" s="15" t="s">
        <v>86</v>
      </c>
      <c r="C71" s="56"/>
      <c r="D71" s="57"/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f t="shared" si="25"/>
        <v>0</v>
      </c>
      <c r="R71" s="371">
        <f t="shared" si="1"/>
        <v>0</v>
      </c>
      <c r="S71" s="15"/>
      <c r="T71" s="62">
        <f t="shared" si="20"/>
        <v>0</v>
      </c>
      <c r="U71" s="62">
        <f t="shared" si="7"/>
        <v>0</v>
      </c>
    </row>
    <row r="72" spans="1:22" x14ac:dyDescent="0.25">
      <c r="A72" s="25"/>
      <c r="B72" s="15" t="s">
        <v>87</v>
      </c>
      <c r="C72" s="56"/>
      <c r="D72" s="57"/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f t="shared" si="25"/>
        <v>0</v>
      </c>
      <c r="R72" s="371">
        <f t="shared" si="1"/>
        <v>0</v>
      </c>
      <c r="S72" s="15"/>
      <c r="T72" s="62">
        <f t="shared" si="20"/>
        <v>0</v>
      </c>
      <c r="U72" s="62">
        <f t="shared" si="7"/>
        <v>0</v>
      </c>
    </row>
    <row r="73" spans="1:22" x14ac:dyDescent="0.25">
      <c r="A73" s="63" t="s">
        <v>88</v>
      </c>
      <c r="B73" s="15" t="s">
        <v>48</v>
      </c>
      <c r="C73" s="91">
        <f t="shared" ref="C73:Q73" si="26">SUM(C64:C72)</f>
        <v>2837.66</v>
      </c>
      <c r="D73" s="92">
        <f t="shared" si="26"/>
        <v>236.47166666666666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373">
        <f t="shared" si="1"/>
        <v>0</v>
      </c>
      <c r="T73" s="96">
        <f t="shared" si="20"/>
        <v>0</v>
      </c>
      <c r="U73" s="96">
        <f t="shared" si="7"/>
        <v>-1</v>
      </c>
    </row>
    <row r="74" spans="1:22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376"/>
      <c r="T74" s="112"/>
      <c r="U74" s="112"/>
    </row>
    <row r="75" spans="1:22" x14ac:dyDescent="0.25">
      <c r="A75" s="25"/>
      <c r="B75" s="15" t="s">
        <v>90</v>
      </c>
      <c r="C75" s="56"/>
      <c r="D75" s="57"/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f>SUM(E75:P75)</f>
        <v>0</v>
      </c>
      <c r="R75" s="371">
        <f t="shared" si="1"/>
        <v>0</v>
      </c>
      <c r="S75" s="15"/>
      <c r="T75" s="62">
        <f t="shared" si="20"/>
        <v>0</v>
      </c>
      <c r="U75" s="62">
        <f t="shared" si="7"/>
        <v>0</v>
      </c>
    </row>
    <row r="76" spans="1:22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f t="shared" si="28"/>
        <v>0</v>
      </c>
      <c r="J76" s="93">
        <f t="shared" si="28"/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373">
        <f t="shared" si="1"/>
        <v>0</v>
      </c>
      <c r="T76" s="96">
        <f t="shared" si="20"/>
        <v>0</v>
      </c>
      <c r="U76" s="96">
        <f t="shared" si="7"/>
        <v>0</v>
      </c>
    </row>
    <row r="77" spans="1:22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366"/>
      <c r="T77" s="22"/>
      <c r="U77" s="22"/>
    </row>
    <row r="78" spans="1:22" x14ac:dyDescent="0.25">
      <c r="A78" s="25"/>
      <c r="B78" s="15" t="s">
        <v>93</v>
      </c>
      <c r="C78" s="56"/>
      <c r="D78" s="57"/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f>SUM(E78:P78)</f>
        <v>0</v>
      </c>
      <c r="R78" s="371">
        <f t="shared" si="1"/>
        <v>0</v>
      </c>
      <c r="S78" s="15"/>
      <c r="T78" s="62">
        <f t="shared" si="20"/>
        <v>0</v>
      </c>
      <c r="U78" s="62">
        <f t="shared" si="7"/>
        <v>0</v>
      </c>
      <c r="V78" s="15"/>
    </row>
    <row r="79" spans="1:22" x14ac:dyDescent="0.25">
      <c r="A79" s="25"/>
      <c r="B79" s="15" t="s">
        <v>94</v>
      </c>
      <c r="C79" s="56"/>
      <c r="D79" s="57"/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f>SUM(E79:P79)</f>
        <v>0</v>
      </c>
      <c r="R79" s="371">
        <f>AVERAGE(E79:P79)</f>
        <v>0</v>
      </c>
      <c r="S79" s="15"/>
      <c r="T79" s="62">
        <f t="shared" si="20"/>
        <v>0</v>
      </c>
      <c r="U79" s="62">
        <f t="shared" si="7"/>
        <v>0</v>
      </c>
      <c r="V79" s="15"/>
    </row>
    <row r="80" spans="1:22" x14ac:dyDescent="0.25">
      <c r="A80" s="25"/>
      <c r="B80" s="15" t="s">
        <v>95</v>
      </c>
      <c r="C80" s="56"/>
      <c r="D80" s="57"/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58">
        <f>SUM(E80:P80)</f>
        <v>0</v>
      </c>
      <c r="R80" s="371">
        <f t="shared" si="1"/>
        <v>0</v>
      </c>
      <c r="S80" s="15"/>
      <c r="T80" s="62">
        <f t="shared" si="20"/>
        <v>0</v>
      </c>
      <c r="U80" s="62">
        <f t="shared" si="7"/>
        <v>0</v>
      </c>
      <c r="V80" s="15"/>
    </row>
    <row r="81" spans="1:22" x14ac:dyDescent="0.25">
      <c r="A81" s="25"/>
      <c r="B81" s="15" t="s">
        <v>96</v>
      </c>
      <c r="C81" s="56"/>
      <c r="D81" s="57"/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f>SUM(E81:P81)</f>
        <v>0</v>
      </c>
      <c r="R81" s="371">
        <f t="shared" si="1"/>
        <v>0</v>
      </c>
      <c r="S81" s="15"/>
      <c r="T81" s="62">
        <f t="shared" si="20"/>
        <v>0</v>
      </c>
      <c r="U81" s="62">
        <f t="shared" si="7"/>
        <v>0</v>
      </c>
      <c r="V81" s="15"/>
    </row>
    <row r="82" spans="1:22" x14ac:dyDescent="0.25">
      <c r="A82" s="63" t="s">
        <v>97</v>
      </c>
      <c r="B82" s="15" t="s">
        <v>48</v>
      </c>
      <c r="C82" s="91">
        <f t="shared" ref="C82:D82" si="29">SUM(C78:C81)</f>
        <v>0</v>
      </c>
      <c r="D82" s="92">
        <f t="shared" si="29"/>
        <v>0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373">
        <f t="shared" si="1"/>
        <v>0</v>
      </c>
      <c r="T82" s="96">
        <f t="shared" si="20"/>
        <v>0</v>
      </c>
      <c r="U82" s="96">
        <f t="shared" si="7"/>
        <v>0</v>
      </c>
    </row>
    <row r="83" spans="1:22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375"/>
      <c r="T83" s="55"/>
      <c r="U83" s="55"/>
    </row>
    <row r="84" spans="1:22" x14ac:dyDescent="0.25">
      <c r="A84" s="25"/>
      <c r="B84" s="15" t="s">
        <v>99</v>
      </c>
      <c r="C84" s="56"/>
      <c r="D84" s="57"/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f t="shared" ref="Q84:Q89" si="31">SUM(E84:P84)</f>
        <v>0</v>
      </c>
      <c r="R84" s="371">
        <f t="shared" si="1"/>
        <v>0</v>
      </c>
      <c r="S84" s="15"/>
      <c r="T84" s="62">
        <f t="shared" si="20"/>
        <v>0</v>
      </c>
      <c r="U84" s="62">
        <f t="shared" si="7"/>
        <v>0</v>
      </c>
    </row>
    <row r="85" spans="1:22" x14ac:dyDescent="0.25">
      <c r="A85" s="25"/>
      <c r="B85" s="15" t="s">
        <v>100</v>
      </c>
      <c r="C85" s="56"/>
      <c r="D85" s="57"/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f t="shared" si="31"/>
        <v>0</v>
      </c>
      <c r="R85" s="371">
        <f t="shared" si="1"/>
        <v>0</v>
      </c>
      <c r="S85" s="15"/>
      <c r="T85" s="62">
        <f t="shared" si="20"/>
        <v>0</v>
      </c>
      <c r="U85" s="62">
        <f t="shared" si="7"/>
        <v>0</v>
      </c>
    </row>
    <row r="86" spans="1:22" x14ac:dyDescent="0.25">
      <c r="A86" s="25"/>
      <c r="B86" s="15" t="s">
        <v>101</v>
      </c>
      <c r="C86" s="56"/>
      <c r="D86" s="57"/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f t="shared" si="31"/>
        <v>0</v>
      </c>
      <c r="R86" s="371">
        <f t="shared" si="1"/>
        <v>0</v>
      </c>
      <c r="S86" s="15"/>
      <c r="T86" s="62">
        <f t="shared" si="20"/>
        <v>0</v>
      </c>
      <c r="U86" s="62">
        <f t="shared" si="7"/>
        <v>0</v>
      </c>
    </row>
    <row r="87" spans="1:22" x14ac:dyDescent="0.25">
      <c r="A87" s="25"/>
      <c r="B87" s="15" t="s">
        <v>102</v>
      </c>
      <c r="C87" s="56"/>
      <c r="D87" s="57"/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f t="shared" si="31"/>
        <v>0</v>
      </c>
      <c r="R87" s="371">
        <f t="shared" si="1"/>
        <v>0</v>
      </c>
      <c r="S87" s="15"/>
      <c r="T87" s="62">
        <f t="shared" si="20"/>
        <v>0</v>
      </c>
      <c r="U87" s="62">
        <f t="shared" si="7"/>
        <v>0</v>
      </c>
    </row>
    <row r="88" spans="1:22" x14ac:dyDescent="0.25">
      <c r="A88" s="25"/>
      <c r="B88" s="15" t="s">
        <v>103</v>
      </c>
      <c r="C88" s="56"/>
      <c r="D88" s="57"/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f t="shared" si="31"/>
        <v>0</v>
      </c>
      <c r="R88" s="371">
        <f t="shared" ref="R88:R130" si="32">AVERAGE(E88:P88)</f>
        <v>0</v>
      </c>
      <c r="S88" s="15"/>
      <c r="T88" s="62">
        <f t="shared" si="20"/>
        <v>0</v>
      </c>
      <c r="U88" s="62">
        <f t="shared" si="7"/>
        <v>0</v>
      </c>
    </row>
    <row r="89" spans="1:22" x14ac:dyDescent="0.25">
      <c r="A89" s="25"/>
      <c r="B89" s="15" t="s">
        <v>104</v>
      </c>
      <c r="C89" s="56"/>
      <c r="D89" s="57"/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f t="shared" si="31"/>
        <v>0</v>
      </c>
      <c r="R89" s="371">
        <f t="shared" si="32"/>
        <v>0</v>
      </c>
      <c r="S89" s="15"/>
      <c r="T89" s="62">
        <f t="shared" si="20"/>
        <v>0</v>
      </c>
      <c r="U89" s="62">
        <f t="shared" ref="U89:U137" si="33">IFERROR((Q89-C89)/C89,0)</f>
        <v>0</v>
      </c>
    </row>
    <row r="90" spans="1:22" x14ac:dyDescent="0.25">
      <c r="A90" s="63" t="s">
        <v>105</v>
      </c>
      <c r="B90" s="15" t="s">
        <v>48</v>
      </c>
      <c r="C90" s="91">
        <f t="shared" ref="C90:D90" si="34">SUM(C84:C89)</f>
        <v>0</v>
      </c>
      <c r="D90" s="92">
        <f t="shared" si="34"/>
        <v>0</v>
      </c>
      <c r="E90" s="93">
        <f t="shared" ref="E90:Q90" si="35">SUM(E84:E89)</f>
        <v>0</v>
      </c>
      <c r="F90" s="93">
        <f t="shared" si="35"/>
        <v>0</v>
      </c>
      <c r="G90" s="93">
        <f t="shared" si="35"/>
        <v>0</v>
      </c>
      <c r="H90" s="93">
        <f t="shared" si="35"/>
        <v>0</v>
      </c>
      <c r="I90" s="93">
        <f t="shared" si="35"/>
        <v>0</v>
      </c>
      <c r="J90" s="93">
        <f t="shared" si="35"/>
        <v>0</v>
      </c>
      <c r="K90" s="93">
        <f t="shared" si="35"/>
        <v>0</v>
      </c>
      <c r="L90" s="93">
        <f t="shared" si="35"/>
        <v>0</v>
      </c>
      <c r="M90" s="93">
        <f t="shared" si="35"/>
        <v>0</v>
      </c>
      <c r="N90" s="93">
        <f t="shared" si="35"/>
        <v>0</v>
      </c>
      <c r="O90" s="93">
        <f t="shared" si="35"/>
        <v>0</v>
      </c>
      <c r="P90" s="93">
        <f t="shared" si="35"/>
        <v>0</v>
      </c>
      <c r="Q90" s="93">
        <f t="shared" si="35"/>
        <v>0</v>
      </c>
      <c r="R90" s="373">
        <f>AVERAGE(E90:P90)</f>
        <v>0</v>
      </c>
      <c r="T90" s="96">
        <f t="shared" si="20"/>
        <v>0</v>
      </c>
      <c r="U90" s="96">
        <f t="shared" si="33"/>
        <v>0</v>
      </c>
    </row>
    <row r="91" spans="1:22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367"/>
      <c r="T91" s="69"/>
      <c r="U91" s="69"/>
    </row>
    <row r="92" spans="1:22" x14ac:dyDescent="0.25">
      <c r="A92" s="15"/>
      <c r="B92" s="15" t="s">
        <v>107</v>
      </c>
      <c r="C92" s="56">
        <f>2252.75</f>
        <v>2252.75</v>
      </c>
      <c r="D92" s="57">
        <f>C92/8</f>
        <v>281.59375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f>SUM(E92:P92)</f>
        <v>0</v>
      </c>
      <c r="R92" s="371">
        <f>AVERAGE(E92:P92)</f>
        <v>0</v>
      </c>
      <c r="S92" s="15"/>
      <c r="T92" s="62">
        <f t="shared" si="20"/>
        <v>0</v>
      </c>
      <c r="U92" s="62">
        <f t="shared" si="33"/>
        <v>-1</v>
      </c>
    </row>
    <row r="93" spans="1:22" x14ac:dyDescent="0.25">
      <c r="A93" s="25"/>
      <c r="B93" s="15" t="s">
        <v>108</v>
      </c>
      <c r="C93" s="56">
        <v>0</v>
      </c>
      <c r="D93" s="57">
        <f>C93/8</f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f>SUM(E93:P93)</f>
        <v>0</v>
      </c>
      <c r="R93" s="371">
        <f t="shared" si="32"/>
        <v>0</v>
      </c>
      <c r="S93" s="15"/>
      <c r="T93" s="62">
        <f t="shared" si="20"/>
        <v>0</v>
      </c>
      <c r="U93" s="62">
        <f t="shared" si="33"/>
        <v>0</v>
      </c>
    </row>
    <row r="94" spans="1:22" x14ac:dyDescent="0.25">
      <c r="A94" s="25"/>
      <c r="B94" s="15" t="s">
        <v>109</v>
      </c>
      <c r="C94" s="56">
        <v>135.82</v>
      </c>
      <c r="D94" s="57">
        <f>C94/8</f>
        <v>16.977499999999999</v>
      </c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f>SUM(E94:P94)</f>
        <v>0</v>
      </c>
      <c r="R94" s="371">
        <f t="shared" si="32"/>
        <v>0</v>
      </c>
      <c r="S94" s="15"/>
      <c r="T94" s="62">
        <f t="shared" si="20"/>
        <v>0</v>
      </c>
      <c r="U94" s="62">
        <f t="shared" si="33"/>
        <v>-1</v>
      </c>
    </row>
    <row r="95" spans="1:22" x14ac:dyDescent="0.25">
      <c r="A95" s="63" t="s">
        <v>110</v>
      </c>
      <c r="B95" s="15"/>
      <c r="C95" s="91">
        <f t="shared" ref="C95:Q95" si="36">SUM(C92:C94)</f>
        <v>2388.5700000000002</v>
      </c>
      <c r="D95" s="92">
        <f t="shared" si="36"/>
        <v>298.57125000000002</v>
      </c>
      <c r="E95" s="93">
        <f t="shared" si="36"/>
        <v>0</v>
      </c>
      <c r="F95" s="93">
        <f t="shared" si="36"/>
        <v>0</v>
      </c>
      <c r="G95" s="93">
        <f t="shared" si="36"/>
        <v>0</v>
      </c>
      <c r="H95" s="93">
        <f t="shared" si="36"/>
        <v>0</v>
      </c>
      <c r="I95" s="93">
        <f t="shared" si="36"/>
        <v>0</v>
      </c>
      <c r="J95" s="93">
        <f t="shared" si="36"/>
        <v>0</v>
      </c>
      <c r="K95" s="93">
        <f t="shared" si="36"/>
        <v>0</v>
      </c>
      <c r="L95" s="93">
        <f t="shared" si="36"/>
        <v>0</v>
      </c>
      <c r="M95" s="93">
        <f t="shared" si="36"/>
        <v>0</v>
      </c>
      <c r="N95" s="93">
        <f t="shared" si="36"/>
        <v>0</v>
      </c>
      <c r="O95" s="93">
        <f t="shared" si="36"/>
        <v>0</v>
      </c>
      <c r="P95" s="93">
        <f t="shared" si="36"/>
        <v>0</v>
      </c>
      <c r="Q95" s="93">
        <f t="shared" si="36"/>
        <v>0</v>
      </c>
      <c r="R95" s="373">
        <f t="shared" si="32"/>
        <v>0</v>
      </c>
      <c r="T95" s="96">
        <f t="shared" si="20"/>
        <v>0</v>
      </c>
      <c r="U95" s="96">
        <f t="shared" si="33"/>
        <v>-1</v>
      </c>
    </row>
    <row r="96" spans="1:22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366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f t="shared" ref="Q97:Q120" si="37">SUM(E97:P97)</f>
        <v>0</v>
      </c>
      <c r="R97" s="371">
        <f t="shared" si="32"/>
        <v>0</v>
      </c>
      <c r="S97" s="15"/>
      <c r="T97" s="62">
        <f t="shared" si="20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f t="shared" si="37"/>
        <v>0</v>
      </c>
      <c r="R98" s="371">
        <f t="shared" si="32"/>
        <v>0</v>
      </c>
      <c r="S98" s="15"/>
      <c r="T98" s="62">
        <f t="shared" si="20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>
        <v>650.16</v>
      </c>
      <c r="D99" s="57">
        <f>C99/8</f>
        <v>81.27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f t="shared" si="37"/>
        <v>0</v>
      </c>
      <c r="R99" s="371">
        <f t="shared" si="32"/>
        <v>0</v>
      </c>
      <c r="S99" s="15"/>
      <c r="T99" s="62">
        <f t="shared" si="20"/>
        <v>0</v>
      </c>
      <c r="U99" s="62">
        <f t="shared" si="33"/>
        <v>-1</v>
      </c>
    </row>
    <row r="100" spans="1:21" x14ac:dyDescent="0.25">
      <c r="A100" s="25"/>
      <c r="B100" s="15" t="s">
        <v>115</v>
      </c>
      <c r="C100" s="56"/>
      <c r="D100" s="57"/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f t="shared" si="37"/>
        <v>0</v>
      </c>
      <c r="R100" s="371">
        <f t="shared" si="32"/>
        <v>0</v>
      </c>
      <c r="S100" s="15"/>
      <c r="T100" s="62">
        <f t="shared" si="20"/>
        <v>0</v>
      </c>
      <c r="U100" s="62">
        <f t="shared" si="33"/>
        <v>0</v>
      </c>
    </row>
    <row r="101" spans="1:21" x14ac:dyDescent="0.25">
      <c r="A101" s="25"/>
      <c r="B101" s="15" t="s">
        <v>116</v>
      </c>
      <c r="C101" s="56">
        <f>240/10*12</f>
        <v>288</v>
      </c>
      <c r="D101" s="57">
        <f>C101/12</f>
        <v>24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f t="shared" si="37"/>
        <v>0</v>
      </c>
      <c r="R101" s="371">
        <f t="shared" si="32"/>
        <v>0</v>
      </c>
      <c r="S101" s="15"/>
      <c r="T101" s="62">
        <f t="shared" si="20"/>
        <v>0</v>
      </c>
      <c r="U101" s="62">
        <f t="shared" si="33"/>
        <v>-1</v>
      </c>
    </row>
    <row r="102" spans="1:21" x14ac:dyDescent="0.25">
      <c r="A102" s="25"/>
      <c r="B102" s="15" t="s">
        <v>117</v>
      </c>
      <c r="C102" s="56"/>
      <c r="D102" s="57"/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f t="shared" si="37"/>
        <v>0</v>
      </c>
      <c r="R102" s="371">
        <f t="shared" si="32"/>
        <v>0</v>
      </c>
      <c r="S102" s="15"/>
      <c r="T102" s="62">
        <f t="shared" si="20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/>
      <c r="D103" s="57"/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58">
        <v>0</v>
      </c>
      <c r="Q103" s="58">
        <f t="shared" si="37"/>
        <v>0</v>
      </c>
      <c r="R103" s="371">
        <f t="shared" si="32"/>
        <v>0</v>
      </c>
      <c r="S103" s="15"/>
      <c r="T103" s="62">
        <f t="shared" ref="T103:T135" si="38">Q103/$Q$34</f>
        <v>0</v>
      </c>
      <c r="U103" s="62">
        <f t="shared" si="33"/>
        <v>0</v>
      </c>
    </row>
    <row r="104" spans="1:21" x14ac:dyDescent="0.25">
      <c r="A104" s="25"/>
      <c r="B104" s="15" t="s">
        <v>119</v>
      </c>
      <c r="C104" s="56">
        <v>713.42</v>
      </c>
      <c r="D104" s="57">
        <f>C104/7</f>
        <v>101.91714285714285</v>
      </c>
      <c r="E104" s="58">
        <f>(50*(E7+E8))+(25*(E9+E10))+(10*(E11+E12))+(15*E13)</f>
        <v>235</v>
      </c>
      <c r="F104" s="58">
        <f t="shared" ref="F104:P104" si="39">(50*(F7+F8))+(25*(F9+F10))+(10*(F11+F12))+(15*F13)</f>
        <v>235</v>
      </c>
      <c r="G104" s="58">
        <f t="shared" si="39"/>
        <v>235</v>
      </c>
      <c r="H104" s="58">
        <f t="shared" si="39"/>
        <v>235</v>
      </c>
      <c r="I104" s="58">
        <f t="shared" si="39"/>
        <v>235</v>
      </c>
      <c r="J104" s="58">
        <f t="shared" si="39"/>
        <v>235</v>
      </c>
      <c r="K104" s="58">
        <f t="shared" si="39"/>
        <v>245</v>
      </c>
      <c r="L104" s="58">
        <f>(50*(L7+L8))+(25*(L9+L10))+(10*(L11+L12))+(15*L13)</f>
        <v>245</v>
      </c>
      <c r="M104" s="58">
        <f t="shared" si="39"/>
        <v>245</v>
      </c>
      <c r="N104" s="58">
        <f t="shared" si="39"/>
        <v>245</v>
      </c>
      <c r="O104" s="58">
        <f t="shared" si="39"/>
        <v>245</v>
      </c>
      <c r="P104" s="58">
        <f t="shared" si="39"/>
        <v>245</v>
      </c>
      <c r="Q104" s="58">
        <f t="shared" si="37"/>
        <v>2880</v>
      </c>
      <c r="R104" s="371">
        <f t="shared" si="32"/>
        <v>240</v>
      </c>
      <c r="S104" s="15"/>
      <c r="T104" s="62">
        <f t="shared" si="38"/>
        <v>2.7294159391067337E-2</v>
      </c>
      <c r="U104" s="62">
        <f t="shared" si="33"/>
        <v>3.0368927139693307</v>
      </c>
    </row>
    <row r="105" spans="1:21" x14ac:dyDescent="0.25">
      <c r="A105" s="25"/>
      <c r="B105" s="15" t="s">
        <v>120</v>
      </c>
      <c r="C105" s="56"/>
      <c r="D105" s="57"/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f t="shared" si="37"/>
        <v>0</v>
      </c>
      <c r="R105" s="371">
        <f t="shared" si="32"/>
        <v>0</v>
      </c>
      <c r="S105" s="15"/>
      <c r="T105" s="62">
        <f t="shared" si="38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f t="shared" si="37"/>
        <v>0</v>
      </c>
      <c r="R106" s="371">
        <f t="shared" si="32"/>
        <v>0</v>
      </c>
      <c r="S106" s="15"/>
      <c r="T106" s="62">
        <f t="shared" si="38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f t="shared" si="37"/>
        <v>0</v>
      </c>
      <c r="R107" s="371">
        <f t="shared" si="32"/>
        <v>0</v>
      </c>
      <c r="S107" s="15"/>
      <c r="T107" s="62">
        <f t="shared" si="38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f t="shared" si="37"/>
        <v>0</v>
      </c>
      <c r="R108" s="371">
        <f t="shared" si="32"/>
        <v>0</v>
      </c>
      <c r="S108" s="15"/>
      <c r="T108" s="62">
        <f t="shared" si="38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f t="shared" si="37"/>
        <v>0</v>
      </c>
      <c r="R109" s="371">
        <f t="shared" si="32"/>
        <v>0</v>
      </c>
      <c r="S109" s="15"/>
      <c r="T109" s="62">
        <f t="shared" si="38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f t="shared" si="37"/>
        <v>0</v>
      </c>
      <c r="R110" s="371">
        <f t="shared" si="32"/>
        <v>0</v>
      </c>
      <c r="S110" s="15"/>
      <c r="T110" s="62">
        <f t="shared" si="38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>
        <v>98</v>
      </c>
      <c r="D111" s="57">
        <f>C111/8</f>
        <v>12.25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f t="shared" si="37"/>
        <v>0</v>
      </c>
      <c r="R111" s="371">
        <f t="shared" si="32"/>
        <v>0</v>
      </c>
      <c r="S111" s="15"/>
      <c r="T111" s="62">
        <f t="shared" si="38"/>
        <v>0</v>
      </c>
      <c r="U111" s="62">
        <f t="shared" si="33"/>
        <v>-1</v>
      </c>
    </row>
    <row r="112" spans="1:21" x14ac:dyDescent="0.25">
      <c r="A112" s="25"/>
      <c r="B112" s="15" t="s">
        <v>127</v>
      </c>
      <c r="C112" s="56"/>
      <c r="D112" s="57"/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f t="shared" si="37"/>
        <v>0</v>
      </c>
      <c r="R112" s="371">
        <f t="shared" si="32"/>
        <v>0</v>
      </c>
      <c r="S112" s="15"/>
      <c r="T112" s="62">
        <f t="shared" si="38"/>
        <v>0</v>
      </c>
      <c r="U112" s="62">
        <f t="shared" si="33"/>
        <v>0</v>
      </c>
    </row>
    <row r="113" spans="1:22" x14ac:dyDescent="0.25">
      <c r="A113" s="25"/>
      <c r="B113" s="15" t="s">
        <v>128</v>
      </c>
      <c r="C113" s="56"/>
      <c r="D113" s="57"/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f t="shared" si="37"/>
        <v>0</v>
      </c>
      <c r="R113" s="371">
        <f t="shared" si="32"/>
        <v>0</v>
      </c>
      <c r="S113" s="15"/>
      <c r="T113" s="62">
        <f t="shared" si="38"/>
        <v>0</v>
      </c>
      <c r="U113" s="62">
        <f t="shared" si="33"/>
        <v>0</v>
      </c>
    </row>
    <row r="114" spans="1:22" x14ac:dyDescent="0.25">
      <c r="A114" s="25"/>
      <c r="B114" s="15" t="s">
        <v>129</v>
      </c>
      <c r="C114" s="56"/>
      <c r="D114" s="57"/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f t="shared" si="37"/>
        <v>0</v>
      </c>
      <c r="R114" s="371">
        <f t="shared" si="32"/>
        <v>0</v>
      </c>
      <c r="S114" s="15"/>
      <c r="T114" s="62">
        <f t="shared" si="38"/>
        <v>0</v>
      </c>
      <c r="U114" s="62">
        <f t="shared" si="33"/>
        <v>0</v>
      </c>
      <c r="V114" s="15"/>
    </row>
    <row r="115" spans="1:22" x14ac:dyDescent="0.25">
      <c r="A115" s="25"/>
      <c r="B115" s="15" t="s">
        <v>130</v>
      </c>
      <c r="C115" s="56"/>
      <c r="D115" s="57"/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f t="shared" si="37"/>
        <v>0</v>
      </c>
      <c r="R115" s="371">
        <f t="shared" si="32"/>
        <v>0</v>
      </c>
      <c r="S115" s="15"/>
      <c r="T115" s="62">
        <f t="shared" si="38"/>
        <v>0</v>
      </c>
      <c r="U115" s="62">
        <f t="shared" si="33"/>
        <v>0</v>
      </c>
    </row>
    <row r="116" spans="1:22" x14ac:dyDescent="0.25">
      <c r="A116" s="25"/>
      <c r="B116" s="15" t="s">
        <v>131</v>
      </c>
      <c r="C116" s="56"/>
      <c r="D116" s="57"/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f t="shared" si="37"/>
        <v>0</v>
      </c>
      <c r="R116" s="371">
        <f t="shared" si="32"/>
        <v>0</v>
      </c>
      <c r="S116" s="15"/>
      <c r="T116" s="62">
        <f t="shared" si="38"/>
        <v>0</v>
      </c>
      <c r="U116" s="62">
        <f t="shared" si="33"/>
        <v>0</v>
      </c>
    </row>
    <row r="117" spans="1:22" x14ac:dyDescent="0.25">
      <c r="A117" s="25"/>
      <c r="B117" s="15" t="s">
        <v>132</v>
      </c>
      <c r="C117" s="56"/>
      <c r="D117" s="57"/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f t="shared" si="37"/>
        <v>0</v>
      </c>
      <c r="R117" s="371">
        <f t="shared" si="32"/>
        <v>0</v>
      </c>
      <c r="S117" s="15"/>
      <c r="T117" s="62">
        <f t="shared" si="38"/>
        <v>0</v>
      </c>
      <c r="U117" s="62">
        <f t="shared" si="33"/>
        <v>0</v>
      </c>
    </row>
    <row r="118" spans="1:22" x14ac:dyDescent="0.25">
      <c r="A118" s="25"/>
      <c r="B118" s="15" t="s">
        <v>133</v>
      </c>
      <c r="C118" s="56"/>
      <c r="D118" s="57"/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f t="shared" si="37"/>
        <v>0</v>
      </c>
      <c r="R118" s="371">
        <f t="shared" si="32"/>
        <v>0</v>
      </c>
      <c r="S118" s="15"/>
      <c r="T118" s="62">
        <f t="shared" si="38"/>
        <v>0</v>
      </c>
      <c r="U118" s="62">
        <f t="shared" si="33"/>
        <v>0</v>
      </c>
    </row>
    <row r="119" spans="1:22" x14ac:dyDescent="0.25">
      <c r="A119" s="25"/>
      <c r="B119" s="15" t="s">
        <v>134</v>
      </c>
      <c r="C119" s="56"/>
      <c r="D119" s="57"/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f>SUM(E119:P119)</f>
        <v>0</v>
      </c>
      <c r="R119" s="371">
        <f>AVERAGE(E119:P119)</f>
        <v>0</v>
      </c>
      <c r="S119" s="15"/>
      <c r="T119" s="62">
        <f t="shared" si="38"/>
        <v>0</v>
      </c>
      <c r="U119" s="62">
        <f t="shared" si="33"/>
        <v>0</v>
      </c>
    </row>
    <row r="120" spans="1:22" x14ac:dyDescent="0.25">
      <c r="A120" s="25"/>
      <c r="B120" s="15" t="s">
        <v>135</v>
      </c>
      <c r="C120" s="56"/>
      <c r="D120" s="57"/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f t="shared" si="37"/>
        <v>0</v>
      </c>
      <c r="R120" s="371">
        <f t="shared" si="32"/>
        <v>0</v>
      </c>
      <c r="S120" s="15"/>
      <c r="T120" s="62">
        <f t="shared" si="38"/>
        <v>0</v>
      </c>
      <c r="U120" s="62">
        <f t="shared" si="33"/>
        <v>0</v>
      </c>
    </row>
    <row r="121" spans="1:22" x14ac:dyDescent="0.25">
      <c r="A121" s="63" t="s">
        <v>136</v>
      </c>
      <c r="B121" s="15" t="s">
        <v>48</v>
      </c>
      <c r="C121" s="91">
        <f t="shared" ref="C121:Q121" si="40">SUM(C97:C120)</f>
        <v>1749.58</v>
      </c>
      <c r="D121" s="92">
        <f t="shared" si="40"/>
        <v>219.43714285714285</v>
      </c>
      <c r="E121" s="93">
        <f t="shared" si="40"/>
        <v>235</v>
      </c>
      <c r="F121" s="93">
        <f t="shared" si="40"/>
        <v>235</v>
      </c>
      <c r="G121" s="93">
        <f t="shared" si="40"/>
        <v>235</v>
      </c>
      <c r="H121" s="93">
        <f t="shared" si="40"/>
        <v>235</v>
      </c>
      <c r="I121" s="93">
        <f t="shared" si="40"/>
        <v>235</v>
      </c>
      <c r="J121" s="93">
        <f t="shared" si="40"/>
        <v>235</v>
      </c>
      <c r="K121" s="93">
        <f t="shared" si="40"/>
        <v>245</v>
      </c>
      <c r="L121" s="93">
        <f t="shared" si="40"/>
        <v>245</v>
      </c>
      <c r="M121" s="93">
        <f t="shared" si="40"/>
        <v>245</v>
      </c>
      <c r="N121" s="93">
        <f t="shared" si="40"/>
        <v>245</v>
      </c>
      <c r="O121" s="93">
        <f t="shared" si="40"/>
        <v>245</v>
      </c>
      <c r="P121" s="93">
        <f t="shared" si="40"/>
        <v>245</v>
      </c>
      <c r="Q121" s="93">
        <f t="shared" si="40"/>
        <v>2880</v>
      </c>
      <c r="R121" s="373">
        <f>AVERAGE(E121:P121)</f>
        <v>240</v>
      </c>
      <c r="T121" s="96">
        <f t="shared" si="38"/>
        <v>2.7294159391067337E-2</v>
      </c>
      <c r="U121" s="96">
        <f t="shared" si="33"/>
        <v>0.64610935195875585</v>
      </c>
    </row>
    <row r="122" spans="1:22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366"/>
      <c r="T122" s="22"/>
      <c r="U122" s="22"/>
    </row>
    <row r="123" spans="1:22" ht="23.25" x14ac:dyDescent="0.25">
      <c r="A123" s="25"/>
      <c r="B123" s="15" t="s">
        <v>138</v>
      </c>
      <c r="C123" s="56"/>
      <c r="D123" s="57"/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f>SUM(E123:P123)</f>
        <v>0</v>
      </c>
      <c r="R123" s="371">
        <f t="shared" si="32"/>
        <v>0</v>
      </c>
      <c r="S123" s="15"/>
      <c r="T123" s="62">
        <f t="shared" si="38"/>
        <v>0</v>
      </c>
      <c r="U123" s="62">
        <f t="shared" si="33"/>
        <v>0</v>
      </c>
    </row>
    <row r="124" spans="1:22" x14ac:dyDescent="0.25">
      <c r="A124" s="63" t="s">
        <v>139</v>
      </c>
      <c r="B124" s="15" t="s">
        <v>48</v>
      </c>
      <c r="C124" s="91">
        <f t="shared" ref="C124:Q124" si="41">SUM(C123:C123)</f>
        <v>0</v>
      </c>
      <c r="D124" s="92">
        <f t="shared" si="41"/>
        <v>0</v>
      </c>
      <c r="E124" s="93">
        <f t="shared" si="41"/>
        <v>0</v>
      </c>
      <c r="F124" s="93">
        <f t="shared" si="41"/>
        <v>0</v>
      </c>
      <c r="G124" s="93">
        <f t="shared" si="41"/>
        <v>0</v>
      </c>
      <c r="H124" s="93">
        <f t="shared" si="41"/>
        <v>0</v>
      </c>
      <c r="I124" s="93">
        <f t="shared" si="41"/>
        <v>0</v>
      </c>
      <c r="J124" s="93">
        <f t="shared" si="41"/>
        <v>0</v>
      </c>
      <c r="K124" s="93">
        <f t="shared" si="41"/>
        <v>0</v>
      </c>
      <c r="L124" s="93">
        <f t="shared" si="41"/>
        <v>0</v>
      </c>
      <c r="M124" s="93">
        <f t="shared" si="41"/>
        <v>0</v>
      </c>
      <c r="N124" s="93">
        <f t="shared" si="41"/>
        <v>0</v>
      </c>
      <c r="O124" s="93">
        <f t="shared" si="41"/>
        <v>0</v>
      </c>
      <c r="P124" s="93">
        <f t="shared" si="41"/>
        <v>0</v>
      </c>
      <c r="Q124" s="93">
        <f t="shared" si="41"/>
        <v>0</v>
      </c>
      <c r="R124" s="373">
        <f t="shared" si="32"/>
        <v>0</v>
      </c>
      <c r="T124" s="96">
        <f t="shared" si="38"/>
        <v>0</v>
      </c>
      <c r="U124" s="96">
        <f t="shared" si="33"/>
        <v>0</v>
      </c>
    </row>
    <row r="125" spans="1:22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377"/>
      <c r="T125" s="141"/>
      <c r="U125" s="141"/>
    </row>
    <row r="126" spans="1:22" x14ac:dyDescent="0.25">
      <c r="A126" s="63"/>
      <c r="B126" s="15" t="s">
        <v>141</v>
      </c>
      <c r="C126" s="56">
        <f>570/10*12</f>
        <v>684</v>
      </c>
      <c r="D126" s="57">
        <f>C126/12</f>
        <v>57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f>SUM(E126:P126)</f>
        <v>0</v>
      </c>
      <c r="R126" s="371">
        <f t="shared" si="32"/>
        <v>0</v>
      </c>
      <c r="S126" s="15"/>
      <c r="T126" s="62">
        <f t="shared" si="38"/>
        <v>0</v>
      </c>
      <c r="U126" s="62">
        <f t="shared" si="33"/>
        <v>-1</v>
      </c>
    </row>
    <row r="127" spans="1:22" x14ac:dyDescent="0.25">
      <c r="A127" s="63" t="s">
        <v>142</v>
      </c>
      <c r="B127" s="15"/>
      <c r="C127" s="137">
        <f t="shared" ref="C127:Q127" si="42">SUM(C126:C126)</f>
        <v>684</v>
      </c>
      <c r="D127" s="138">
        <f t="shared" si="42"/>
        <v>57</v>
      </c>
      <c r="E127" s="139">
        <f t="shared" si="42"/>
        <v>0</v>
      </c>
      <c r="F127" s="139">
        <f t="shared" si="42"/>
        <v>0</v>
      </c>
      <c r="G127" s="139">
        <f t="shared" si="42"/>
        <v>0</v>
      </c>
      <c r="H127" s="139">
        <f t="shared" si="42"/>
        <v>0</v>
      </c>
      <c r="I127" s="139">
        <f t="shared" si="42"/>
        <v>0</v>
      </c>
      <c r="J127" s="139">
        <f t="shared" si="42"/>
        <v>0</v>
      </c>
      <c r="K127" s="139">
        <f t="shared" si="42"/>
        <v>0</v>
      </c>
      <c r="L127" s="139">
        <f t="shared" si="42"/>
        <v>0</v>
      </c>
      <c r="M127" s="139">
        <f t="shared" si="42"/>
        <v>0</v>
      </c>
      <c r="N127" s="139">
        <f t="shared" si="42"/>
        <v>0</v>
      </c>
      <c r="O127" s="139">
        <f t="shared" si="42"/>
        <v>0</v>
      </c>
      <c r="P127" s="139">
        <f t="shared" si="42"/>
        <v>0</v>
      </c>
      <c r="Q127" s="139">
        <f t="shared" si="42"/>
        <v>0</v>
      </c>
      <c r="R127" s="377">
        <f t="shared" si="32"/>
        <v>0</v>
      </c>
      <c r="T127" s="141">
        <f t="shared" si="38"/>
        <v>0</v>
      </c>
      <c r="U127" s="141">
        <f t="shared" si="33"/>
        <v>-1</v>
      </c>
    </row>
    <row r="128" spans="1:22" s="142" customFormat="1" x14ac:dyDescent="0.25">
      <c r="A128" s="63" t="s">
        <v>143</v>
      </c>
      <c r="B128" s="142" t="s">
        <v>48</v>
      </c>
      <c r="C128" s="71">
        <f t="shared" ref="C128:Q128" si="43">C124+C121+C90+C82+C73+C62+C48+C95+C76+C127</f>
        <v>54716.800000000003</v>
      </c>
      <c r="D128" s="72">
        <f t="shared" si="43"/>
        <v>6693.60380952381</v>
      </c>
      <c r="E128" s="73">
        <f t="shared" si="43"/>
        <v>1194.77</v>
      </c>
      <c r="F128" s="73">
        <f t="shared" si="43"/>
        <v>1194.77</v>
      </c>
      <c r="G128" s="73">
        <f t="shared" si="43"/>
        <v>1194.77</v>
      </c>
      <c r="H128" s="73">
        <f t="shared" si="43"/>
        <v>1194.77</v>
      </c>
      <c r="I128" s="73">
        <f t="shared" si="43"/>
        <v>1194.77</v>
      </c>
      <c r="J128" s="73">
        <f t="shared" si="43"/>
        <v>1194.77</v>
      </c>
      <c r="K128" s="73">
        <f t="shared" si="43"/>
        <v>1204.77</v>
      </c>
      <c r="L128" s="73">
        <f t="shared" si="43"/>
        <v>1204.77</v>
      </c>
      <c r="M128" s="73">
        <f t="shared" si="43"/>
        <v>1204.77</v>
      </c>
      <c r="N128" s="73">
        <f t="shared" si="43"/>
        <v>1204.77</v>
      </c>
      <c r="O128" s="73">
        <f t="shared" si="43"/>
        <v>1204.77</v>
      </c>
      <c r="P128" s="73">
        <f t="shared" si="43"/>
        <v>1204.77</v>
      </c>
      <c r="Q128" s="73">
        <f t="shared" si="43"/>
        <v>14397.240000000003</v>
      </c>
      <c r="R128" s="368">
        <f t="shared" si="32"/>
        <v>1199.7700000000002</v>
      </c>
      <c r="T128" s="76">
        <f t="shared" si="38"/>
        <v>0.13644464005258694</v>
      </c>
      <c r="U128" s="76">
        <f t="shared" si="33"/>
        <v>-0.73687715655886299</v>
      </c>
    </row>
    <row r="129" spans="1:21" x14ac:dyDescent="0.25">
      <c r="A129" s="78" t="s">
        <v>144</v>
      </c>
      <c r="B129" t="s">
        <v>48</v>
      </c>
      <c r="C129" s="79">
        <f t="shared" ref="C129:Q129" si="44">C34-C128</f>
        <v>16700.830000000002</v>
      </c>
      <c r="D129" s="80">
        <f t="shared" si="44"/>
        <v>-6831.2963095238092</v>
      </c>
      <c r="E129" s="81">
        <f t="shared" si="44"/>
        <v>7533.369999999999</v>
      </c>
      <c r="F129" s="81">
        <f t="shared" si="44"/>
        <v>7533.369999999999</v>
      </c>
      <c r="G129" s="81">
        <f t="shared" si="44"/>
        <v>7533.369999999999</v>
      </c>
      <c r="H129" s="81">
        <f t="shared" si="44"/>
        <v>7533.369999999999</v>
      </c>
      <c r="I129" s="81">
        <f t="shared" si="44"/>
        <v>7533.369999999999</v>
      </c>
      <c r="J129" s="81">
        <f t="shared" si="44"/>
        <v>7533.369999999999</v>
      </c>
      <c r="K129" s="81">
        <f t="shared" si="44"/>
        <v>7653.27</v>
      </c>
      <c r="L129" s="81">
        <f t="shared" si="44"/>
        <v>7653.27</v>
      </c>
      <c r="M129" s="81">
        <f t="shared" si="44"/>
        <v>7653.27</v>
      </c>
      <c r="N129" s="81">
        <f t="shared" si="44"/>
        <v>7653.27</v>
      </c>
      <c r="O129" s="81">
        <f t="shared" si="44"/>
        <v>7653.27</v>
      </c>
      <c r="P129" s="81">
        <f t="shared" si="44"/>
        <v>7653.27</v>
      </c>
      <c r="Q129" s="81">
        <f t="shared" si="44"/>
        <v>91119.839999999866</v>
      </c>
      <c r="R129" s="369">
        <f t="shared" si="32"/>
        <v>7593.3200000000006</v>
      </c>
      <c r="T129" s="31">
        <f t="shared" si="38"/>
        <v>0.86355535994741306</v>
      </c>
      <c r="U129" s="31">
        <f t="shared" si="33"/>
        <v>4.4560066775124261</v>
      </c>
    </row>
    <row r="130" spans="1:21" x14ac:dyDescent="0.25">
      <c r="A130" s="78" t="s">
        <v>145</v>
      </c>
      <c r="B130" t="s">
        <v>48</v>
      </c>
      <c r="C130" s="339">
        <f t="shared" ref="C130:Q130" si="45">IFERROR(C129/C34,0)</f>
        <v>0.23384744075097424</v>
      </c>
      <c r="D130" s="340">
        <f t="shared" si="45"/>
        <v>49.612697202272081</v>
      </c>
      <c r="E130" s="341">
        <f t="shared" si="45"/>
        <v>0.8631128739914804</v>
      </c>
      <c r="F130" s="341">
        <f t="shared" si="45"/>
        <v>0.8631128739914804</v>
      </c>
      <c r="G130" s="341">
        <f t="shared" si="45"/>
        <v>0.8631128739914804</v>
      </c>
      <c r="H130" s="341">
        <f t="shared" si="45"/>
        <v>0.8631128739914804</v>
      </c>
      <c r="I130" s="341">
        <f t="shared" si="45"/>
        <v>0.8631128739914804</v>
      </c>
      <c r="J130" s="341">
        <f t="shared" si="45"/>
        <v>0.8631128739914804</v>
      </c>
      <c r="K130" s="341">
        <f t="shared" si="45"/>
        <v>0.86399135700448404</v>
      </c>
      <c r="L130" s="341">
        <f t="shared" si="45"/>
        <v>0.86399135700448404</v>
      </c>
      <c r="M130" s="341">
        <f t="shared" si="45"/>
        <v>0.86399135700448404</v>
      </c>
      <c r="N130" s="341">
        <f t="shared" si="45"/>
        <v>0.86399135700448404</v>
      </c>
      <c r="O130" s="341">
        <f t="shared" si="45"/>
        <v>0.86399135700448404</v>
      </c>
      <c r="P130" s="341">
        <f t="shared" si="45"/>
        <v>0.86399135700448404</v>
      </c>
      <c r="Q130" s="341">
        <f t="shared" si="45"/>
        <v>0.86355535994741306</v>
      </c>
      <c r="R130" s="378">
        <f t="shared" si="32"/>
        <v>0.86355211549798205</v>
      </c>
      <c r="T130" s="31"/>
      <c r="U130" s="31">
        <f>IFERROR((Q130-C130)/C130,0)</f>
        <v>2.6928150984855939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79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f>SUM(E132:P132)</f>
        <v>0</v>
      </c>
      <c r="R132" s="371">
        <f t="shared" ref="R132:R137" si="46">AVERAGE(E132:P132)</f>
        <v>0</v>
      </c>
      <c r="S132" s="15"/>
      <c r="T132" s="62">
        <f t="shared" si="38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f>SUM(E133:P133)</f>
        <v>0</v>
      </c>
      <c r="R133" s="371">
        <f t="shared" si="46"/>
        <v>0</v>
      </c>
      <c r="S133" s="15"/>
      <c r="T133" s="62">
        <f t="shared" si="38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7">SUM(C132:C133)</f>
        <v>0</v>
      </c>
      <c r="D134" s="138">
        <f t="shared" si="47"/>
        <v>0</v>
      </c>
      <c r="E134" s="139">
        <f>SUM(E132:E133)</f>
        <v>0</v>
      </c>
      <c r="F134" s="139">
        <f t="shared" ref="F134:Q134" si="48">SUM(F132:F133)</f>
        <v>0</v>
      </c>
      <c r="G134" s="139">
        <f t="shared" si="48"/>
        <v>0</v>
      </c>
      <c r="H134" s="139">
        <f t="shared" si="48"/>
        <v>0</v>
      </c>
      <c r="I134" s="139">
        <f t="shared" si="48"/>
        <v>0</v>
      </c>
      <c r="J134" s="139">
        <f t="shared" si="48"/>
        <v>0</v>
      </c>
      <c r="K134" s="139">
        <f t="shared" si="48"/>
        <v>0</v>
      </c>
      <c r="L134" s="139">
        <f t="shared" si="48"/>
        <v>0</v>
      </c>
      <c r="M134" s="139">
        <f t="shared" si="48"/>
        <v>0</v>
      </c>
      <c r="N134" s="139">
        <f t="shared" si="48"/>
        <v>0</v>
      </c>
      <c r="O134" s="139">
        <f t="shared" si="48"/>
        <v>0</v>
      </c>
      <c r="P134" s="139">
        <f t="shared" si="48"/>
        <v>0</v>
      </c>
      <c r="Q134" s="139">
        <f t="shared" si="48"/>
        <v>0</v>
      </c>
      <c r="R134" s="377">
        <f>AVERAGE(E134:P134)</f>
        <v>0</v>
      </c>
      <c r="T134" s="141">
        <f t="shared" si="38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49">C134+C128</f>
        <v>54716.800000000003</v>
      </c>
      <c r="D135" s="72">
        <f t="shared" si="49"/>
        <v>6693.60380952381</v>
      </c>
      <c r="E135" s="73">
        <f>E134+E128</f>
        <v>1194.77</v>
      </c>
      <c r="F135" s="73">
        <f t="shared" ref="F135:P135" si="50">F134+F128</f>
        <v>1194.77</v>
      </c>
      <c r="G135" s="73">
        <f t="shared" si="50"/>
        <v>1194.77</v>
      </c>
      <c r="H135" s="73">
        <f t="shared" si="50"/>
        <v>1194.77</v>
      </c>
      <c r="I135" s="73">
        <f t="shared" si="50"/>
        <v>1194.77</v>
      </c>
      <c r="J135" s="73">
        <f t="shared" si="50"/>
        <v>1194.77</v>
      </c>
      <c r="K135" s="73">
        <f t="shared" si="50"/>
        <v>1204.77</v>
      </c>
      <c r="L135" s="73">
        <f t="shared" si="50"/>
        <v>1204.77</v>
      </c>
      <c r="M135" s="73">
        <f t="shared" si="50"/>
        <v>1204.77</v>
      </c>
      <c r="N135" s="73">
        <f t="shared" si="50"/>
        <v>1204.77</v>
      </c>
      <c r="O135" s="73">
        <f t="shared" si="50"/>
        <v>1204.77</v>
      </c>
      <c r="P135" s="73">
        <f t="shared" si="50"/>
        <v>1204.77</v>
      </c>
      <c r="Q135" s="73">
        <f>Q134+Q128</f>
        <v>14397.240000000003</v>
      </c>
      <c r="R135" s="368">
        <f t="shared" si="46"/>
        <v>1199.7700000000002</v>
      </c>
      <c r="T135" s="76">
        <f t="shared" si="38"/>
        <v>0.13644464005258694</v>
      </c>
      <c r="U135" s="76">
        <f t="shared" si="33"/>
        <v>-0.73687715655886299</v>
      </c>
    </row>
    <row r="136" spans="1:21" x14ac:dyDescent="0.25">
      <c r="A136" s="78" t="s">
        <v>151</v>
      </c>
      <c r="C136" s="79">
        <f t="shared" ref="C136:Q136" si="51">C34-C135</f>
        <v>16700.830000000002</v>
      </c>
      <c r="D136" s="80">
        <f t="shared" si="51"/>
        <v>-6831.2963095238092</v>
      </c>
      <c r="E136" s="81">
        <f t="shared" si="51"/>
        <v>7533.369999999999</v>
      </c>
      <c r="F136" s="81">
        <f t="shared" si="51"/>
        <v>7533.369999999999</v>
      </c>
      <c r="G136" s="81">
        <f t="shared" si="51"/>
        <v>7533.369999999999</v>
      </c>
      <c r="H136" s="81">
        <f t="shared" si="51"/>
        <v>7533.369999999999</v>
      </c>
      <c r="I136" s="81">
        <f t="shared" si="51"/>
        <v>7533.369999999999</v>
      </c>
      <c r="J136" s="81">
        <f t="shared" si="51"/>
        <v>7533.369999999999</v>
      </c>
      <c r="K136" s="81">
        <f t="shared" si="51"/>
        <v>7653.27</v>
      </c>
      <c r="L136" s="81">
        <f t="shared" si="51"/>
        <v>7653.27</v>
      </c>
      <c r="M136" s="81">
        <f t="shared" si="51"/>
        <v>7653.27</v>
      </c>
      <c r="N136" s="81">
        <f t="shared" si="51"/>
        <v>7653.27</v>
      </c>
      <c r="O136" s="81">
        <f t="shared" si="51"/>
        <v>7653.27</v>
      </c>
      <c r="P136" s="81">
        <f t="shared" si="51"/>
        <v>7653.27</v>
      </c>
      <c r="Q136" s="81">
        <f t="shared" si="51"/>
        <v>91119.839999999866</v>
      </c>
      <c r="R136" s="369">
        <f>AVERAGE(E136:P136)</f>
        <v>7593.3200000000006</v>
      </c>
      <c r="T136" s="31">
        <f>Q136/$Q$34</f>
        <v>0.86355535994741306</v>
      </c>
      <c r="U136" s="31">
        <f t="shared" si="33"/>
        <v>4.4560066775124261</v>
      </c>
    </row>
    <row r="137" spans="1:21" ht="15.75" thickBot="1" x14ac:dyDescent="0.3">
      <c r="A137" s="78" t="s">
        <v>152</v>
      </c>
      <c r="C137" s="344">
        <f>IFERROR(C136/C34,"")</f>
        <v>0.23384744075097424</v>
      </c>
      <c r="D137" s="345">
        <f>IFERROR(D136/D34,"")</f>
        <v>49.612697202272081</v>
      </c>
      <c r="E137" s="341">
        <f t="shared" ref="E137:Q137" si="52">E136/E34</f>
        <v>0.8631128739914804</v>
      </c>
      <c r="F137" s="341">
        <f t="shared" si="52"/>
        <v>0.8631128739914804</v>
      </c>
      <c r="G137" s="341">
        <f t="shared" si="52"/>
        <v>0.8631128739914804</v>
      </c>
      <c r="H137" s="341">
        <f t="shared" si="52"/>
        <v>0.8631128739914804</v>
      </c>
      <c r="I137" s="341">
        <f t="shared" si="52"/>
        <v>0.8631128739914804</v>
      </c>
      <c r="J137" s="341">
        <f t="shared" si="52"/>
        <v>0.8631128739914804</v>
      </c>
      <c r="K137" s="341">
        <f t="shared" si="52"/>
        <v>0.86399135700448404</v>
      </c>
      <c r="L137" s="341">
        <f t="shared" si="52"/>
        <v>0.86399135700448404</v>
      </c>
      <c r="M137" s="341">
        <f t="shared" si="52"/>
        <v>0.86399135700448404</v>
      </c>
      <c r="N137" s="341">
        <f t="shared" si="52"/>
        <v>0.86399135700448404</v>
      </c>
      <c r="O137" s="341">
        <f t="shared" si="52"/>
        <v>0.86399135700448404</v>
      </c>
      <c r="P137" s="341">
        <f t="shared" si="52"/>
        <v>0.86399135700448404</v>
      </c>
      <c r="Q137" s="341">
        <f t="shared" si="52"/>
        <v>0.86355535994741306</v>
      </c>
      <c r="R137" s="380">
        <f t="shared" si="46"/>
        <v>0.86355211549798205</v>
      </c>
      <c r="T137" s="181"/>
      <c r="U137" s="181">
        <f t="shared" si="33"/>
        <v>2.6928150984855939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3155-3F84-4623-B814-00B6E1ABBEA2}">
  <dimension ref="A1:AC137"/>
  <sheetViews>
    <sheetView topLeftCell="C1" workbookViewId="0">
      <selection activeCell="Z21" sqref="Z21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1.42578125" customWidth="1"/>
    <col min="20" max="20" width="10" bestFit="1" customWidth="1"/>
    <col min="21" max="21" width="11.85546875" customWidth="1"/>
    <col min="22" max="22" width="7.85546875" customWidth="1"/>
    <col min="25" max="25" width="11.140625" customWidth="1"/>
    <col min="26" max="26" width="20" customWidth="1"/>
    <col min="27" max="27" width="15.28515625" customWidth="1"/>
  </cols>
  <sheetData>
    <row r="1" spans="1:29" ht="18" x14ac:dyDescent="0.25">
      <c r="A1" s="401" t="s">
        <v>372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9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9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9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9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9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9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  <c r="V7" s="15"/>
    </row>
    <row r="8" spans="1:29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  <c r="V8" s="15"/>
    </row>
    <row r="9" spans="1:29" x14ac:dyDescent="0.25">
      <c r="A9" s="25"/>
      <c r="B9" s="15" t="s">
        <v>24</v>
      </c>
      <c r="C9" s="16">
        <v>9.44</v>
      </c>
      <c r="D9" s="17">
        <v>0.78666666666666663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9">
        <f t="shared" si="0"/>
        <v>24</v>
      </c>
      <c r="R9" s="20">
        <f t="shared" si="1"/>
        <v>2</v>
      </c>
      <c r="S9" s="15"/>
      <c r="T9" s="21"/>
      <c r="U9" s="22">
        <f t="shared" si="2"/>
        <v>1.5423728813559323</v>
      </c>
    </row>
    <row r="10" spans="1:29" x14ac:dyDescent="0.25">
      <c r="A10" s="15"/>
      <c r="B10" s="15" t="s">
        <v>25</v>
      </c>
      <c r="C10" s="16">
        <v>33.56</v>
      </c>
      <c r="D10" s="17">
        <v>2.7966666666666669</v>
      </c>
      <c r="E10" s="18">
        <v>5</v>
      </c>
      <c r="F10" s="18">
        <v>5</v>
      </c>
      <c r="G10" s="18">
        <v>5</v>
      </c>
      <c r="H10" s="18">
        <v>5</v>
      </c>
      <c r="I10" s="18">
        <v>5</v>
      </c>
      <c r="J10" s="18">
        <v>5</v>
      </c>
      <c r="K10" s="18">
        <v>7</v>
      </c>
      <c r="L10" s="18">
        <v>7</v>
      </c>
      <c r="M10" s="18">
        <v>7</v>
      </c>
      <c r="N10" s="18">
        <v>7</v>
      </c>
      <c r="O10" s="18">
        <v>7</v>
      </c>
      <c r="P10" s="18">
        <v>7</v>
      </c>
      <c r="Q10" s="19">
        <f t="shared" si="0"/>
        <v>72</v>
      </c>
      <c r="R10" s="20">
        <f t="shared" si="1"/>
        <v>6</v>
      </c>
      <c r="S10" s="15"/>
      <c r="T10" s="21"/>
      <c r="U10" s="22">
        <f t="shared" si="2"/>
        <v>1.1454112038140642</v>
      </c>
      <c r="V10" s="15"/>
    </row>
    <row r="11" spans="1:29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 t="shared" si="1"/>
        <v>#DIV/0!</v>
      </c>
      <c r="S11" s="15"/>
      <c r="T11" s="21"/>
      <c r="U11" s="22">
        <f t="shared" si="2"/>
        <v>0</v>
      </c>
      <c r="V11" s="15"/>
    </row>
    <row r="12" spans="1:29" x14ac:dyDescent="0.25">
      <c r="A12" s="15"/>
      <c r="B12" s="15" t="s">
        <v>27</v>
      </c>
      <c r="C12" s="16">
        <v>10.8</v>
      </c>
      <c r="D12" s="17">
        <v>0.9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9">
        <f>SUM(E12:P12)</f>
        <v>18</v>
      </c>
      <c r="R12" s="20">
        <f>AVERAGE(E12:P12)</f>
        <v>1.5</v>
      </c>
      <c r="S12" s="15"/>
      <c r="T12" s="21"/>
      <c r="U12" s="22">
        <f t="shared" si="2"/>
        <v>0.66666666666666652</v>
      </c>
      <c r="V12" s="15"/>
    </row>
    <row r="13" spans="1:29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 t="shared" si="1"/>
        <v>#DIV/0!</v>
      </c>
      <c r="S13" s="15"/>
      <c r="T13" s="21"/>
      <c r="U13" s="22">
        <f t="shared" si="2"/>
        <v>0</v>
      </c>
      <c r="V13" s="15"/>
    </row>
    <row r="14" spans="1:29" x14ac:dyDescent="0.25">
      <c r="A14" s="25"/>
      <c r="B14" s="15" t="s">
        <v>29</v>
      </c>
      <c r="C14" s="26">
        <f>SUM(C7:C13)</f>
        <v>53.8</v>
      </c>
      <c r="D14" s="27">
        <f t="shared" ref="D14:Q14" si="3">SUM(D7:D13)</f>
        <v>4.4833333333333334</v>
      </c>
      <c r="E14" s="28">
        <f t="shared" si="3"/>
        <v>8</v>
      </c>
      <c r="F14" s="28">
        <f t="shared" si="3"/>
        <v>8</v>
      </c>
      <c r="G14" s="28">
        <f t="shared" si="3"/>
        <v>8</v>
      </c>
      <c r="H14" s="28">
        <f t="shared" si="3"/>
        <v>8</v>
      </c>
      <c r="I14" s="28">
        <f t="shared" si="3"/>
        <v>8</v>
      </c>
      <c r="J14" s="28">
        <f t="shared" si="3"/>
        <v>8</v>
      </c>
      <c r="K14" s="28">
        <f t="shared" si="3"/>
        <v>11</v>
      </c>
      <c r="L14" s="28">
        <f t="shared" si="3"/>
        <v>11</v>
      </c>
      <c r="M14" s="28">
        <f t="shared" si="3"/>
        <v>11</v>
      </c>
      <c r="N14" s="28">
        <f t="shared" si="3"/>
        <v>11</v>
      </c>
      <c r="O14" s="28">
        <f t="shared" si="3"/>
        <v>11</v>
      </c>
      <c r="P14" s="28">
        <f t="shared" si="3"/>
        <v>11</v>
      </c>
      <c r="Q14" s="28">
        <f t="shared" si="3"/>
        <v>114</v>
      </c>
      <c r="R14" s="29">
        <f t="shared" si="1"/>
        <v>9.5</v>
      </c>
      <c r="T14" s="30"/>
      <c r="U14" s="31">
        <f>IFERROR((Q14-C14)/C14,0)</f>
        <v>1.1189591078066916</v>
      </c>
    </row>
    <row r="15" spans="1:29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  <c r="AC15" s="44"/>
    </row>
    <row r="16" spans="1:29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V16" s="15"/>
      <c r="W16"/>
      <c r="X16"/>
      <c r="Y16"/>
      <c r="Z16"/>
      <c r="AA16"/>
      <c r="AB16"/>
    </row>
    <row r="17" spans="1:28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V17" s="15"/>
      <c r="W17"/>
      <c r="X17"/>
      <c r="Y17"/>
      <c r="Z17"/>
      <c r="AA17"/>
      <c r="AB17"/>
    </row>
    <row r="18" spans="1:28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4"/>
        <v/>
      </c>
      <c r="W18"/>
      <c r="X18"/>
      <c r="Y18"/>
      <c r="Z18"/>
      <c r="AA18"/>
      <c r="AB18"/>
    </row>
    <row r="19" spans="1:28" s="44" customFormat="1" x14ac:dyDescent="0.25">
      <c r="B19" s="15" t="s">
        <v>34</v>
      </c>
      <c r="C19" s="40"/>
      <c r="D19" s="41"/>
      <c r="E19" s="42">
        <v>200</v>
      </c>
      <c r="F19" s="42">
        <v>200</v>
      </c>
      <c r="G19" s="42">
        <v>200</v>
      </c>
      <c r="H19" s="42">
        <v>200</v>
      </c>
      <c r="I19" s="42">
        <v>200</v>
      </c>
      <c r="J19" s="42">
        <v>200</v>
      </c>
      <c r="K19" s="42">
        <v>200</v>
      </c>
      <c r="L19" s="42">
        <v>200</v>
      </c>
      <c r="M19" s="42">
        <v>200</v>
      </c>
      <c r="N19" s="42">
        <v>200</v>
      </c>
      <c r="O19" s="42">
        <v>200</v>
      </c>
      <c r="P19" s="42">
        <v>200</v>
      </c>
      <c r="Q19" s="42">
        <f>AVERAGE(E19:P19)</f>
        <v>200</v>
      </c>
      <c r="R19" s="43">
        <f t="shared" si="1"/>
        <v>200</v>
      </c>
      <c r="S19" s="15"/>
      <c r="T19" s="21"/>
      <c r="U19" s="22" t="str">
        <f t="shared" si="4"/>
        <v/>
      </c>
      <c r="V19" s="15"/>
      <c r="W19"/>
      <c r="X19"/>
      <c r="Y19"/>
      <c r="Z19"/>
      <c r="AA19"/>
      <c r="AB19"/>
    </row>
    <row r="20" spans="1:28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4"/>
        <v/>
      </c>
      <c r="V20" s="15"/>
      <c r="W20"/>
      <c r="X20"/>
      <c r="Y20"/>
      <c r="Z20"/>
      <c r="AA20"/>
      <c r="AB20"/>
    </row>
    <row r="21" spans="1:28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4"/>
        <v/>
      </c>
      <c r="V21" s="15"/>
      <c r="W21"/>
      <c r="X21"/>
      <c r="Y21"/>
      <c r="Z21"/>
      <c r="AA21"/>
      <c r="AB21"/>
    </row>
    <row r="22" spans="1:28" s="44" customFormat="1" x14ac:dyDescent="0.25">
      <c r="B22" s="15"/>
      <c r="C22" s="46"/>
      <c r="D22" s="47"/>
      <c r="E22" s="42"/>
      <c r="R22" s="48"/>
      <c r="S22" s="49"/>
      <c r="T22" s="50"/>
      <c r="U22" s="50"/>
      <c r="V22" s="49"/>
      <c r="W22"/>
      <c r="X22"/>
      <c r="Y22"/>
      <c r="Z22"/>
      <c r="AA22"/>
      <c r="AB22"/>
    </row>
    <row r="23" spans="1:28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8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ref="R24:R29" si="6">AVERAGE(E24:P24)</f>
        <v>0</v>
      </c>
      <c r="S24" s="15"/>
      <c r="T24" s="61"/>
      <c r="U24" s="62">
        <f t="shared" ref="U24:U88" si="7">IFERROR((Q24-C24)/C24,0)</f>
        <v>0</v>
      </c>
      <c r="V24" s="15"/>
    </row>
    <row r="25" spans="1:28" x14ac:dyDescent="0.25">
      <c r="A25" s="25"/>
      <c r="B25" s="15" t="s">
        <v>39</v>
      </c>
      <c r="C25" s="56">
        <v>0</v>
      </c>
      <c r="D25" s="57">
        <f t="shared" ref="D25:D29" si="8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 t="shared" si="6"/>
        <v>0</v>
      </c>
      <c r="S25" s="15"/>
      <c r="T25" s="61"/>
      <c r="U25" s="62">
        <f t="shared" si="7"/>
        <v>0</v>
      </c>
      <c r="V25" s="15"/>
    </row>
    <row r="26" spans="1:28" x14ac:dyDescent="0.25">
      <c r="A26" s="25"/>
      <c r="B26" s="15" t="s">
        <v>40</v>
      </c>
      <c r="C26" s="56">
        <v>55412.76</v>
      </c>
      <c r="D26" s="57">
        <f t="shared" si="8"/>
        <v>4617.7300000000005</v>
      </c>
      <c r="E26" s="58">
        <f>(((E9*E18)*21.75)+(((E10*E19)*13.08)+(((E11*E20)*4.33))))</f>
        <v>26130</v>
      </c>
      <c r="F26" s="58">
        <f t="shared" ref="F26:O26" si="9">(((F9*F18)*21.75)+(((F10*F19)*13.08)+(((F11*F20)*4.33))))</f>
        <v>26130</v>
      </c>
      <c r="G26" s="58">
        <f t="shared" si="9"/>
        <v>26130</v>
      </c>
      <c r="H26" s="58">
        <f t="shared" si="9"/>
        <v>26130</v>
      </c>
      <c r="I26" s="58">
        <f t="shared" si="9"/>
        <v>26130</v>
      </c>
      <c r="J26" s="58">
        <f t="shared" si="9"/>
        <v>26130</v>
      </c>
      <c r="K26" s="58">
        <f t="shared" si="9"/>
        <v>31362</v>
      </c>
      <c r="L26" s="58">
        <f t="shared" si="9"/>
        <v>31362</v>
      </c>
      <c r="M26" s="58">
        <f t="shared" si="9"/>
        <v>31362</v>
      </c>
      <c r="N26" s="58">
        <f t="shared" si="9"/>
        <v>31362</v>
      </c>
      <c r="O26" s="58">
        <f t="shared" si="9"/>
        <v>31362</v>
      </c>
      <c r="P26" s="58">
        <f>(((P9*P18)*21.75)+(((P10*P19)*13.08)+(((P11*P20)*4.33))))</f>
        <v>31362</v>
      </c>
      <c r="Q26" s="59">
        <f>SUM(E26:P26)</f>
        <v>344952</v>
      </c>
      <c r="R26" s="60">
        <f t="shared" si="6"/>
        <v>28746</v>
      </c>
      <c r="S26" s="15"/>
      <c r="T26" s="61"/>
      <c r="U26" s="62">
        <f t="shared" si="7"/>
        <v>5.2251365930879459</v>
      </c>
      <c r="V26" s="15"/>
    </row>
    <row r="27" spans="1:28" x14ac:dyDescent="0.25">
      <c r="A27" s="25"/>
      <c r="B27" s="15" t="s">
        <v>41</v>
      </c>
      <c r="C27" s="56">
        <v>0</v>
      </c>
      <c r="D27" s="57">
        <f t="shared" si="8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10">K13*K21*K4</f>
        <v>0</v>
      </c>
      <c r="L27" s="58">
        <f t="shared" si="10"/>
        <v>0</v>
      </c>
      <c r="M27" s="58">
        <f t="shared" si="10"/>
        <v>0</v>
      </c>
      <c r="N27" s="58">
        <f t="shared" si="10"/>
        <v>0</v>
      </c>
      <c r="O27" s="58">
        <f t="shared" si="10"/>
        <v>0</v>
      </c>
      <c r="P27" s="58">
        <f t="shared" si="10"/>
        <v>0</v>
      </c>
      <c r="Q27" s="59">
        <f>SUM(E27:P27)</f>
        <v>0</v>
      </c>
      <c r="R27" s="60">
        <f t="shared" si="6"/>
        <v>0</v>
      </c>
      <c r="S27" s="15"/>
      <c r="T27" s="61"/>
      <c r="U27" s="62">
        <f t="shared" si="7"/>
        <v>0</v>
      </c>
      <c r="V27" s="15"/>
      <c r="W27" s="53"/>
      <c r="X27" s="53"/>
    </row>
    <row r="28" spans="1:28" x14ac:dyDescent="0.25">
      <c r="A28" s="25"/>
      <c r="B28" s="15" t="s">
        <v>42</v>
      </c>
      <c r="C28" s="56">
        <v>0</v>
      </c>
      <c r="D28" s="57">
        <f t="shared" si="8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10"/>
        <v>0</v>
      </c>
      <c r="L28" s="58">
        <f t="shared" si="10"/>
        <v>0</v>
      </c>
      <c r="M28" s="58">
        <f t="shared" si="10"/>
        <v>0</v>
      </c>
      <c r="N28" s="58">
        <f t="shared" si="10"/>
        <v>0</v>
      </c>
      <c r="O28" s="58">
        <f t="shared" si="10"/>
        <v>0</v>
      </c>
      <c r="P28" s="58">
        <f t="shared" si="10"/>
        <v>0</v>
      </c>
      <c r="Q28" s="59">
        <f>SUM(E28:P28)</f>
        <v>0</v>
      </c>
      <c r="R28" s="60">
        <f t="shared" si="6"/>
        <v>0</v>
      </c>
      <c r="S28" s="15"/>
      <c r="T28" s="61"/>
      <c r="U28" s="62">
        <f t="shared" si="7"/>
        <v>0</v>
      </c>
      <c r="V28" s="15"/>
      <c r="W28" s="53"/>
      <c r="X28" s="53"/>
    </row>
    <row r="29" spans="1:28" x14ac:dyDescent="0.25">
      <c r="A29" s="63" t="s">
        <v>43</v>
      </c>
      <c r="B29" s="15"/>
      <c r="C29" s="64">
        <f>SUM(C24:C28)</f>
        <v>55412.76</v>
      </c>
      <c r="D29" s="57">
        <f t="shared" si="8"/>
        <v>4617.7300000000005</v>
      </c>
      <c r="E29" s="66">
        <f t="shared" ref="E29:Q29" si="11">SUM(E24:E28)</f>
        <v>26130</v>
      </c>
      <c r="F29" s="66">
        <f t="shared" si="11"/>
        <v>26130</v>
      </c>
      <c r="G29" s="66">
        <f t="shared" si="11"/>
        <v>26130</v>
      </c>
      <c r="H29" s="66">
        <f t="shared" si="11"/>
        <v>26130</v>
      </c>
      <c r="I29" s="66">
        <f t="shared" si="11"/>
        <v>26130</v>
      </c>
      <c r="J29" s="66">
        <f t="shared" si="11"/>
        <v>26130</v>
      </c>
      <c r="K29" s="66">
        <f t="shared" si="11"/>
        <v>31362</v>
      </c>
      <c r="L29" s="66">
        <f t="shared" si="11"/>
        <v>31362</v>
      </c>
      <c r="M29" s="66">
        <f t="shared" si="11"/>
        <v>31362</v>
      </c>
      <c r="N29" s="66">
        <f t="shared" si="11"/>
        <v>31362</v>
      </c>
      <c r="O29" s="66">
        <f t="shared" si="11"/>
        <v>31362</v>
      </c>
      <c r="P29" s="66">
        <f t="shared" si="11"/>
        <v>31362</v>
      </c>
      <c r="Q29" s="66">
        <f t="shared" si="11"/>
        <v>344952</v>
      </c>
      <c r="R29" s="67">
        <f t="shared" si="6"/>
        <v>28746</v>
      </c>
      <c r="T29" s="68"/>
      <c r="U29" s="69">
        <f t="shared" si="7"/>
        <v>5.2251365930879459</v>
      </c>
    </row>
    <row r="30" spans="1:28" x14ac:dyDescent="0.25">
      <c r="A30" s="15" t="s">
        <v>44</v>
      </c>
      <c r="B30" s="15"/>
      <c r="C30" s="64"/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T30" s="69"/>
      <c r="U30" s="69"/>
    </row>
    <row r="31" spans="1:28" x14ac:dyDescent="0.25">
      <c r="A31" s="63"/>
      <c r="B31" s="15" t="s">
        <v>45</v>
      </c>
      <c r="C31" s="56">
        <v>-30608.09</v>
      </c>
      <c r="D31" s="57">
        <f>C31/3</f>
        <v>-10202.696666666667</v>
      </c>
      <c r="E31" s="58">
        <f t="shared" ref="E31:P31" si="12">-E26*0.7</f>
        <v>-18291</v>
      </c>
      <c r="F31" s="58">
        <f t="shared" si="12"/>
        <v>-18291</v>
      </c>
      <c r="G31" s="58">
        <f t="shared" si="12"/>
        <v>-18291</v>
      </c>
      <c r="H31" s="58">
        <f t="shared" si="12"/>
        <v>-18291</v>
      </c>
      <c r="I31" s="58">
        <f t="shared" si="12"/>
        <v>-18291</v>
      </c>
      <c r="J31" s="58">
        <f t="shared" si="12"/>
        <v>-18291</v>
      </c>
      <c r="K31" s="58">
        <f t="shared" si="12"/>
        <v>-21953.399999999998</v>
      </c>
      <c r="L31" s="58">
        <f t="shared" si="12"/>
        <v>-21953.399999999998</v>
      </c>
      <c r="M31" s="58">
        <f t="shared" si="12"/>
        <v>-21953.399999999998</v>
      </c>
      <c r="N31" s="58">
        <f t="shared" si="12"/>
        <v>-21953.399999999998</v>
      </c>
      <c r="O31" s="58">
        <f t="shared" si="12"/>
        <v>-21953.399999999998</v>
      </c>
      <c r="P31" s="58">
        <f t="shared" si="12"/>
        <v>-21953.399999999998</v>
      </c>
      <c r="Q31" s="59">
        <f>SUM(E31:P31)</f>
        <v>-241466.39999999997</v>
      </c>
      <c r="R31" s="102">
        <f>AVERAGE(E31:P31)</f>
        <v>-20122.199999999997</v>
      </c>
      <c r="S31" s="15"/>
      <c r="T31" s="61"/>
      <c r="U31" s="62">
        <f t="shared" si="7"/>
        <v>6.8889731440282604</v>
      </c>
    </row>
    <row r="32" spans="1:28" x14ac:dyDescent="0.25">
      <c r="A32" s="63" t="s">
        <v>46</v>
      </c>
      <c r="B32" s="15"/>
      <c r="C32" s="64">
        <f t="shared" ref="C32:D32" si="13">SUM(C31)</f>
        <v>-30608.09</v>
      </c>
      <c r="D32" s="65">
        <f t="shared" si="13"/>
        <v>-10202.696666666667</v>
      </c>
      <c r="E32" s="66">
        <f>SUM(E31)</f>
        <v>-18291</v>
      </c>
      <c r="F32" s="66">
        <f>SUM(F31)</f>
        <v>-18291</v>
      </c>
      <c r="G32" s="66">
        <f t="shared" ref="G32:P32" si="14">SUM(G31)</f>
        <v>-18291</v>
      </c>
      <c r="H32" s="66">
        <f t="shared" si="14"/>
        <v>-18291</v>
      </c>
      <c r="I32" s="66">
        <f t="shared" si="14"/>
        <v>-18291</v>
      </c>
      <c r="J32" s="66">
        <f t="shared" si="14"/>
        <v>-18291</v>
      </c>
      <c r="K32" s="66">
        <f t="shared" si="14"/>
        <v>-21953.399999999998</v>
      </c>
      <c r="L32" s="66">
        <f t="shared" si="14"/>
        <v>-21953.399999999998</v>
      </c>
      <c r="M32" s="66">
        <f t="shared" si="14"/>
        <v>-21953.399999999998</v>
      </c>
      <c r="N32" s="66">
        <f t="shared" si="14"/>
        <v>-21953.399999999998</v>
      </c>
      <c r="O32" s="66">
        <f t="shared" si="14"/>
        <v>-21953.399999999998</v>
      </c>
      <c r="P32" s="66">
        <f t="shared" si="14"/>
        <v>-21953.399999999998</v>
      </c>
      <c r="Q32" s="66">
        <f>SUM(Q31)</f>
        <v>-241466.39999999997</v>
      </c>
      <c r="R32" s="67">
        <f>AVERAGE(E32:P32)</f>
        <v>-20122.199999999997</v>
      </c>
      <c r="T32" s="68"/>
      <c r="U32" s="69">
        <f t="shared" si="7"/>
        <v>6.8889731440282604</v>
      </c>
    </row>
    <row r="33" spans="1:22" s="70" customFormat="1" x14ac:dyDescent="0.25">
      <c r="A33" s="63" t="s">
        <v>47</v>
      </c>
      <c r="B33" s="70" t="s">
        <v>48</v>
      </c>
      <c r="C33" s="71">
        <f t="shared" ref="C33:D33" si="15">C29+C32</f>
        <v>24804.670000000002</v>
      </c>
      <c r="D33" s="72">
        <f t="shared" si="15"/>
        <v>-5584.9666666666662</v>
      </c>
      <c r="E33" s="73">
        <f>E29+E32</f>
        <v>7839</v>
      </c>
      <c r="F33" s="73">
        <f>F29+F32</f>
        <v>7839</v>
      </c>
      <c r="G33" s="73">
        <f t="shared" ref="G33:Q33" si="16">G29+G32</f>
        <v>7839</v>
      </c>
      <c r="H33" s="73">
        <f t="shared" si="16"/>
        <v>7839</v>
      </c>
      <c r="I33" s="73">
        <f t="shared" si="16"/>
        <v>7839</v>
      </c>
      <c r="J33" s="73">
        <f t="shared" si="16"/>
        <v>7839</v>
      </c>
      <c r="K33" s="73">
        <f t="shared" si="16"/>
        <v>9408.6000000000022</v>
      </c>
      <c r="L33" s="73">
        <f t="shared" si="16"/>
        <v>9408.6000000000022</v>
      </c>
      <c r="M33" s="73">
        <f t="shared" si="16"/>
        <v>9408.6000000000022</v>
      </c>
      <c r="N33" s="73">
        <f t="shared" si="16"/>
        <v>9408.6000000000022</v>
      </c>
      <c r="O33" s="73">
        <f t="shared" si="16"/>
        <v>9408.6000000000022</v>
      </c>
      <c r="P33" s="73">
        <f t="shared" si="16"/>
        <v>9408.6000000000022</v>
      </c>
      <c r="Q33" s="73">
        <f t="shared" si="16"/>
        <v>103485.60000000003</v>
      </c>
      <c r="R33" s="74">
        <f>AVERAGE(E33:P33)</f>
        <v>8623.8000000000029</v>
      </c>
      <c r="T33" s="75"/>
      <c r="U33" s="76">
        <f t="shared" si="7"/>
        <v>3.1720208331737543</v>
      </c>
    </row>
    <row r="34" spans="1:22" x14ac:dyDescent="0.25">
      <c r="A34" s="78" t="s">
        <v>49</v>
      </c>
      <c r="B34" t="s">
        <v>48</v>
      </c>
      <c r="C34" s="79">
        <f t="shared" ref="C34:D34" si="17">C33</f>
        <v>24804.670000000002</v>
      </c>
      <c r="D34" s="80">
        <f t="shared" si="17"/>
        <v>-5584.9666666666662</v>
      </c>
      <c r="E34" s="81">
        <f>E33</f>
        <v>7839</v>
      </c>
      <c r="F34" s="81">
        <f t="shared" ref="F34:Q34" si="18">F33</f>
        <v>7839</v>
      </c>
      <c r="G34" s="81">
        <f t="shared" si="18"/>
        <v>7839</v>
      </c>
      <c r="H34" s="81">
        <f t="shared" si="18"/>
        <v>7839</v>
      </c>
      <c r="I34" s="81">
        <f t="shared" si="18"/>
        <v>7839</v>
      </c>
      <c r="J34" s="81">
        <f t="shared" si="18"/>
        <v>7839</v>
      </c>
      <c r="K34" s="81">
        <f t="shared" si="18"/>
        <v>9408.6000000000022</v>
      </c>
      <c r="L34" s="81">
        <f t="shared" si="18"/>
        <v>9408.6000000000022</v>
      </c>
      <c r="M34" s="81">
        <f t="shared" si="18"/>
        <v>9408.6000000000022</v>
      </c>
      <c r="N34" s="81">
        <f t="shared" si="18"/>
        <v>9408.6000000000022</v>
      </c>
      <c r="O34" s="81">
        <f t="shared" si="18"/>
        <v>9408.6000000000022</v>
      </c>
      <c r="P34" s="81">
        <f t="shared" si="18"/>
        <v>9408.6000000000022</v>
      </c>
      <c r="Q34" s="81">
        <f t="shared" si="18"/>
        <v>103485.60000000003</v>
      </c>
      <c r="R34" s="82">
        <f t="shared" si="1"/>
        <v>8623.8000000000029</v>
      </c>
      <c r="T34" s="30"/>
      <c r="U34" s="31">
        <f t="shared" si="7"/>
        <v>3.1720208331737543</v>
      </c>
    </row>
    <row r="35" spans="1:22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2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2" x14ac:dyDescent="0.25">
      <c r="A37" s="25"/>
      <c r="B37" s="15" t="s">
        <v>52</v>
      </c>
      <c r="C37" s="56"/>
      <c r="D37" s="57"/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f>SUM(E37:P37)</f>
        <v>0</v>
      </c>
      <c r="R37" s="89">
        <f>AVERAGE(E37:P37)</f>
        <v>0</v>
      </c>
      <c r="S37" s="15"/>
      <c r="T37" s="62">
        <f>Q37/$Q$34</f>
        <v>0</v>
      </c>
      <c r="U37" s="62">
        <f t="shared" si="7"/>
        <v>0</v>
      </c>
      <c r="V37" s="15"/>
    </row>
    <row r="38" spans="1:22" x14ac:dyDescent="0.25">
      <c r="A38" s="25"/>
      <c r="B38" s="15" t="s">
        <v>53</v>
      </c>
      <c r="C38" s="56"/>
      <c r="D38" s="57"/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f t="shared" ref="Q38:Q47" si="19">SUM(E38:P38)</f>
        <v>0</v>
      </c>
      <c r="R38" s="89">
        <f t="shared" si="1"/>
        <v>0</v>
      </c>
      <c r="S38" s="15"/>
      <c r="T38" s="62">
        <f t="shared" ref="T38:T102" si="20">Q38/$Q$34</f>
        <v>0</v>
      </c>
      <c r="U38" s="62">
        <f t="shared" si="7"/>
        <v>0</v>
      </c>
      <c r="V38" s="15"/>
    </row>
    <row r="39" spans="1:22" x14ac:dyDescent="0.25">
      <c r="A39" s="25"/>
      <c r="B39" s="15" t="s">
        <v>54</v>
      </c>
      <c r="C39" s="56"/>
      <c r="D39" s="57"/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f t="shared" si="19"/>
        <v>0</v>
      </c>
      <c r="R39" s="89">
        <f t="shared" si="1"/>
        <v>0</v>
      </c>
      <c r="S39" s="15"/>
      <c r="T39" s="62">
        <f t="shared" si="20"/>
        <v>0</v>
      </c>
      <c r="U39" s="62">
        <f t="shared" si="7"/>
        <v>0</v>
      </c>
      <c r="V39" s="15"/>
    </row>
    <row r="40" spans="1:22" x14ac:dyDescent="0.25">
      <c r="A40" s="25"/>
      <c r="B40" s="15" t="s">
        <v>55</v>
      </c>
      <c r="C40" s="56"/>
      <c r="D40" s="57"/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f t="shared" si="19"/>
        <v>0</v>
      </c>
      <c r="R40" s="89">
        <f t="shared" si="1"/>
        <v>0</v>
      </c>
      <c r="S40" s="15"/>
      <c r="T40" s="62">
        <f t="shared" si="20"/>
        <v>0</v>
      </c>
      <c r="U40" s="62">
        <f t="shared" si="7"/>
        <v>0</v>
      </c>
      <c r="V40" s="15"/>
    </row>
    <row r="41" spans="1:22" x14ac:dyDescent="0.25">
      <c r="A41" s="25"/>
      <c r="B41" s="15" t="s">
        <v>56</v>
      </c>
      <c r="C41" s="56"/>
      <c r="D41" s="57"/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f t="shared" si="19"/>
        <v>0</v>
      </c>
      <c r="R41" s="89">
        <f t="shared" si="1"/>
        <v>0</v>
      </c>
      <c r="S41" s="15"/>
      <c r="T41" s="62">
        <f t="shared" si="20"/>
        <v>0</v>
      </c>
      <c r="U41" s="62">
        <f t="shared" si="7"/>
        <v>0</v>
      </c>
      <c r="V41" s="15"/>
    </row>
    <row r="42" spans="1:22" x14ac:dyDescent="0.25">
      <c r="A42" s="25"/>
      <c r="B42" s="15" t="s">
        <v>57</v>
      </c>
      <c r="C42" s="56"/>
      <c r="D42" s="57"/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f t="shared" si="19"/>
        <v>0</v>
      </c>
      <c r="R42" s="89">
        <f t="shared" si="1"/>
        <v>0</v>
      </c>
      <c r="S42" s="15"/>
      <c r="T42" s="62">
        <f t="shared" si="20"/>
        <v>0</v>
      </c>
      <c r="U42" s="62">
        <f t="shared" si="7"/>
        <v>0</v>
      </c>
      <c r="V42" s="15"/>
    </row>
    <row r="43" spans="1:22" x14ac:dyDescent="0.25">
      <c r="A43" s="25"/>
      <c r="B43" s="15" t="s">
        <v>58</v>
      </c>
      <c r="C43" s="56"/>
      <c r="D43" s="57"/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f t="shared" si="19"/>
        <v>0</v>
      </c>
      <c r="R43" s="89">
        <f t="shared" si="1"/>
        <v>0</v>
      </c>
      <c r="S43" s="15"/>
      <c r="T43" s="62">
        <f t="shared" si="20"/>
        <v>0</v>
      </c>
      <c r="U43" s="62">
        <f t="shared" si="7"/>
        <v>0</v>
      </c>
      <c r="V43" s="15"/>
    </row>
    <row r="44" spans="1:22" x14ac:dyDescent="0.25">
      <c r="A44" s="25"/>
      <c r="B44" s="15" t="s">
        <v>59</v>
      </c>
      <c r="C44" s="56"/>
      <c r="D44" s="57"/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f t="shared" si="19"/>
        <v>0</v>
      </c>
      <c r="R44" s="89">
        <f t="shared" si="1"/>
        <v>0</v>
      </c>
      <c r="S44" s="15"/>
      <c r="T44" s="62">
        <f t="shared" si="20"/>
        <v>0</v>
      </c>
      <c r="U44" s="62">
        <f t="shared" si="7"/>
        <v>0</v>
      </c>
      <c r="V44" s="15"/>
    </row>
    <row r="45" spans="1:22" x14ac:dyDescent="0.25">
      <c r="A45" s="25"/>
      <c r="B45" s="15" t="s">
        <v>60</v>
      </c>
      <c r="C45" s="56"/>
      <c r="D45" s="57"/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f t="shared" si="19"/>
        <v>0</v>
      </c>
      <c r="R45" s="89">
        <f t="shared" si="1"/>
        <v>0</v>
      </c>
      <c r="S45" s="15"/>
      <c r="T45" s="62">
        <f t="shared" si="20"/>
        <v>0</v>
      </c>
      <c r="U45" s="62">
        <f t="shared" si="7"/>
        <v>0</v>
      </c>
      <c r="V45" s="15"/>
    </row>
    <row r="46" spans="1:22" x14ac:dyDescent="0.25">
      <c r="A46" s="25"/>
      <c r="B46" s="15" t="s">
        <v>61</v>
      </c>
      <c r="C46" s="56"/>
      <c r="D46" s="57"/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f t="shared" si="19"/>
        <v>0</v>
      </c>
      <c r="R46" s="89">
        <f t="shared" si="1"/>
        <v>0</v>
      </c>
      <c r="S46" s="15"/>
      <c r="T46" s="62">
        <f t="shared" si="20"/>
        <v>0</v>
      </c>
      <c r="U46" s="62">
        <f t="shared" si="7"/>
        <v>0</v>
      </c>
      <c r="V46" s="15"/>
    </row>
    <row r="47" spans="1:22" x14ac:dyDescent="0.25">
      <c r="A47" s="25"/>
      <c r="B47" s="15" t="s">
        <v>62</v>
      </c>
      <c r="C47" s="56"/>
      <c r="D47" s="57"/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f t="shared" si="19"/>
        <v>0</v>
      </c>
      <c r="R47" s="89">
        <f t="shared" si="1"/>
        <v>0</v>
      </c>
      <c r="S47" s="15"/>
      <c r="T47" s="62">
        <f t="shared" si="20"/>
        <v>0</v>
      </c>
      <c r="U47" s="62">
        <f t="shared" si="7"/>
        <v>0</v>
      </c>
      <c r="V47" s="15"/>
    </row>
    <row r="48" spans="1:22" x14ac:dyDescent="0.25">
      <c r="A48" s="63" t="s">
        <v>63</v>
      </c>
      <c r="B48" t="s">
        <v>48</v>
      </c>
      <c r="C48" s="91">
        <f t="shared" ref="C48:Q48" si="21">SUM(C37:C47)</f>
        <v>0</v>
      </c>
      <c r="D48" s="92">
        <f t="shared" si="21"/>
        <v>0</v>
      </c>
      <c r="E48" s="93">
        <f t="shared" si="21"/>
        <v>0</v>
      </c>
      <c r="F48" s="93">
        <f t="shared" si="21"/>
        <v>0</v>
      </c>
      <c r="G48" s="93">
        <f t="shared" si="21"/>
        <v>0</v>
      </c>
      <c r="H48" s="93">
        <f t="shared" si="21"/>
        <v>0</v>
      </c>
      <c r="I48" s="93">
        <f t="shared" si="21"/>
        <v>0</v>
      </c>
      <c r="J48" s="93">
        <f t="shared" si="21"/>
        <v>0</v>
      </c>
      <c r="K48" s="93">
        <f t="shared" si="21"/>
        <v>0</v>
      </c>
      <c r="L48" s="93">
        <f t="shared" si="21"/>
        <v>0</v>
      </c>
      <c r="M48" s="93">
        <f t="shared" si="21"/>
        <v>0</v>
      </c>
      <c r="N48" s="93">
        <f t="shared" si="21"/>
        <v>0</v>
      </c>
      <c r="O48" s="93">
        <f t="shared" si="21"/>
        <v>0</v>
      </c>
      <c r="P48" s="93">
        <f t="shared" si="21"/>
        <v>0</v>
      </c>
      <c r="Q48" s="93">
        <f t="shared" si="21"/>
        <v>0</v>
      </c>
      <c r="R48" s="94">
        <f t="shared" si="1"/>
        <v>0</v>
      </c>
      <c r="T48" s="96">
        <f t="shared" si="20"/>
        <v>0</v>
      </c>
      <c r="U48" s="96">
        <f t="shared" si="7"/>
        <v>0</v>
      </c>
    </row>
    <row r="49" spans="1:22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2" x14ac:dyDescent="0.25">
      <c r="A50" s="25"/>
      <c r="B50" s="15" t="s">
        <v>65</v>
      </c>
      <c r="C50" s="56"/>
      <c r="D50" s="57"/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f t="shared" ref="Q50:Q61" si="22">SUM(E50:P50)</f>
        <v>0</v>
      </c>
      <c r="R50" s="89">
        <f t="shared" si="1"/>
        <v>0</v>
      </c>
      <c r="S50" s="15"/>
      <c r="T50" s="62">
        <f t="shared" si="20"/>
        <v>0</v>
      </c>
      <c r="U50" s="62">
        <f t="shared" si="7"/>
        <v>0</v>
      </c>
      <c r="V50" s="15"/>
    </row>
    <row r="51" spans="1:22" x14ac:dyDescent="0.25">
      <c r="A51" s="25"/>
      <c r="B51" s="15" t="s">
        <v>66</v>
      </c>
      <c r="C51" s="56"/>
      <c r="D51" s="57"/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f t="shared" si="22"/>
        <v>0</v>
      </c>
      <c r="R51" s="89">
        <f t="shared" si="1"/>
        <v>0</v>
      </c>
      <c r="S51" s="15"/>
      <c r="T51" s="62">
        <f t="shared" si="20"/>
        <v>0</v>
      </c>
      <c r="U51" s="62">
        <f t="shared" si="7"/>
        <v>0</v>
      </c>
      <c r="V51" s="15"/>
    </row>
    <row r="52" spans="1:22" x14ac:dyDescent="0.25">
      <c r="A52" s="25"/>
      <c r="B52" s="15" t="s">
        <v>67</v>
      </c>
      <c r="C52" s="56"/>
      <c r="D52" s="57"/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f t="shared" si="22"/>
        <v>0</v>
      </c>
      <c r="R52" s="89">
        <f t="shared" si="1"/>
        <v>0</v>
      </c>
      <c r="S52" s="15"/>
      <c r="T52" s="62">
        <f t="shared" si="20"/>
        <v>0</v>
      </c>
      <c r="U52" s="62">
        <f t="shared" si="7"/>
        <v>0</v>
      </c>
      <c r="V52" s="15"/>
    </row>
    <row r="53" spans="1:22" x14ac:dyDescent="0.25">
      <c r="A53" s="25"/>
      <c r="B53" s="15" t="s">
        <v>68</v>
      </c>
      <c r="C53" s="56"/>
      <c r="D53" s="57"/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f t="shared" si="22"/>
        <v>0</v>
      </c>
      <c r="R53" s="89">
        <f t="shared" si="1"/>
        <v>0</v>
      </c>
      <c r="S53" s="15"/>
      <c r="T53" s="62">
        <f t="shared" si="20"/>
        <v>0</v>
      </c>
      <c r="U53" s="62">
        <f t="shared" si="7"/>
        <v>0</v>
      </c>
      <c r="V53" s="15"/>
    </row>
    <row r="54" spans="1:22" x14ac:dyDescent="0.25">
      <c r="A54" s="25"/>
      <c r="B54" s="15" t="s">
        <v>69</v>
      </c>
      <c r="C54" s="56"/>
      <c r="D54" s="57"/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f t="shared" si="22"/>
        <v>0</v>
      </c>
      <c r="R54" s="89">
        <f t="shared" si="1"/>
        <v>0</v>
      </c>
      <c r="S54" s="15"/>
      <c r="T54" s="62">
        <f t="shared" si="20"/>
        <v>0</v>
      </c>
      <c r="U54" s="62">
        <f t="shared" si="7"/>
        <v>0</v>
      </c>
      <c r="V54" s="15"/>
    </row>
    <row r="55" spans="1:22" x14ac:dyDescent="0.25">
      <c r="A55" s="25"/>
      <c r="B55" s="15" t="s">
        <v>70</v>
      </c>
      <c r="C55" s="56"/>
      <c r="D55" s="57"/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f t="shared" si="22"/>
        <v>0</v>
      </c>
      <c r="R55" s="89">
        <f t="shared" si="1"/>
        <v>0</v>
      </c>
      <c r="S55" s="15"/>
      <c r="T55" s="62">
        <f t="shared" si="20"/>
        <v>0</v>
      </c>
      <c r="U55" s="62">
        <f t="shared" si="7"/>
        <v>0</v>
      </c>
      <c r="V55" s="15"/>
    </row>
    <row r="56" spans="1:22" x14ac:dyDescent="0.25">
      <c r="A56" s="25"/>
      <c r="B56" s="15" t="s">
        <v>71</v>
      </c>
      <c r="C56" s="56"/>
      <c r="D56" s="57"/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f t="shared" ref="Q56:Q57" si="23">SUM(E56:P56)</f>
        <v>0</v>
      </c>
      <c r="R56" s="89">
        <f t="shared" si="1"/>
        <v>0</v>
      </c>
      <c r="S56" s="15"/>
      <c r="T56" s="62">
        <f t="shared" si="20"/>
        <v>0</v>
      </c>
      <c r="U56" s="62">
        <f t="shared" si="7"/>
        <v>0</v>
      </c>
      <c r="V56" s="15"/>
    </row>
    <row r="57" spans="1:22" x14ac:dyDescent="0.25">
      <c r="A57" s="25"/>
      <c r="B57" s="15" t="s">
        <v>72</v>
      </c>
      <c r="C57" s="56"/>
      <c r="D57" s="57"/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f t="shared" si="23"/>
        <v>0</v>
      </c>
      <c r="R57" s="89">
        <f t="shared" si="1"/>
        <v>0</v>
      </c>
      <c r="S57" s="15"/>
      <c r="T57" s="62">
        <f t="shared" si="20"/>
        <v>0</v>
      </c>
      <c r="U57" s="62">
        <f t="shared" si="7"/>
        <v>0</v>
      </c>
      <c r="V57" s="15"/>
    </row>
    <row r="58" spans="1:22" x14ac:dyDescent="0.25">
      <c r="A58" s="25"/>
      <c r="B58" s="15" t="s">
        <v>73</v>
      </c>
      <c r="C58" s="56"/>
      <c r="D58" s="57"/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f t="shared" si="22"/>
        <v>0</v>
      </c>
      <c r="R58" s="89">
        <f t="shared" si="1"/>
        <v>0</v>
      </c>
      <c r="S58" s="15"/>
      <c r="T58" s="62">
        <f t="shared" si="20"/>
        <v>0</v>
      </c>
      <c r="U58" s="62">
        <f t="shared" si="7"/>
        <v>0</v>
      </c>
      <c r="V58" s="15"/>
    </row>
    <row r="59" spans="1:22" x14ac:dyDescent="0.25">
      <c r="A59" s="25"/>
      <c r="B59" s="15" t="s">
        <v>74</v>
      </c>
      <c r="C59" s="56"/>
      <c r="D59" s="57"/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f t="shared" si="22"/>
        <v>0</v>
      </c>
      <c r="R59" s="89">
        <f t="shared" si="1"/>
        <v>0</v>
      </c>
      <c r="S59" s="15"/>
      <c r="T59" s="62">
        <f t="shared" si="20"/>
        <v>0</v>
      </c>
      <c r="U59" s="62">
        <f t="shared" si="7"/>
        <v>0</v>
      </c>
      <c r="V59" s="15"/>
    </row>
    <row r="60" spans="1:22" x14ac:dyDescent="0.25">
      <c r="A60" s="25"/>
      <c r="B60" s="15" t="s">
        <v>75</v>
      </c>
      <c r="C60" s="56"/>
      <c r="D60" s="57"/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f t="shared" si="22"/>
        <v>0</v>
      </c>
      <c r="R60" s="89">
        <f t="shared" si="1"/>
        <v>0</v>
      </c>
      <c r="S60" s="15"/>
      <c r="T60" s="62">
        <f t="shared" si="20"/>
        <v>0</v>
      </c>
      <c r="U60" s="62">
        <f t="shared" si="7"/>
        <v>0</v>
      </c>
      <c r="V60" s="15"/>
    </row>
    <row r="61" spans="1:22" x14ac:dyDescent="0.25">
      <c r="A61" s="25"/>
      <c r="B61" s="15" t="s">
        <v>76</v>
      </c>
      <c r="C61" s="56"/>
      <c r="D61" s="57"/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f t="shared" si="22"/>
        <v>0</v>
      </c>
      <c r="R61" s="89">
        <f t="shared" si="1"/>
        <v>0</v>
      </c>
      <c r="S61" s="15"/>
      <c r="T61" s="62">
        <f t="shared" si="20"/>
        <v>0</v>
      </c>
      <c r="U61" s="62">
        <f t="shared" si="7"/>
        <v>0</v>
      </c>
      <c r="V61" s="15"/>
    </row>
    <row r="62" spans="1:22" x14ac:dyDescent="0.25">
      <c r="A62" s="63" t="s">
        <v>77</v>
      </c>
      <c r="B62" s="15" t="s">
        <v>48</v>
      </c>
      <c r="C62" s="91">
        <f t="shared" ref="C62:D62" si="24">SUM(C50:C61)</f>
        <v>0</v>
      </c>
      <c r="D62" s="92">
        <f t="shared" si="24"/>
        <v>0</v>
      </c>
      <c r="E62" s="93">
        <f>SUM(E50:E61)</f>
        <v>0</v>
      </c>
      <c r="F62" s="93">
        <f t="shared" ref="F62:Q62" si="25">SUM(F50:F61)</f>
        <v>0</v>
      </c>
      <c r="G62" s="93">
        <f t="shared" si="25"/>
        <v>0</v>
      </c>
      <c r="H62" s="93">
        <f t="shared" si="25"/>
        <v>0</v>
      </c>
      <c r="I62" s="93">
        <f t="shared" si="25"/>
        <v>0</v>
      </c>
      <c r="J62" s="93">
        <f t="shared" si="25"/>
        <v>0</v>
      </c>
      <c r="K62" s="93">
        <f t="shared" si="25"/>
        <v>0</v>
      </c>
      <c r="L62" s="93">
        <f t="shared" si="25"/>
        <v>0</v>
      </c>
      <c r="M62" s="93">
        <f t="shared" si="25"/>
        <v>0</v>
      </c>
      <c r="N62" s="93">
        <f t="shared" si="25"/>
        <v>0</v>
      </c>
      <c r="O62" s="93">
        <f t="shared" si="25"/>
        <v>0</v>
      </c>
      <c r="P62" s="93">
        <f t="shared" si="25"/>
        <v>0</v>
      </c>
      <c r="Q62" s="93">
        <f t="shared" si="25"/>
        <v>0</v>
      </c>
      <c r="R62" s="94">
        <f t="shared" si="1"/>
        <v>0</v>
      </c>
      <c r="T62" s="96">
        <f t="shared" si="20"/>
        <v>0</v>
      </c>
      <c r="U62" s="96">
        <f t="shared" si="7"/>
        <v>0</v>
      </c>
    </row>
    <row r="63" spans="1:22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2" x14ac:dyDescent="0.25">
      <c r="A64" s="25"/>
      <c r="B64" s="15" t="s">
        <v>79</v>
      </c>
      <c r="C64" s="56"/>
      <c r="D64" s="57"/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f>SUM(E64:P64)</f>
        <v>0</v>
      </c>
      <c r="R64" s="89">
        <f t="shared" si="1"/>
        <v>0</v>
      </c>
      <c r="S64" s="15"/>
      <c r="T64" s="62">
        <f t="shared" si="20"/>
        <v>0</v>
      </c>
      <c r="U64" s="62">
        <f t="shared" si="7"/>
        <v>0</v>
      </c>
      <c r="V64" s="15"/>
    </row>
    <row r="65" spans="1:22" x14ac:dyDescent="0.25">
      <c r="A65" s="25"/>
      <c r="B65" s="15" t="s">
        <v>80</v>
      </c>
      <c r="C65" s="56"/>
      <c r="D65" s="57"/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f>SUM(E65:P65)</f>
        <v>0</v>
      </c>
      <c r="R65" s="89">
        <f t="shared" si="1"/>
        <v>0</v>
      </c>
      <c r="S65" s="15"/>
      <c r="T65" s="62">
        <f t="shared" si="20"/>
        <v>0</v>
      </c>
      <c r="U65" s="62">
        <f t="shared" si="7"/>
        <v>0</v>
      </c>
      <c r="V65" s="15"/>
    </row>
    <row r="66" spans="1:22" x14ac:dyDescent="0.25">
      <c r="A66" s="25"/>
      <c r="B66" s="15" t="s">
        <v>81</v>
      </c>
      <c r="C66" s="56"/>
      <c r="D66" s="57"/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f>SUM(E66:P66)</f>
        <v>0</v>
      </c>
      <c r="R66" s="89">
        <f t="shared" si="1"/>
        <v>0</v>
      </c>
      <c r="S66" s="15"/>
      <c r="T66" s="62">
        <f t="shared" si="20"/>
        <v>0</v>
      </c>
      <c r="U66" s="62">
        <f t="shared" si="7"/>
        <v>0</v>
      </c>
      <c r="V66" s="15"/>
    </row>
    <row r="67" spans="1:22" x14ac:dyDescent="0.25">
      <c r="A67" s="25"/>
      <c r="B67" s="15" t="s">
        <v>82</v>
      </c>
      <c r="C67" s="56"/>
      <c r="D67" s="57"/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f t="shared" ref="Q67:Q72" si="26">SUM(E67:P67)</f>
        <v>0</v>
      </c>
      <c r="R67" s="89">
        <f t="shared" si="1"/>
        <v>0</v>
      </c>
      <c r="S67" s="15"/>
      <c r="T67" s="62">
        <f t="shared" si="20"/>
        <v>0</v>
      </c>
      <c r="U67" s="62">
        <f t="shared" si="7"/>
        <v>0</v>
      </c>
      <c r="V67" s="15"/>
    </row>
    <row r="68" spans="1:22" x14ac:dyDescent="0.25">
      <c r="A68" s="25"/>
      <c r="B68" s="15" t="s">
        <v>83</v>
      </c>
      <c r="C68" s="56"/>
      <c r="D68" s="57"/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f t="shared" si="26"/>
        <v>0</v>
      </c>
      <c r="R68" s="89">
        <f t="shared" si="1"/>
        <v>0</v>
      </c>
      <c r="S68" s="15"/>
      <c r="T68" s="62">
        <f t="shared" si="20"/>
        <v>0</v>
      </c>
      <c r="U68" s="62">
        <f t="shared" si="7"/>
        <v>0</v>
      </c>
      <c r="V68" s="15"/>
    </row>
    <row r="69" spans="1:22" ht="23.25" x14ac:dyDescent="0.25">
      <c r="A69" s="25"/>
      <c r="B69" s="15" t="s">
        <v>84</v>
      </c>
      <c r="C69" s="56"/>
      <c r="D69" s="57"/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f t="shared" si="26"/>
        <v>0</v>
      </c>
      <c r="R69" s="89">
        <f t="shared" si="1"/>
        <v>0</v>
      </c>
      <c r="S69" s="15"/>
      <c r="T69" s="62">
        <f t="shared" si="20"/>
        <v>0</v>
      </c>
      <c r="U69" s="62">
        <f t="shared" si="7"/>
        <v>0</v>
      </c>
      <c r="V69" s="15"/>
    </row>
    <row r="70" spans="1:22" x14ac:dyDescent="0.25">
      <c r="A70" s="25"/>
      <c r="B70" s="15" t="s">
        <v>85</v>
      </c>
      <c r="C70" s="56"/>
      <c r="D70" s="57"/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f t="shared" si="26"/>
        <v>0</v>
      </c>
      <c r="R70" s="89">
        <f t="shared" si="1"/>
        <v>0</v>
      </c>
      <c r="S70" s="15"/>
      <c r="T70" s="62">
        <f t="shared" si="20"/>
        <v>0</v>
      </c>
      <c r="U70" s="62">
        <f t="shared" si="7"/>
        <v>0</v>
      </c>
      <c r="V70" s="15"/>
    </row>
    <row r="71" spans="1:22" x14ac:dyDescent="0.25">
      <c r="A71" s="25"/>
      <c r="B71" s="15" t="s">
        <v>86</v>
      </c>
      <c r="C71" s="56"/>
      <c r="D71" s="57"/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f t="shared" si="26"/>
        <v>0</v>
      </c>
      <c r="R71" s="89">
        <f t="shared" si="1"/>
        <v>0</v>
      </c>
      <c r="S71" s="15"/>
      <c r="T71" s="62">
        <f t="shared" si="20"/>
        <v>0</v>
      </c>
      <c r="U71" s="62">
        <f t="shared" si="7"/>
        <v>0</v>
      </c>
      <c r="V71" s="15"/>
    </row>
    <row r="72" spans="1:22" x14ac:dyDescent="0.25">
      <c r="A72" s="25"/>
      <c r="B72" s="15" t="s">
        <v>87</v>
      </c>
      <c r="C72" s="56"/>
      <c r="D72" s="57"/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f t="shared" si="26"/>
        <v>0</v>
      </c>
      <c r="R72" s="89">
        <f t="shared" si="1"/>
        <v>0</v>
      </c>
      <c r="S72" s="15"/>
      <c r="T72" s="62">
        <f t="shared" si="20"/>
        <v>0</v>
      </c>
      <c r="U72" s="62">
        <f t="shared" si="7"/>
        <v>0</v>
      </c>
      <c r="V72" s="15"/>
    </row>
    <row r="73" spans="1:22" x14ac:dyDescent="0.25">
      <c r="A73" s="63" t="s">
        <v>88</v>
      </c>
      <c r="B73" s="15" t="s">
        <v>48</v>
      </c>
      <c r="C73" s="91">
        <f t="shared" ref="C73:Q73" si="27">SUM(C64:C72)</f>
        <v>0</v>
      </c>
      <c r="D73" s="92">
        <f t="shared" si="27"/>
        <v>0</v>
      </c>
      <c r="E73" s="93">
        <f t="shared" si="27"/>
        <v>0</v>
      </c>
      <c r="F73" s="93">
        <f t="shared" si="27"/>
        <v>0</v>
      </c>
      <c r="G73" s="93">
        <f t="shared" si="27"/>
        <v>0</v>
      </c>
      <c r="H73" s="93">
        <f t="shared" si="27"/>
        <v>0</v>
      </c>
      <c r="I73" s="93">
        <f t="shared" si="27"/>
        <v>0</v>
      </c>
      <c r="J73" s="93">
        <f t="shared" si="27"/>
        <v>0</v>
      </c>
      <c r="K73" s="93">
        <f t="shared" si="27"/>
        <v>0</v>
      </c>
      <c r="L73" s="93">
        <f t="shared" si="27"/>
        <v>0</v>
      </c>
      <c r="M73" s="93">
        <f t="shared" si="27"/>
        <v>0</v>
      </c>
      <c r="N73" s="93">
        <f t="shared" si="27"/>
        <v>0</v>
      </c>
      <c r="O73" s="93">
        <f t="shared" si="27"/>
        <v>0</v>
      </c>
      <c r="P73" s="93">
        <f t="shared" si="27"/>
        <v>0</v>
      </c>
      <c r="Q73" s="93">
        <f t="shared" si="27"/>
        <v>0</v>
      </c>
      <c r="R73" s="94">
        <f t="shared" si="1"/>
        <v>0</v>
      </c>
      <c r="T73" s="96">
        <f t="shared" si="20"/>
        <v>0</v>
      </c>
      <c r="U73" s="96">
        <f t="shared" si="7"/>
        <v>0</v>
      </c>
    </row>
    <row r="74" spans="1:22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2" x14ac:dyDescent="0.25">
      <c r="A75" s="25"/>
      <c r="B75" s="15" t="s">
        <v>90</v>
      </c>
      <c r="C75" s="56"/>
      <c r="D75" s="57"/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f>SUM(E75:P75)</f>
        <v>0</v>
      </c>
      <c r="R75" s="89">
        <f t="shared" si="1"/>
        <v>0</v>
      </c>
      <c r="S75" s="15"/>
      <c r="T75" s="62">
        <f t="shared" si="20"/>
        <v>0</v>
      </c>
      <c r="U75" s="62">
        <f t="shared" si="7"/>
        <v>0</v>
      </c>
      <c r="V75" s="15"/>
    </row>
    <row r="76" spans="1:22" x14ac:dyDescent="0.25">
      <c r="A76" s="63" t="s">
        <v>91</v>
      </c>
      <c r="B76" s="15"/>
      <c r="C76" s="91">
        <f t="shared" ref="C76:D76" si="28">SUM(C75)</f>
        <v>0</v>
      </c>
      <c r="D76" s="92">
        <f t="shared" si="28"/>
        <v>0</v>
      </c>
      <c r="E76" s="93">
        <f>SUM(E75)</f>
        <v>0</v>
      </c>
      <c r="F76" s="93">
        <f t="shared" ref="F76:Q76" si="29">SUM(F75)</f>
        <v>0</v>
      </c>
      <c r="G76" s="93">
        <f t="shared" si="29"/>
        <v>0</v>
      </c>
      <c r="H76" s="93">
        <f t="shared" si="29"/>
        <v>0</v>
      </c>
      <c r="I76" s="93">
        <v>0</v>
      </c>
      <c r="J76" s="93">
        <v>0</v>
      </c>
      <c r="K76" s="93">
        <f t="shared" si="29"/>
        <v>0</v>
      </c>
      <c r="L76" s="93">
        <f t="shared" si="29"/>
        <v>0</v>
      </c>
      <c r="M76" s="93">
        <f t="shared" si="29"/>
        <v>0</v>
      </c>
      <c r="N76" s="93">
        <f t="shared" si="29"/>
        <v>0</v>
      </c>
      <c r="O76" s="93">
        <f t="shared" si="29"/>
        <v>0</v>
      </c>
      <c r="P76" s="93">
        <f t="shared" si="29"/>
        <v>0</v>
      </c>
      <c r="Q76" s="93">
        <f t="shared" si="29"/>
        <v>0</v>
      </c>
      <c r="R76" s="94">
        <f t="shared" si="1"/>
        <v>0</v>
      </c>
      <c r="T76" s="96">
        <f t="shared" si="20"/>
        <v>0</v>
      </c>
      <c r="U76" s="96">
        <f t="shared" si="7"/>
        <v>0</v>
      </c>
    </row>
    <row r="77" spans="1:22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2" x14ac:dyDescent="0.25">
      <c r="A78" s="25"/>
      <c r="B78" s="15" t="s">
        <v>93</v>
      </c>
      <c r="C78" s="56"/>
      <c r="D78" s="57"/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f>SUM(E78:P78)</f>
        <v>0</v>
      </c>
      <c r="R78" s="89">
        <f t="shared" si="1"/>
        <v>0</v>
      </c>
      <c r="S78" s="15"/>
      <c r="T78" s="62">
        <f t="shared" si="20"/>
        <v>0</v>
      </c>
      <c r="U78" s="62">
        <f t="shared" si="7"/>
        <v>0</v>
      </c>
      <c r="V78" s="15"/>
    </row>
    <row r="79" spans="1:22" x14ac:dyDescent="0.25">
      <c r="A79" s="25"/>
      <c r="B79" s="15" t="s">
        <v>94</v>
      </c>
      <c r="C79" s="56"/>
      <c r="D79" s="57"/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f>SUM(E79:P79)</f>
        <v>0</v>
      </c>
      <c r="R79" s="89">
        <f t="shared" si="1"/>
        <v>0</v>
      </c>
      <c r="S79" s="15"/>
      <c r="T79" s="62">
        <f t="shared" si="20"/>
        <v>0</v>
      </c>
      <c r="U79" s="62">
        <f t="shared" si="7"/>
        <v>0</v>
      </c>
      <c r="V79" s="15"/>
    </row>
    <row r="80" spans="1:22" x14ac:dyDescent="0.25">
      <c r="A80" s="25"/>
      <c r="B80" s="15" t="s">
        <v>95</v>
      </c>
      <c r="C80" s="56"/>
      <c r="D80" s="57"/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58">
        <f>SUM(E80:P80)</f>
        <v>0</v>
      </c>
      <c r="R80" s="89">
        <f t="shared" si="1"/>
        <v>0</v>
      </c>
      <c r="S80" s="15"/>
      <c r="T80" s="62">
        <f t="shared" si="20"/>
        <v>0</v>
      </c>
      <c r="U80" s="62">
        <f t="shared" si="7"/>
        <v>0</v>
      </c>
      <c r="V80" s="15"/>
    </row>
    <row r="81" spans="1:22" ht="23.25" x14ac:dyDescent="0.25">
      <c r="A81" s="25"/>
      <c r="B81" s="15" t="s">
        <v>96</v>
      </c>
      <c r="C81" s="56"/>
      <c r="D81" s="57"/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f>SUM(E81:P81)</f>
        <v>0</v>
      </c>
      <c r="R81" s="89">
        <f t="shared" si="1"/>
        <v>0</v>
      </c>
      <c r="S81" s="15"/>
      <c r="T81" s="62">
        <f t="shared" si="20"/>
        <v>0</v>
      </c>
      <c r="U81" s="62">
        <f t="shared" si="7"/>
        <v>0</v>
      </c>
      <c r="V81" s="15"/>
    </row>
    <row r="82" spans="1:22" x14ac:dyDescent="0.25">
      <c r="A82" s="63" t="s">
        <v>97</v>
      </c>
      <c r="B82" s="15" t="s">
        <v>48</v>
      </c>
      <c r="C82" s="91">
        <f t="shared" ref="C82:D82" si="30">SUM(C78:C81)</f>
        <v>0</v>
      </c>
      <c r="D82" s="92">
        <f t="shared" si="30"/>
        <v>0</v>
      </c>
      <c r="E82" s="93">
        <f>SUM(E78:E81)</f>
        <v>0</v>
      </c>
      <c r="F82" s="93">
        <f t="shared" ref="F82:Q82" si="31">SUM(F78:F81)</f>
        <v>0</v>
      </c>
      <c r="G82" s="93">
        <f t="shared" si="31"/>
        <v>0</v>
      </c>
      <c r="H82" s="93">
        <f t="shared" si="31"/>
        <v>0</v>
      </c>
      <c r="I82" s="93">
        <f t="shared" si="31"/>
        <v>0</v>
      </c>
      <c r="J82" s="93">
        <f t="shared" si="31"/>
        <v>0</v>
      </c>
      <c r="K82" s="93">
        <f t="shared" si="31"/>
        <v>0</v>
      </c>
      <c r="L82" s="93">
        <f t="shared" si="31"/>
        <v>0</v>
      </c>
      <c r="M82" s="93">
        <f t="shared" si="31"/>
        <v>0</v>
      </c>
      <c r="N82" s="93">
        <f t="shared" si="31"/>
        <v>0</v>
      </c>
      <c r="O82" s="93">
        <f t="shared" si="31"/>
        <v>0</v>
      </c>
      <c r="P82" s="93">
        <f t="shared" si="31"/>
        <v>0</v>
      </c>
      <c r="Q82" s="93">
        <f t="shared" si="31"/>
        <v>0</v>
      </c>
      <c r="R82" s="94">
        <f t="shared" si="1"/>
        <v>0</v>
      </c>
      <c r="T82" s="96">
        <f t="shared" si="20"/>
        <v>0</v>
      </c>
      <c r="U82" s="96">
        <f t="shared" si="7"/>
        <v>0</v>
      </c>
    </row>
    <row r="83" spans="1:22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2" x14ac:dyDescent="0.25">
      <c r="A84" s="25"/>
      <c r="B84" s="15" t="s">
        <v>99</v>
      </c>
      <c r="C84" s="56"/>
      <c r="D84" s="57"/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f t="shared" ref="Q84:Q89" si="32">SUM(E84:P84)</f>
        <v>0</v>
      </c>
      <c r="R84" s="89">
        <f t="shared" si="1"/>
        <v>0</v>
      </c>
      <c r="S84" s="15"/>
      <c r="T84" s="62">
        <f t="shared" si="20"/>
        <v>0</v>
      </c>
      <c r="U84" s="62">
        <f t="shared" si="7"/>
        <v>0</v>
      </c>
      <c r="V84" s="15"/>
    </row>
    <row r="85" spans="1:22" x14ac:dyDescent="0.25">
      <c r="A85" s="25"/>
      <c r="B85" s="15" t="s">
        <v>100</v>
      </c>
      <c r="C85" s="56"/>
      <c r="D85" s="57"/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f t="shared" si="32"/>
        <v>0</v>
      </c>
      <c r="R85" s="89">
        <f t="shared" si="1"/>
        <v>0</v>
      </c>
      <c r="S85" s="15"/>
      <c r="T85" s="62">
        <f t="shared" si="20"/>
        <v>0</v>
      </c>
      <c r="U85" s="62">
        <f t="shared" si="7"/>
        <v>0</v>
      </c>
      <c r="V85" s="15"/>
    </row>
    <row r="86" spans="1:22" x14ac:dyDescent="0.25">
      <c r="A86" s="25"/>
      <c r="B86" s="15" t="s">
        <v>101</v>
      </c>
      <c r="C86" s="56"/>
      <c r="D86" s="57"/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f t="shared" si="32"/>
        <v>0</v>
      </c>
      <c r="R86" s="89">
        <f t="shared" si="1"/>
        <v>0</v>
      </c>
      <c r="S86" s="15"/>
      <c r="T86" s="62">
        <f t="shared" si="20"/>
        <v>0</v>
      </c>
      <c r="U86" s="62">
        <f t="shared" si="7"/>
        <v>0</v>
      </c>
      <c r="V86" s="15"/>
    </row>
    <row r="87" spans="1:22" x14ac:dyDescent="0.25">
      <c r="A87" s="25"/>
      <c r="B87" s="15" t="s">
        <v>102</v>
      </c>
      <c r="C87" s="56"/>
      <c r="D87" s="57"/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f t="shared" si="32"/>
        <v>0</v>
      </c>
      <c r="R87" s="89">
        <f t="shared" si="1"/>
        <v>0</v>
      </c>
      <c r="S87" s="15"/>
      <c r="T87" s="62">
        <f t="shared" si="20"/>
        <v>0</v>
      </c>
      <c r="U87" s="62">
        <f t="shared" si="7"/>
        <v>0</v>
      </c>
      <c r="V87" s="15"/>
    </row>
    <row r="88" spans="1:22" x14ac:dyDescent="0.25">
      <c r="A88" s="25"/>
      <c r="B88" s="15" t="s">
        <v>103</v>
      </c>
      <c r="C88" s="56"/>
      <c r="D88" s="57"/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f t="shared" si="32"/>
        <v>0</v>
      </c>
      <c r="R88" s="89">
        <f t="shared" ref="R88:R130" si="33">AVERAGE(E88:P88)</f>
        <v>0</v>
      </c>
      <c r="S88" s="15"/>
      <c r="T88" s="62">
        <f t="shared" si="20"/>
        <v>0</v>
      </c>
      <c r="U88" s="62">
        <f t="shared" si="7"/>
        <v>0</v>
      </c>
      <c r="V88" s="15"/>
    </row>
    <row r="89" spans="1:22" x14ac:dyDescent="0.25">
      <c r="A89" s="25"/>
      <c r="B89" s="15" t="s">
        <v>104</v>
      </c>
      <c r="C89" s="56"/>
      <c r="D89" s="57"/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f t="shared" si="32"/>
        <v>0</v>
      </c>
      <c r="R89" s="89">
        <f t="shared" si="33"/>
        <v>0</v>
      </c>
      <c r="S89" s="15"/>
      <c r="T89" s="62">
        <f t="shared" si="20"/>
        <v>0</v>
      </c>
      <c r="U89" s="62">
        <f t="shared" ref="U89:U137" si="34">IFERROR((Q89-C89)/C89,0)</f>
        <v>0</v>
      </c>
      <c r="V89" s="15"/>
    </row>
    <row r="90" spans="1:22" x14ac:dyDescent="0.25">
      <c r="A90" s="63" t="s">
        <v>105</v>
      </c>
      <c r="B90" s="15" t="s">
        <v>48</v>
      </c>
      <c r="C90" s="91">
        <f t="shared" ref="C90:D90" si="35">SUM(C84:C89)</f>
        <v>0</v>
      </c>
      <c r="D90" s="92">
        <f t="shared" si="35"/>
        <v>0</v>
      </c>
      <c r="E90" s="93">
        <f t="shared" ref="E90:Q90" si="36">SUM(E84:E89)</f>
        <v>0</v>
      </c>
      <c r="F90" s="93">
        <f t="shared" si="36"/>
        <v>0</v>
      </c>
      <c r="G90" s="93">
        <f t="shared" si="36"/>
        <v>0</v>
      </c>
      <c r="H90" s="93">
        <f t="shared" si="36"/>
        <v>0</v>
      </c>
      <c r="I90" s="93">
        <f t="shared" si="36"/>
        <v>0</v>
      </c>
      <c r="J90" s="93">
        <f t="shared" si="36"/>
        <v>0</v>
      </c>
      <c r="K90" s="93">
        <f t="shared" si="36"/>
        <v>0</v>
      </c>
      <c r="L90" s="93">
        <f t="shared" si="36"/>
        <v>0</v>
      </c>
      <c r="M90" s="93">
        <f t="shared" si="36"/>
        <v>0</v>
      </c>
      <c r="N90" s="93">
        <f t="shared" si="36"/>
        <v>0</v>
      </c>
      <c r="O90" s="93">
        <f t="shared" si="36"/>
        <v>0</v>
      </c>
      <c r="P90" s="93">
        <f t="shared" si="36"/>
        <v>0</v>
      </c>
      <c r="Q90" s="93">
        <f t="shared" si="36"/>
        <v>0</v>
      </c>
      <c r="R90" s="94">
        <f>AVERAGE(E90:P90)</f>
        <v>0</v>
      </c>
      <c r="T90" s="96">
        <f t="shared" si="20"/>
        <v>0</v>
      </c>
      <c r="U90" s="96">
        <f t="shared" si="34"/>
        <v>0</v>
      </c>
    </row>
    <row r="91" spans="1:22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2" x14ac:dyDescent="0.25">
      <c r="A92" s="15"/>
      <c r="B92" s="15" t="s">
        <v>107</v>
      </c>
      <c r="C92" s="56"/>
      <c r="D92" s="57"/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f>SUM(E92:P92)</f>
        <v>0</v>
      </c>
      <c r="R92" s="89">
        <f>AVERAGE(E92:P92)</f>
        <v>0</v>
      </c>
      <c r="S92" s="15"/>
      <c r="T92" s="62">
        <f t="shared" si="20"/>
        <v>0</v>
      </c>
      <c r="U92" s="62">
        <f t="shared" si="34"/>
        <v>0</v>
      </c>
    </row>
    <row r="93" spans="1:22" x14ac:dyDescent="0.25">
      <c r="A93" s="25"/>
      <c r="B93" s="15" t="s">
        <v>108</v>
      </c>
      <c r="C93" s="56"/>
      <c r="D93" s="57"/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f>SUM(E93:P93)</f>
        <v>0</v>
      </c>
      <c r="R93" s="89">
        <f t="shared" si="33"/>
        <v>0</v>
      </c>
      <c r="S93" s="15"/>
      <c r="T93" s="62">
        <f t="shared" si="20"/>
        <v>0</v>
      </c>
      <c r="U93" s="62">
        <f t="shared" si="34"/>
        <v>0</v>
      </c>
      <c r="V93" s="15"/>
    </row>
    <row r="94" spans="1:22" x14ac:dyDescent="0.25">
      <c r="A94" s="25"/>
      <c r="B94" s="15" t="s">
        <v>109</v>
      </c>
      <c r="C94" s="56"/>
      <c r="D94" s="57"/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f>SUM(E94:P94)</f>
        <v>0</v>
      </c>
      <c r="R94" s="89">
        <f t="shared" si="33"/>
        <v>0</v>
      </c>
      <c r="S94" s="15"/>
      <c r="T94" s="62">
        <f t="shared" si="20"/>
        <v>0</v>
      </c>
      <c r="U94" s="62">
        <f t="shared" si="34"/>
        <v>0</v>
      </c>
      <c r="V94" s="15"/>
    </row>
    <row r="95" spans="1:22" x14ac:dyDescent="0.25">
      <c r="A95" s="63" t="s">
        <v>110</v>
      </c>
      <c r="B95" s="15"/>
      <c r="C95" s="91">
        <f t="shared" ref="C95:Q95" si="37">SUM(C92:C94)</f>
        <v>0</v>
      </c>
      <c r="D95" s="92">
        <f t="shared" si="37"/>
        <v>0</v>
      </c>
      <c r="E95" s="93">
        <f t="shared" si="37"/>
        <v>0</v>
      </c>
      <c r="F95" s="93">
        <f t="shared" si="37"/>
        <v>0</v>
      </c>
      <c r="G95" s="93">
        <f t="shared" si="37"/>
        <v>0</v>
      </c>
      <c r="H95" s="93">
        <f t="shared" si="37"/>
        <v>0</v>
      </c>
      <c r="I95" s="93">
        <f t="shared" si="37"/>
        <v>0</v>
      </c>
      <c r="J95" s="93">
        <f t="shared" si="37"/>
        <v>0</v>
      </c>
      <c r="K95" s="93">
        <f t="shared" si="37"/>
        <v>0</v>
      </c>
      <c r="L95" s="93">
        <f t="shared" si="37"/>
        <v>0</v>
      </c>
      <c r="M95" s="93">
        <f t="shared" si="37"/>
        <v>0</v>
      </c>
      <c r="N95" s="93">
        <f t="shared" si="37"/>
        <v>0</v>
      </c>
      <c r="O95" s="93">
        <f t="shared" si="37"/>
        <v>0</v>
      </c>
      <c r="P95" s="93">
        <f t="shared" si="37"/>
        <v>0</v>
      </c>
      <c r="Q95" s="93">
        <f t="shared" si="37"/>
        <v>0</v>
      </c>
      <c r="R95" s="94">
        <f t="shared" si="33"/>
        <v>0</v>
      </c>
      <c r="T95" s="96">
        <f t="shared" si="20"/>
        <v>0</v>
      </c>
      <c r="U95" s="96">
        <f t="shared" si="34"/>
        <v>0</v>
      </c>
    </row>
    <row r="96" spans="1:22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2" x14ac:dyDescent="0.25">
      <c r="A97" s="25"/>
      <c r="B97" s="15" t="s">
        <v>112</v>
      </c>
      <c r="C97" s="56"/>
      <c r="D97" s="57"/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f t="shared" ref="Q97:Q105" si="38">SUM(E97:P97)</f>
        <v>0</v>
      </c>
      <c r="R97" s="89">
        <f t="shared" si="33"/>
        <v>0</v>
      </c>
      <c r="S97" s="15"/>
      <c r="T97" s="62">
        <f t="shared" si="20"/>
        <v>0</v>
      </c>
      <c r="U97" s="62">
        <f t="shared" si="34"/>
        <v>0</v>
      </c>
      <c r="V97" s="15"/>
    </row>
    <row r="98" spans="1:22" ht="23.25" x14ac:dyDescent="0.25">
      <c r="A98" s="25"/>
      <c r="B98" s="15" t="s">
        <v>113</v>
      </c>
      <c r="C98" s="56"/>
      <c r="D98" s="57"/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f t="shared" si="38"/>
        <v>0</v>
      </c>
      <c r="R98" s="89">
        <f t="shared" si="33"/>
        <v>0</v>
      </c>
      <c r="S98" s="15"/>
      <c r="T98" s="62">
        <f t="shared" si="20"/>
        <v>0</v>
      </c>
      <c r="U98" s="62">
        <f t="shared" si="34"/>
        <v>0</v>
      </c>
      <c r="V98" s="15"/>
    </row>
    <row r="99" spans="1:22" x14ac:dyDescent="0.25">
      <c r="A99" s="25"/>
      <c r="B99" s="15" t="s">
        <v>114</v>
      </c>
      <c r="C99" s="56"/>
      <c r="D99" s="57"/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f t="shared" si="38"/>
        <v>0</v>
      </c>
      <c r="R99" s="89">
        <f t="shared" si="33"/>
        <v>0</v>
      </c>
      <c r="S99" s="15"/>
      <c r="T99" s="62">
        <f t="shared" si="20"/>
        <v>0</v>
      </c>
      <c r="U99" s="62">
        <f t="shared" si="34"/>
        <v>0</v>
      </c>
      <c r="V99" s="15"/>
    </row>
    <row r="100" spans="1:22" x14ac:dyDescent="0.25">
      <c r="A100" s="25"/>
      <c r="B100" s="15" t="s">
        <v>115</v>
      </c>
      <c r="C100" s="56">
        <f>180</f>
        <v>180</v>
      </c>
      <c r="D100" s="57">
        <f>C100/12</f>
        <v>15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f t="shared" si="38"/>
        <v>0</v>
      </c>
      <c r="R100" s="89">
        <f t="shared" si="33"/>
        <v>0</v>
      </c>
      <c r="S100" s="15"/>
      <c r="T100" s="62">
        <f t="shared" si="20"/>
        <v>0</v>
      </c>
      <c r="U100" s="62">
        <f t="shared" si="34"/>
        <v>-1</v>
      </c>
      <c r="V100" s="15"/>
    </row>
    <row r="101" spans="1:22" x14ac:dyDescent="0.25">
      <c r="A101" s="25"/>
      <c r="B101" s="15" t="s">
        <v>116</v>
      </c>
      <c r="C101" s="56">
        <f>100/10*12</f>
        <v>120</v>
      </c>
      <c r="D101" s="57">
        <f>C101/12</f>
        <v>10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f t="shared" si="38"/>
        <v>0</v>
      </c>
      <c r="R101" s="89">
        <f t="shared" si="33"/>
        <v>0</v>
      </c>
      <c r="S101" s="15"/>
      <c r="T101" s="62">
        <f t="shared" si="20"/>
        <v>0</v>
      </c>
      <c r="U101" s="62">
        <f t="shared" si="34"/>
        <v>-1</v>
      </c>
      <c r="V101" s="15"/>
    </row>
    <row r="102" spans="1:22" x14ac:dyDescent="0.25">
      <c r="A102" s="25"/>
      <c r="B102" s="15" t="s">
        <v>117</v>
      </c>
      <c r="C102" s="56"/>
      <c r="D102" s="57"/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f t="shared" si="38"/>
        <v>0</v>
      </c>
      <c r="R102" s="89">
        <f t="shared" si="33"/>
        <v>0</v>
      </c>
      <c r="S102" s="15"/>
      <c r="T102" s="62">
        <f t="shared" si="20"/>
        <v>0</v>
      </c>
      <c r="U102" s="62">
        <f t="shared" si="34"/>
        <v>0</v>
      </c>
      <c r="V102" s="15"/>
    </row>
    <row r="103" spans="1:22" ht="23.25" x14ac:dyDescent="0.25">
      <c r="A103" s="25"/>
      <c r="B103" s="15" t="s">
        <v>118</v>
      </c>
      <c r="C103" s="56"/>
      <c r="D103" s="57"/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58">
        <v>0</v>
      </c>
      <c r="Q103" s="58">
        <f t="shared" si="38"/>
        <v>0</v>
      </c>
      <c r="R103" s="89">
        <f t="shared" si="33"/>
        <v>0</v>
      </c>
      <c r="S103" s="15"/>
      <c r="T103" s="62">
        <f t="shared" ref="T103:T135" si="39">Q103/$Q$34</f>
        <v>0</v>
      </c>
      <c r="U103" s="62">
        <f t="shared" si="34"/>
        <v>0</v>
      </c>
    </row>
    <row r="104" spans="1:22" x14ac:dyDescent="0.25">
      <c r="A104" s="25"/>
      <c r="B104" s="15" t="s">
        <v>119</v>
      </c>
      <c r="C104" s="56"/>
      <c r="D104" s="57"/>
      <c r="E104" s="58">
        <f>(50*(E7+E8))+(25*(E9+E10))+(10*(E11+E12))+(15*E13)</f>
        <v>185</v>
      </c>
      <c r="F104" s="58">
        <f t="shared" ref="F104:P104" si="40">(50*(F7+F8))+(25*(F9+F10))+(10*(F11+F12))+(15*F13)</f>
        <v>185</v>
      </c>
      <c r="G104" s="58">
        <f t="shared" si="40"/>
        <v>185</v>
      </c>
      <c r="H104" s="58">
        <f t="shared" si="40"/>
        <v>185</v>
      </c>
      <c r="I104" s="58">
        <f t="shared" si="40"/>
        <v>185</v>
      </c>
      <c r="J104" s="58">
        <f t="shared" si="40"/>
        <v>185</v>
      </c>
      <c r="K104" s="58">
        <f t="shared" si="40"/>
        <v>245</v>
      </c>
      <c r="L104" s="58">
        <f>(50*(L7+L8))+(25*(L9+L10))+(10*(L11+L12))+(15*L13)</f>
        <v>245</v>
      </c>
      <c r="M104" s="58">
        <f t="shared" si="40"/>
        <v>245</v>
      </c>
      <c r="N104" s="58">
        <f t="shared" si="40"/>
        <v>245</v>
      </c>
      <c r="O104" s="58">
        <f t="shared" si="40"/>
        <v>245</v>
      </c>
      <c r="P104" s="58">
        <f t="shared" si="40"/>
        <v>245</v>
      </c>
      <c r="Q104" s="58">
        <f t="shared" si="38"/>
        <v>2580</v>
      </c>
      <c r="R104" s="89">
        <f t="shared" si="33"/>
        <v>215</v>
      </c>
      <c r="S104" s="15"/>
      <c r="T104" s="62">
        <f t="shared" si="39"/>
        <v>2.4931004893434441E-2</v>
      </c>
      <c r="U104" s="62">
        <f t="shared" si="34"/>
        <v>0</v>
      </c>
      <c r="V104" s="15"/>
    </row>
    <row r="105" spans="1:22" x14ac:dyDescent="0.25">
      <c r="A105" s="25"/>
      <c r="B105" s="15" t="s">
        <v>120</v>
      </c>
      <c r="C105" s="56"/>
      <c r="D105" s="57"/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f t="shared" si="38"/>
        <v>0</v>
      </c>
      <c r="R105" s="89">
        <f t="shared" si="33"/>
        <v>0</v>
      </c>
      <c r="S105" s="15"/>
      <c r="T105" s="62">
        <f t="shared" si="39"/>
        <v>0</v>
      </c>
      <c r="U105" s="62">
        <f t="shared" si="34"/>
        <v>0</v>
      </c>
      <c r="V105" s="15"/>
    </row>
    <row r="106" spans="1:22" x14ac:dyDescent="0.25">
      <c r="A106" s="25"/>
      <c r="B106" s="15" t="s">
        <v>121</v>
      </c>
      <c r="C106" s="56"/>
      <c r="D106" s="57"/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f>SUM(E106:P106)</f>
        <v>0</v>
      </c>
      <c r="R106" s="89">
        <f t="shared" si="33"/>
        <v>0</v>
      </c>
      <c r="S106" s="15"/>
      <c r="T106" s="62">
        <f t="shared" si="39"/>
        <v>0</v>
      </c>
      <c r="U106" s="62">
        <f t="shared" si="34"/>
        <v>0</v>
      </c>
      <c r="V106" s="15"/>
    </row>
    <row r="107" spans="1:22" x14ac:dyDescent="0.25">
      <c r="A107" s="25"/>
      <c r="B107" s="15" t="s">
        <v>122</v>
      </c>
      <c r="C107" s="56"/>
      <c r="D107" s="57"/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f t="shared" ref="Q107:Q120" si="41">SUM(E107:P107)</f>
        <v>0</v>
      </c>
      <c r="R107" s="89">
        <f t="shared" si="33"/>
        <v>0</v>
      </c>
      <c r="S107" s="15"/>
      <c r="T107" s="62">
        <f t="shared" si="39"/>
        <v>0</v>
      </c>
      <c r="U107" s="62">
        <f t="shared" si="34"/>
        <v>0</v>
      </c>
      <c r="V107" s="15"/>
    </row>
    <row r="108" spans="1:22" x14ac:dyDescent="0.25">
      <c r="A108" s="25"/>
      <c r="B108" s="15" t="s">
        <v>123</v>
      </c>
      <c r="C108" s="56"/>
      <c r="D108" s="57"/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f t="shared" si="41"/>
        <v>0</v>
      </c>
      <c r="R108" s="89">
        <f t="shared" si="33"/>
        <v>0</v>
      </c>
      <c r="S108" s="15"/>
      <c r="T108" s="62">
        <f t="shared" si="39"/>
        <v>0</v>
      </c>
      <c r="U108" s="62">
        <f t="shared" si="34"/>
        <v>0</v>
      </c>
      <c r="V108" s="15"/>
    </row>
    <row r="109" spans="1:22" x14ac:dyDescent="0.25">
      <c r="A109" s="25"/>
      <c r="B109" s="15" t="s">
        <v>124</v>
      </c>
      <c r="C109" s="56"/>
      <c r="D109" s="57"/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f t="shared" si="41"/>
        <v>0</v>
      </c>
      <c r="R109" s="89">
        <f t="shared" si="33"/>
        <v>0</v>
      </c>
      <c r="S109" s="15"/>
      <c r="T109" s="62">
        <f t="shared" si="39"/>
        <v>0</v>
      </c>
      <c r="U109" s="62">
        <f t="shared" si="34"/>
        <v>0</v>
      </c>
      <c r="V109" s="15"/>
    </row>
    <row r="110" spans="1:22" x14ac:dyDescent="0.25">
      <c r="A110" s="25"/>
      <c r="B110" s="15" t="s">
        <v>125</v>
      </c>
      <c r="C110" s="56"/>
      <c r="D110" s="57"/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f t="shared" si="41"/>
        <v>0</v>
      </c>
      <c r="R110" s="89">
        <f t="shared" si="33"/>
        <v>0</v>
      </c>
      <c r="S110" s="15"/>
      <c r="T110" s="62">
        <f t="shared" si="39"/>
        <v>0</v>
      </c>
      <c r="U110" s="62">
        <f t="shared" si="34"/>
        <v>0</v>
      </c>
      <c r="V110" s="15"/>
    </row>
    <row r="111" spans="1:22" x14ac:dyDescent="0.25">
      <c r="A111" s="25"/>
      <c r="B111" s="15" t="s">
        <v>126</v>
      </c>
      <c r="C111" s="56"/>
      <c r="D111" s="57"/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f t="shared" si="41"/>
        <v>0</v>
      </c>
      <c r="R111" s="89">
        <f t="shared" si="33"/>
        <v>0</v>
      </c>
      <c r="S111" s="15"/>
      <c r="T111" s="62">
        <f t="shared" si="39"/>
        <v>0</v>
      </c>
      <c r="U111" s="62">
        <f t="shared" si="34"/>
        <v>0</v>
      </c>
      <c r="V111" s="15"/>
    </row>
    <row r="112" spans="1:22" x14ac:dyDescent="0.25">
      <c r="A112" s="25"/>
      <c r="B112" s="15" t="s">
        <v>127</v>
      </c>
      <c r="C112" s="56"/>
      <c r="D112" s="57"/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f t="shared" si="41"/>
        <v>0</v>
      </c>
      <c r="R112" s="89">
        <f t="shared" si="33"/>
        <v>0</v>
      </c>
      <c r="S112" s="15"/>
      <c r="T112" s="62">
        <f t="shared" si="39"/>
        <v>0</v>
      </c>
      <c r="U112" s="62">
        <f t="shared" si="34"/>
        <v>0</v>
      </c>
      <c r="V112" s="15"/>
    </row>
    <row r="113" spans="1:22" x14ac:dyDescent="0.25">
      <c r="A113" s="25"/>
      <c r="B113" s="15" t="s">
        <v>128</v>
      </c>
      <c r="C113" s="56"/>
      <c r="D113" s="57"/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f t="shared" si="41"/>
        <v>0</v>
      </c>
      <c r="R113" s="89">
        <f t="shared" si="33"/>
        <v>0</v>
      </c>
      <c r="S113" s="15"/>
      <c r="T113" s="62">
        <f t="shared" si="39"/>
        <v>0</v>
      </c>
      <c r="U113" s="62">
        <f t="shared" si="34"/>
        <v>0</v>
      </c>
      <c r="V113" s="15"/>
    </row>
    <row r="114" spans="1:22" x14ac:dyDescent="0.25">
      <c r="A114" s="25"/>
      <c r="B114" s="15" t="s">
        <v>129</v>
      </c>
      <c r="C114" s="56"/>
      <c r="D114" s="57"/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f t="shared" si="41"/>
        <v>0</v>
      </c>
      <c r="R114" s="89">
        <f t="shared" si="33"/>
        <v>0</v>
      </c>
      <c r="S114" s="15"/>
      <c r="T114" s="62">
        <f t="shared" si="39"/>
        <v>0</v>
      </c>
      <c r="U114" s="62">
        <f t="shared" si="34"/>
        <v>0</v>
      </c>
    </row>
    <row r="115" spans="1:22" x14ac:dyDescent="0.25">
      <c r="A115" s="25"/>
      <c r="B115" s="15" t="s">
        <v>130</v>
      </c>
      <c r="C115" s="56"/>
      <c r="D115" s="57"/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f t="shared" si="41"/>
        <v>0</v>
      </c>
      <c r="R115" s="89">
        <f t="shared" si="33"/>
        <v>0</v>
      </c>
      <c r="S115" s="15"/>
      <c r="T115" s="62">
        <f t="shared" si="39"/>
        <v>0</v>
      </c>
      <c r="U115" s="62">
        <f t="shared" si="34"/>
        <v>0</v>
      </c>
      <c r="V115" s="15"/>
    </row>
    <row r="116" spans="1:22" x14ac:dyDescent="0.25">
      <c r="A116" s="25"/>
      <c r="B116" s="15" t="s">
        <v>131</v>
      </c>
      <c r="C116" s="56"/>
      <c r="D116" s="57"/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f t="shared" si="41"/>
        <v>0</v>
      </c>
      <c r="R116" s="89">
        <f t="shared" si="33"/>
        <v>0</v>
      </c>
      <c r="S116" s="15"/>
      <c r="T116" s="62">
        <f t="shared" si="39"/>
        <v>0</v>
      </c>
      <c r="U116" s="62">
        <f t="shared" si="34"/>
        <v>0</v>
      </c>
      <c r="V116" s="15"/>
    </row>
    <row r="117" spans="1:22" ht="23.25" x14ac:dyDescent="0.25">
      <c r="A117" s="25"/>
      <c r="B117" s="15" t="s">
        <v>132</v>
      </c>
      <c r="C117" s="56"/>
      <c r="D117" s="57"/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f t="shared" si="41"/>
        <v>0</v>
      </c>
      <c r="R117" s="89">
        <f t="shared" si="33"/>
        <v>0</v>
      </c>
      <c r="S117" s="15"/>
      <c r="T117" s="62">
        <f t="shared" si="39"/>
        <v>0</v>
      </c>
      <c r="U117" s="62">
        <f t="shared" si="34"/>
        <v>0</v>
      </c>
      <c r="V117" s="15"/>
    </row>
    <row r="118" spans="1:22" ht="23.25" x14ac:dyDescent="0.25">
      <c r="A118" s="25"/>
      <c r="B118" s="15" t="s">
        <v>133</v>
      </c>
      <c r="C118" s="56"/>
      <c r="D118" s="57"/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f t="shared" si="41"/>
        <v>0</v>
      </c>
      <c r="R118" s="89">
        <f t="shared" si="33"/>
        <v>0</v>
      </c>
      <c r="S118" s="15"/>
      <c r="T118" s="62">
        <f t="shared" si="39"/>
        <v>0</v>
      </c>
      <c r="U118" s="62">
        <f t="shared" si="34"/>
        <v>0</v>
      </c>
      <c r="V118" s="15"/>
    </row>
    <row r="119" spans="1:22" x14ac:dyDescent="0.25">
      <c r="A119" s="25"/>
      <c r="B119" s="15" t="s">
        <v>134</v>
      </c>
      <c r="C119" s="56"/>
      <c r="D119" s="57"/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f t="shared" si="41"/>
        <v>0</v>
      </c>
      <c r="R119" s="89">
        <f t="shared" si="33"/>
        <v>0</v>
      </c>
      <c r="S119" s="15"/>
      <c r="T119" s="62">
        <f t="shared" si="39"/>
        <v>0</v>
      </c>
      <c r="U119" s="62">
        <f t="shared" si="34"/>
        <v>0</v>
      </c>
      <c r="V119" s="15"/>
    </row>
    <row r="120" spans="1:22" x14ac:dyDescent="0.25">
      <c r="A120" s="25"/>
      <c r="B120" s="15" t="s">
        <v>135</v>
      </c>
      <c r="C120" s="56"/>
      <c r="D120" s="57"/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f t="shared" si="41"/>
        <v>0</v>
      </c>
      <c r="R120" s="89">
        <f t="shared" si="33"/>
        <v>0</v>
      </c>
      <c r="S120" s="15"/>
      <c r="T120" s="62">
        <f t="shared" si="39"/>
        <v>0</v>
      </c>
      <c r="U120" s="62">
        <f t="shared" si="34"/>
        <v>0</v>
      </c>
      <c r="V120" s="15"/>
    </row>
    <row r="121" spans="1:22" x14ac:dyDescent="0.25">
      <c r="A121" s="63" t="s">
        <v>136</v>
      </c>
      <c r="B121" s="15" t="s">
        <v>48</v>
      </c>
      <c r="C121" s="91">
        <f t="shared" ref="C121:Q121" si="42">SUM(C97:C120)</f>
        <v>300</v>
      </c>
      <c r="D121" s="92">
        <f t="shared" si="42"/>
        <v>25</v>
      </c>
      <c r="E121" s="93">
        <f t="shared" si="42"/>
        <v>185</v>
      </c>
      <c r="F121" s="93">
        <f t="shared" si="42"/>
        <v>185</v>
      </c>
      <c r="G121" s="93">
        <f t="shared" si="42"/>
        <v>185</v>
      </c>
      <c r="H121" s="93">
        <f t="shared" si="42"/>
        <v>185</v>
      </c>
      <c r="I121" s="93">
        <f t="shared" si="42"/>
        <v>185</v>
      </c>
      <c r="J121" s="93">
        <f t="shared" si="42"/>
        <v>185</v>
      </c>
      <c r="K121" s="93">
        <f t="shared" si="42"/>
        <v>245</v>
      </c>
      <c r="L121" s="93">
        <f t="shared" si="42"/>
        <v>245</v>
      </c>
      <c r="M121" s="93">
        <f t="shared" si="42"/>
        <v>245</v>
      </c>
      <c r="N121" s="93">
        <f t="shared" si="42"/>
        <v>245</v>
      </c>
      <c r="O121" s="93">
        <f t="shared" si="42"/>
        <v>245</v>
      </c>
      <c r="P121" s="93">
        <f t="shared" si="42"/>
        <v>245</v>
      </c>
      <c r="Q121" s="93">
        <f t="shared" si="42"/>
        <v>2580</v>
      </c>
      <c r="R121" s="94">
        <f>AVERAGE(E121:P121)</f>
        <v>215</v>
      </c>
      <c r="T121" s="96">
        <f t="shared" si="39"/>
        <v>2.4931004893434441E-2</v>
      </c>
      <c r="U121" s="96">
        <f t="shared" si="34"/>
        <v>7.6</v>
      </c>
    </row>
    <row r="122" spans="1:22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2" ht="23.25" x14ac:dyDescent="0.25">
      <c r="A123" s="25"/>
      <c r="B123" s="15" t="s">
        <v>138</v>
      </c>
      <c r="C123" s="56"/>
      <c r="D123" s="57"/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f>SUM(E123:P123)</f>
        <v>0</v>
      </c>
      <c r="R123" s="89">
        <f t="shared" si="33"/>
        <v>0</v>
      </c>
      <c r="S123" s="15"/>
      <c r="T123" s="62">
        <f t="shared" si="39"/>
        <v>0</v>
      </c>
      <c r="U123" s="62">
        <f t="shared" si="34"/>
        <v>0</v>
      </c>
      <c r="V123" s="15"/>
    </row>
    <row r="124" spans="1:22" x14ac:dyDescent="0.25">
      <c r="A124" s="63" t="s">
        <v>139</v>
      </c>
      <c r="B124" s="15" t="s">
        <v>48</v>
      </c>
      <c r="C124" s="91">
        <f t="shared" ref="C124:Q124" si="43">SUM(C123:C123)</f>
        <v>0</v>
      </c>
      <c r="D124" s="92">
        <f t="shared" si="43"/>
        <v>0</v>
      </c>
      <c r="E124" s="93">
        <f t="shared" si="43"/>
        <v>0</v>
      </c>
      <c r="F124" s="93">
        <f t="shared" si="43"/>
        <v>0</v>
      </c>
      <c r="G124" s="93">
        <f t="shared" si="43"/>
        <v>0</v>
      </c>
      <c r="H124" s="93">
        <f t="shared" si="43"/>
        <v>0</v>
      </c>
      <c r="I124" s="93">
        <f t="shared" si="43"/>
        <v>0</v>
      </c>
      <c r="J124" s="93">
        <f t="shared" si="43"/>
        <v>0</v>
      </c>
      <c r="K124" s="93">
        <f t="shared" si="43"/>
        <v>0</v>
      </c>
      <c r="L124" s="93">
        <f t="shared" si="43"/>
        <v>0</v>
      </c>
      <c r="M124" s="93">
        <f t="shared" si="43"/>
        <v>0</v>
      </c>
      <c r="N124" s="93">
        <f t="shared" si="43"/>
        <v>0</v>
      </c>
      <c r="O124" s="93">
        <f t="shared" si="43"/>
        <v>0</v>
      </c>
      <c r="P124" s="93">
        <f t="shared" si="43"/>
        <v>0</v>
      </c>
      <c r="Q124" s="93">
        <f t="shared" si="43"/>
        <v>0</v>
      </c>
      <c r="R124" s="94">
        <f t="shared" si="33"/>
        <v>0</v>
      </c>
      <c r="T124" s="96">
        <f t="shared" si="39"/>
        <v>0</v>
      </c>
      <c r="U124" s="96">
        <f t="shared" si="34"/>
        <v>0</v>
      </c>
    </row>
    <row r="125" spans="1:22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2" x14ac:dyDescent="0.25">
      <c r="A126" s="63"/>
      <c r="B126" s="15" t="s">
        <v>141</v>
      </c>
      <c r="C126" s="56"/>
      <c r="D126" s="57"/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f>SUM(E126:P126)</f>
        <v>0</v>
      </c>
      <c r="R126" s="89">
        <f t="shared" si="33"/>
        <v>0</v>
      </c>
      <c r="S126" s="15"/>
      <c r="T126" s="62">
        <f t="shared" si="39"/>
        <v>0</v>
      </c>
      <c r="U126" s="62">
        <f t="shared" si="34"/>
        <v>0</v>
      </c>
      <c r="V126" s="15"/>
    </row>
    <row r="127" spans="1:22" x14ac:dyDescent="0.25">
      <c r="A127" s="63" t="s">
        <v>142</v>
      </c>
      <c r="B127" s="15"/>
      <c r="C127" s="137">
        <f t="shared" ref="C127:Q127" si="44">SUM(C126:C126)</f>
        <v>0</v>
      </c>
      <c r="D127" s="138">
        <f t="shared" si="44"/>
        <v>0</v>
      </c>
      <c r="E127" s="139">
        <f t="shared" si="44"/>
        <v>0</v>
      </c>
      <c r="F127" s="139">
        <f t="shared" si="44"/>
        <v>0</v>
      </c>
      <c r="G127" s="139">
        <f t="shared" si="44"/>
        <v>0</v>
      </c>
      <c r="H127" s="139">
        <f t="shared" si="44"/>
        <v>0</v>
      </c>
      <c r="I127" s="139">
        <f t="shared" si="44"/>
        <v>0</v>
      </c>
      <c r="J127" s="139">
        <f t="shared" si="44"/>
        <v>0</v>
      </c>
      <c r="K127" s="139">
        <f t="shared" si="44"/>
        <v>0</v>
      </c>
      <c r="L127" s="139">
        <f t="shared" si="44"/>
        <v>0</v>
      </c>
      <c r="M127" s="139">
        <f t="shared" si="44"/>
        <v>0</v>
      </c>
      <c r="N127" s="139">
        <f t="shared" si="44"/>
        <v>0</v>
      </c>
      <c r="O127" s="139">
        <f t="shared" si="44"/>
        <v>0</v>
      </c>
      <c r="P127" s="139">
        <f t="shared" si="44"/>
        <v>0</v>
      </c>
      <c r="Q127" s="139">
        <f t="shared" si="44"/>
        <v>0</v>
      </c>
      <c r="R127" s="140">
        <f t="shared" si="33"/>
        <v>0</v>
      </c>
      <c r="T127" s="141">
        <f t="shared" si="39"/>
        <v>0</v>
      </c>
      <c r="U127" s="141">
        <f t="shared" si="34"/>
        <v>0</v>
      </c>
    </row>
    <row r="128" spans="1:22" s="142" customFormat="1" x14ac:dyDescent="0.25">
      <c r="A128" s="63" t="s">
        <v>143</v>
      </c>
      <c r="B128" s="142" t="s">
        <v>48</v>
      </c>
      <c r="C128" s="71">
        <f>C124+C121+C90+C82+C73+C62+C48+C95+C76+C127</f>
        <v>300</v>
      </c>
      <c r="D128" s="72">
        <f t="shared" ref="D128:Q128" si="45">D124+D121+D90+D82+D73+D62+D48+D95+D76+D127</f>
        <v>25</v>
      </c>
      <c r="E128" s="73">
        <f t="shared" si="45"/>
        <v>185</v>
      </c>
      <c r="F128" s="73">
        <f t="shared" si="45"/>
        <v>185</v>
      </c>
      <c r="G128" s="73">
        <f t="shared" si="45"/>
        <v>185</v>
      </c>
      <c r="H128" s="73">
        <f t="shared" si="45"/>
        <v>185</v>
      </c>
      <c r="I128" s="73">
        <f t="shared" si="45"/>
        <v>185</v>
      </c>
      <c r="J128" s="73">
        <f t="shared" si="45"/>
        <v>185</v>
      </c>
      <c r="K128" s="73">
        <f t="shared" si="45"/>
        <v>245</v>
      </c>
      <c r="L128" s="73">
        <f t="shared" si="45"/>
        <v>245</v>
      </c>
      <c r="M128" s="73">
        <f t="shared" si="45"/>
        <v>245</v>
      </c>
      <c r="N128" s="73">
        <f t="shared" si="45"/>
        <v>245</v>
      </c>
      <c r="O128" s="73">
        <f t="shared" si="45"/>
        <v>245</v>
      </c>
      <c r="P128" s="73">
        <f t="shared" si="45"/>
        <v>245</v>
      </c>
      <c r="Q128" s="73">
        <f t="shared" si="45"/>
        <v>2580</v>
      </c>
      <c r="R128" s="74">
        <f t="shared" si="33"/>
        <v>215</v>
      </c>
      <c r="T128" s="76">
        <f t="shared" si="39"/>
        <v>2.4931004893434441E-2</v>
      </c>
      <c r="U128" s="76">
        <f t="shared" si="34"/>
        <v>7.6</v>
      </c>
    </row>
    <row r="129" spans="1:21" x14ac:dyDescent="0.25">
      <c r="A129" s="78" t="s">
        <v>144</v>
      </c>
      <c r="B129" t="s">
        <v>48</v>
      </c>
      <c r="C129" s="79">
        <f t="shared" ref="C129:Q129" si="46">C34-C128</f>
        <v>24504.670000000002</v>
      </c>
      <c r="D129" s="80">
        <f t="shared" si="46"/>
        <v>-5609.9666666666662</v>
      </c>
      <c r="E129" s="81">
        <f t="shared" si="46"/>
        <v>7654</v>
      </c>
      <c r="F129" s="81">
        <f t="shared" si="46"/>
        <v>7654</v>
      </c>
      <c r="G129" s="81">
        <f t="shared" si="46"/>
        <v>7654</v>
      </c>
      <c r="H129" s="81">
        <f t="shared" si="46"/>
        <v>7654</v>
      </c>
      <c r="I129" s="81">
        <f t="shared" si="46"/>
        <v>7654</v>
      </c>
      <c r="J129" s="81">
        <f t="shared" si="46"/>
        <v>7654</v>
      </c>
      <c r="K129" s="81">
        <f t="shared" si="46"/>
        <v>9163.6000000000022</v>
      </c>
      <c r="L129" s="81">
        <f t="shared" si="46"/>
        <v>9163.6000000000022</v>
      </c>
      <c r="M129" s="81">
        <f t="shared" si="46"/>
        <v>9163.6000000000022</v>
      </c>
      <c r="N129" s="81">
        <f t="shared" si="46"/>
        <v>9163.6000000000022</v>
      </c>
      <c r="O129" s="81">
        <f t="shared" si="46"/>
        <v>9163.6000000000022</v>
      </c>
      <c r="P129" s="81">
        <f t="shared" si="46"/>
        <v>9163.6000000000022</v>
      </c>
      <c r="Q129" s="81">
        <f t="shared" si="46"/>
        <v>100905.60000000003</v>
      </c>
      <c r="R129" s="82">
        <f t="shared" si="33"/>
        <v>8408.8000000000029</v>
      </c>
      <c r="T129" s="31">
        <f t="shared" si="39"/>
        <v>0.97506899510656553</v>
      </c>
      <c r="U129" s="31">
        <f t="shared" si="34"/>
        <v>3.117811013166063</v>
      </c>
    </row>
    <row r="130" spans="1:21" x14ac:dyDescent="0.25">
      <c r="A130" s="78" t="s">
        <v>145</v>
      </c>
      <c r="B130" t="s">
        <v>48</v>
      </c>
      <c r="C130" s="339">
        <f t="shared" ref="C130:Q130" si="47">IFERROR(C129/C34,0)</f>
        <v>0.98790550327821336</v>
      </c>
      <c r="D130" s="340">
        <f t="shared" si="47"/>
        <v>1.0044763024548042</v>
      </c>
      <c r="E130" s="341">
        <f t="shared" si="47"/>
        <v>0.97640005102691674</v>
      </c>
      <c r="F130" s="341">
        <f t="shared" si="47"/>
        <v>0.97640005102691674</v>
      </c>
      <c r="G130" s="341">
        <f t="shared" si="47"/>
        <v>0.97640005102691674</v>
      </c>
      <c r="H130" s="341">
        <f t="shared" si="47"/>
        <v>0.97640005102691674</v>
      </c>
      <c r="I130" s="341">
        <f t="shared" si="47"/>
        <v>0.97640005102691674</v>
      </c>
      <c r="J130" s="341">
        <f t="shared" si="47"/>
        <v>0.97640005102691674</v>
      </c>
      <c r="K130" s="341">
        <f t="shared" si="47"/>
        <v>0.9739599940479986</v>
      </c>
      <c r="L130" s="341">
        <f t="shared" si="47"/>
        <v>0.9739599940479986</v>
      </c>
      <c r="M130" s="341">
        <f t="shared" si="47"/>
        <v>0.9739599940479986</v>
      </c>
      <c r="N130" s="341">
        <f t="shared" si="47"/>
        <v>0.9739599940479986</v>
      </c>
      <c r="O130" s="341">
        <f t="shared" si="47"/>
        <v>0.9739599940479986</v>
      </c>
      <c r="P130" s="341">
        <f t="shared" si="47"/>
        <v>0.9739599940479986</v>
      </c>
      <c r="Q130" s="341">
        <f t="shared" si="47"/>
        <v>0.97506899510656553</v>
      </c>
      <c r="R130" s="342">
        <f t="shared" si="33"/>
        <v>0.97518002253745761</v>
      </c>
      <c r="T130" s="31"/>
      <c r="U130" s="31">
        <f>IFERROR((Q130-C130)/C130,0)</f>
        <v>-1.2993659949308756E-2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f>SUM(E132:P132)</f>
        <v>0</v>
      </c>
      <c r="R132" s="89">
        <f t="shared" ref="R132:R137" si="48">AVERAGE(E132:P132)</f>
        <v>0</v>
      </c>
      <c r="S132" s="15"/>
      <c r="T132" s="62">
        <f t="shared" si="39"/>
        <v>0</v>
      </c>
      <c r="U132" s="62">
        <f t="shared" si="34"/>
        <v>0</v>
      </c>
    </row>
    <row r="133" spans="1:21" x14ac:dyDescent="0.25">
      <c r="A133" s="78"/>
      <c r="B133" s="15" t="s">
        <v>148</v>
      </c>
      <c r="C133" s="56"/>
      <c r="D133" s="57"/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f>SUM(E133:P133)</f>
        <v>0</v>
      </c>
      <c r="R133" s="89">
        <f t="shared" si="48"/>
        <v>0</v>
      </c>
      <c r="S133" s="15"/>
      <c r="T133" s="62">
        <f t="shared" si="39"/>
        <v>0</v>
      </c>
      <c r="U133" s="62">
        <f t="shared" si="34"/>
        <v>0</v>
      </c>
    </row>
    <row r="134" spans="1:21" x14ac:dyDescent="0.25">
      <c r="A134" s="63" t="s">
        <v>149</v>
      </c>
      <c r="C134" s="137">
        <f t="shared" ref="C134:D134" si="49">SUM(C132:C133)</f>
        <v>0</v>
      </c>
      <c r="D134" s="138">
        <f t="shared" si="49"/>
        <v>0</v>
      </c>
      <c r="E134" s="139">
        <f>SUM(E132:E133)</f>
        <v>0</v>
      </c>
      <c r="F134" s="139">
        <f t="shared" ref="F134:Q134" si="50">SUM(F132:F133)</f>
        <v>0</v>
      </c>
      <c r="G134" s="139">
        <f t="shared" si="50"/>
        <v>0</v>
      </c>
      <c r="H134" s="139">
        <f t="shared" si="50"/>
        <v>0</v>
      </c>
      <c r="I134" s="139">
        <f t="shared" si="50"/>
        <v>0</v>
      </c>
      <c r="J134" s="139">
        <f t="shared" si="50"/>
        <v>0</v>
      </c>
      <c r="K134" s="139">
        <f t="shared" si="50"/>
        <v>0</v>
      </c>
      <c r="L134" s="139">
        <f t="shared" si="50"/>
        <v>0</v>
      </c>
      <c r="M134" s="139">
        <f t="shared" si="50"/>
        <v>0</v>
      </c>
      <c r="N134" s="139">
        <f t="shared" si="50"/>
        <v>0</v>
      </c>
      <c r="O134" s="139">
        <f t="shared" si="50"/>
        <v>0</v>
      </c>
      <c r="P134" s="139">
        <f t="shared" si="50"/>
        <v>0</v>
      </c>
      <c r="Q134" s="139">
        <f t="shared" si="50"/>
        <v>0</v>
      </c>
      <c r="R134" s="140">
        <f>AVERAGE(E134:P134)</f>
        <v>0</v>
      </c>
      <c r="T134" s="141">
        <f t="shared" si="39"/>
        <v>0</v>
      </c>
      <c r="U134" s="141">
        <f t="shared" si="34"/>
        <v>0</v>
      </c>
    </row>
    <row r="135" spans="1:21" ht="22.5" x14ac:dyDescent="0.25">
      <c r="A135" s="63" t="s">
        <v>150</v>
      </c>
      <c r="C135" s="71">
        <f t="shared" ref="C135:D135" si="51">C134+C128</f>
        <v>300</v>
      </c>
      <c r="D135" s="72">
        <f t="shared" si="51"/>
        <v>25</v>
      </c>
      <c r="E135" s="73">
        <f>E134+E128</f>
        <v>185</v>
      </c>
      <c r="F135" s="73">
        <f t="shared" ref="F135:P135" si="52">F134+F128</f>
        <v>185</v>
      </c>
      <c r="G135" s="73">
        <f t="shared" si="52"/>
        <v>185</v>
      </c>
      <c r="H135" s="73">
        <f t="shared" si="52"/>
        <v>185</v>
      </c>
      <c r="I135" s="73">
        <f t="shared" si="52"/>
        <v>185</v>
      </c>
      <c r="J135" s="73">
        <f t="shared" si="52"/>
        <v>185</v>
      </c>
      <c r="K135" s="73">
        <f t="shared" si="52"/>
        <v>245</v>
      </c>
      <c r="L135" s="73">
        <f t="shared" si="52"/>
        <v>245</v>
      </c>
      <c r="M135" s="73">
        <f t="shared" si="52"/>
        <v>245</v>
      </c>
      <c r="N135" s="73">
        <f t="shared" si="52"/>
        <v>245</v>
      </c>
      <c r="O135" s="73">
        <f t="shared" si="52"/>
        <v>245</v>
      </c>
      <c r="P135" s="73">
        <f t="shared" si="52"/>
        <v>245</v>
      </c>
      <c r="Q135" s="73">
        <f>Q134+Q128</f>
        <v>2580</v>
      </c>
      <c r="R135" s="74">
        <f t="shared" si="48"/>
        <v>215</v>
      </c>
      <c r="T135" s="76">
        <f t="shared" si="39"/>
        <v>2.4931004893434441E-2</v>
      </c>
      <c r="U135" s="76">
        <f t="shared" si="34"/>
        <v>7.6</v>
      </c>
    </row>
    <row r="136" spans="1:21" x14ac:dyDescent="0.25">
      <c r="A136" s="78" t="s">
        <v>151</v>
      </c>
      <c r="C136" s="79">
        <f t="shared" ref="C136:Q136" si="53">C34-C135</f>
        <v>24504.670000000002</v>
      </c>
      <c r="D136" s="80">
        <f t="shared" si="53"/>
        <v>-5609.9666666666662</v>
      </c>
      <c r="E136" s="81">
        <f t="shared" si="53"/>
        <v>7654</v>
      </c>
      <c r="F136" s="81">
        <f t="shared" si="53"/>
        <v>7654</v>
      </c>
      <c r="G136" s="81">
        <f t="shared" si="53"/>
        <v>7654</v>
      </c>
      <c r="H136" s="81">
        <f t="shared" si="53"/>
        <v>7654</v>
      </c>
      <c r="I136" s="81">
        <f t="shared" si="53"/>
        <v>7654</v>
      </c>
      <c r="J136" s="81">
        <f t="shared" si="53"/>
        <v>7654</v>
      </c>
      <c r="K136" s="81">
        <f t="shared" si="53"/>
        <v>9163.6000000000022</v>
      </c>
      <c r="L136" s="81">
        <f t="shared" si="53"/>
        <v>9163.6000000000022</v>
      </c>
      <c r="M136" s="81">
        <f t="shared" si="53"/>
        <v>9163.6000000000022</v>
      </c>
      <c r="N136" s="81">
        <f t="shared" si="53"/>
        <v>9163.6000000000022</v>
      </c>
      <c r="O136" s="81">
        <f t="shared" si="53"/>
        <v>9163.6000000000022</v>
      </c>
      <c r="P136" s="81">
        <f t="shared" si="53"/>
        <v>9163.6000000000022</v>
      </c>
      <c r="Q136" s="81">
        <f t="shared" si="53"/>
        <v>100905.60000000003</v>
      </c>
      <c r="R136" s="82">
        <f>AVERAGE(E136:P136)</f>
        <v>8408.8000000000029</v>
      </c>
      <c r="T136" s="31">
        <f>Q136/$Q$34</f>
        <v>0.97506899510656553</v>
      </c>
      <c r="U136" s="31">
        <f t="shared" si="34"/>
        <v>3.117811013166063</v>
      </c>
    </row>
    <row r="137" spans="1:21" ht="15.75" thickBot="1" x14ac:dyDescent="0.3">
      <c r="A137" s="78" t="s">
        <v>152</v>
      </c>
      <c r="C137" s="344">
        <f>IFERROR(C136/C34,"")</f>
        <v>0.98790550327821336</v>
      </c>
      <c r="D137" s="345">
        <f>IFERROR(D136/D34,"")</f>
        <v>1.0044763024548042</v>
      </c>
      <c r="E137" s="341">
        <f t="shared" ref="E137:Q137" si="54">E136/E34</f>
        <v>0.97640005102691674</v>
      </c>
      <c r="F137" s="341">
        <f t="shared" si="54"/>
        <v>0.97640005102691674</v>
      </c>
      <c r="G137" s="341">
        <f t="shared" si="54"/>
        <v>0.97640005102691674</v>
      </c>
      <c r="H137" s="341">
        <f t="shared" si="54"/>
        <v>0.97640005102691674</v>
      </c>
      <c r="I137" s="341">
        <f t="shared" si="54"/>
        <v>0.97640005102691674</v>
      </c>
      <c r="J137" s="341">
        <f t="shared" si="54"/>
        <v>0.97640005102691674</v>
      </c>
      <c r="K137" s="341">
        <f t="shared" si="54"/>
        <v>0.9739599940479986</v>
      </c>
      <c r="L137" s="341">
        <f t="shared" si="54"/>
        <v>0.9739599940479986</v>
      </c>
      <c r="M137" s="341">
        <f t="shared" si="54"/>
        <v>0.9739599940479986</v>
      </c>
      <c r="N137" s="341">
        <f t="shared" si="54"/>
        <v>0.9739599940479986</v>
      </c>
      <c r="O137" s="341">
        <f t="shared" si="54"/>
        <v>0.9739599940479986</v>
      </c>
      <c r="P137" s="341">
        <f t="shared" si="54"/>
        <v>0.9739599940479986</v>
      </c>
      <c r="Q137" s="341">
        <f t="shared" si="54"/>
        <v>0.97506899510656553</v>
      </c>
      <c r="R137" s="346">
        <f t="shared" si="48"/>
        <v>0.97518002253745761</v>
      </c>
      <c r="T137" s="181"/>
      <c r="U137" s="181">
        <f t="shared" si="34"/>
        <v>-1.2993659949308756E-2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750B-8D35-4BD0-BAB3-C0015D8DF561}">
  <dimension ref="A1:AB137"/>
  <sheetViews>
    <sheetView workbookViewId="0">
      <selection activeCell="B30" sqref="B30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36.42578125" customWidth="1"/>
    <col min="20" max="20" width="10" bestFit="1" customWidth="1"/>
    <col min="21" max="21" width="11.85546875" customWidth="1"/>
    <col min="24" max="24" width="12.140625" customWidth="1"/>
    <col min="25" max="25" width="11.140625" customWidth="1"/>
    <col min="26" max="26" width="16.85546875" customWidth="1"/>
    <col min="27" max="27" width="14" customWidth="1"/>
  </cols>
  <sheetData>
    <row r="1" spans="1:28" ht="18" x14ac:dyDescent="0.25">
      <c r="A1" s="401" t="s">
        <v>373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8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8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8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8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8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8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8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8" x14ac:dyDescent="0.25">
      <c r="A9" s="25"/>
      <c r="B9" s="15" t="s">
        <v>24</v>
      </c>
      <c r="C9" s="16">
        <v>4.4640000000000004</v>
      </c>
      <c r="D9" s="17">
        <v>0.372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9">
        <f t="shared" si="0"/>
        <v>12</v>
      </c>
      <c r="R9" s="20">
        <f t="shared" si="1"/>
        <v>1</v>
      </c>
      <c r="S9" s="15"/>
      <c r="T9" s="21"/>
      <c r="U9" s="22">
        <f t="shared" si="2"/>
        <v>1.6881720430107525</v>
      </c>
    </row>
    <row r="10" spans="1:28" x14ac:dyDescent="0.25">
      <c r="A10" s="15"/>
      <c r="B10" s="15" t="s">
        <v>25</v>
      </c>
      <c r="C10" s="16">
        <v>96.948000000000008</v>
      </c>
      <c r="D10" s="17">
        <v>8.0790000000000006</v>
      </c>
      <c r="E10" s="18">
        <v>8</v>
      </c>
      <c r="F10" s="18">
        <v>8</v>
      </c>
      <c r="G10" s="18">
        <v>8</v>
      </c>
      <c r="H10" s="18">
        <v>8</v>
      </c>
      <c r="I10" s="18">
        <v>8</v>
      </c>
      <c r="J10" s="18">
        <v>8</v>
      </c>
      <c r="K10" s="18">
        <v>8</v>
      </c>
      <c r="L10" s="18">
        <v>8</v>
      </c>
      <c r="M10" s="18">
        <v>8</v>
      </c>
      <c r="N10" s="18">
        <v>8</v>
      </c>
      <c r="O10" s="18">
        <v>8</v>
      </c>
      <c r="P10" s="18">
        <v>8</v>
      </c>
      <c r="Q10" s="19">
        <f t="shared" si="0"/>
        <v>96</v>
      </c>
      <c r="R10" s="20">
        <f t="shared" si="1"/>
        <v>8</v>
      </c>
      <c r="S10" s="15"/>
      <c r="T10" s="21"/>
      <c r="U10" s="22">
        <f t="shared" si="2"/>
        <v>-9.7784379254859041E-3</v>
      </c>
    </row>
    <row r="11" spans="1:28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 t="shared" si="1"/>
        <v>#DIV/0!</v>
      </c>
      <c r="S11" s="15"/>
      <c r="T11" s="21"/>
      <c r="U11" s="22">
        <f t="shared" si="2"/>
        <v>0</v>
      </c>
    </row>
    <row r="12" spans="1:28" x14ac:dyDescent="0.25">
      <c r="A12" s="15"/>
      <c r="B12" s="15" t="s">
        <v>27</v>
      </c>
      <c r="C12" s="16">
        <v>161.03999999999996</v>
      </c>
      <c r="D12" s="17">
        <v>13.419999999999998</v>
      </c>
      <c r="E12" s="18">
        <v>15</v>
      </c>
      <c r="F12" s="18">
        <v>15</v>
      </c>
      <c r="G12" s="18">
        <v>15</v>
      </c>
      <c r="H12" s="18">
        <v>15</v>
      </c>
      <c r="I12" s="18">
        <v>15</v>
      </c>
      <c r="J12" s="18">
        <v>15</v>
      </c>
      <c r="K12" s="18">
        <v>16</v>
      </c>
      <c r="L12" s="18">
        <v>17</v>
      </c>
      <c r="M12" s="18">
        <v>17</v>
      </c>
      <c r="N12" s="18">
        <v>17</v>
      </c>
      <c r="O12" s="18">
        <v>17</v>
      </c>
      <c r="P12" s="18">
        <v>17</v>
      </c>
      <c r="Q12" s="19">
        <f t="shared" si="0"/>
        <v>191</v>
      </c>
      <c r="R12" s="20">
        <f>AVERAGE(E12:P12)</f>
        <v>15.916666666666666</v>
      </c>
      <c r="S12" s="15"/>
      <c r="T12" s="21"/>
      <c r="U12" s="22">
        <f t="shared" si="2"/>
        <v>0.18604073522106335</v>
      </c>
    </row>
    <row r="13" spans="1:28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 t="shared" si="1"/>
        <v>#DIV/0!</v>
      </c>
      <c r="S13" s="15"/>
      <c r="T13" s="21"/>
      <c r="U13" s="22">
        <f t="shared" si="2"/>
        <v>0</v>
      </c>
    </row>
    <row r="14" spans="1:28" x14ac:dyDescent="0.25">
      <c r="A14" s="25"/>
      <c r="B14" s="15" t="s">
        <v>29</v>
      </c>
      <c r="C14" s="26">
        <f>SUM(C7:C13)</f>
        <v>262.452</v>
      </c>
      <c r="D14" s="27">
        <f t="shared" ref="D14:Q14" si="3">SUM(D7:D13)</f>
        <v>21.870999999999999</v>
      </c>
      <c r="E14" s="28">
        <f t="shared" si="3"/>
        <v>24</v>
      </c>
      <c r="F14" s="28">
        <f t="shared" si="3"/>
        <v>24</v>
      </c>
      <c r="G14" s="28">
        <f t="shared" si="3"/>
        <v>24</v>
      </c>
      <c r="H14" s="28">
        <f t="shared" si="3"/>
        <v>24</v>
      </c>
      <c r="I14" s="28">
        <f t="shared" si="3"/>
        <v>24</v>
      </c>
      <c r="J14" s="28">
        <f t="shared" si="3"/>
        <v>24</v>
      </c>
      <c r="K14" s="28">
        <f t="shared" si="3"/>
        <v>25</v>
      </c>
      <c r="L14" s="28">
        <f t="shared" si="3"/>
        <v>26</v>
      </c>
      <c r="M14" s="28">
        <f t="shared" si="3"/>
        <v>26</v>
      </c>
      <c r="N14" s="28">
        <f t="shared" si="3"/>
        <v>26</v>
      </c>
      <c r="O14" s="28">
        <f t="shared" si="3"/>
        <v>26</v>
      </c>
      <c r="P14" s="28">
        <f t="shared" si="3"/>
        <v>26</v>
      </c>
      <c r="Q14" s="28">
        <f t="shared" si="3"/>
        <v>299</v>
      </c>
      <c r="R14" s="29">
        <f t="shared" si="1"/>
        <v>24.916666666666668</v>
      </c>
      <c r="T14" s="30"/>
      <c r="U14" s="31">
        <f>IFERROR((Q14-C14)/C14,0)</f>
        <v>0.13925594013381495</v>
      </c>
    </row>
    <row r="15" spans="1:28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  <c r="AB15" s="44"/>
    </row>
    <row r="16" spans="1:28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X16"/>
      <c r="Y16"/>
      <c r="Z16"/>
      <c r="AA16"/>
    </row>
    <row r="17" spans="1:27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X17"/>
      <c r="Y17"/>
      <c r="Z17"/>
      <c r="AA17"/>
    </row>
    <row r="18" spans="1:27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4"/>
        <v/>
      </c>
      <c r="X18"/>
      <c r="Y18"/>
      <c r="Z18"/>
      <c r="AA18"/>
    </row>
    <row r="19" spans="1:27" s="44" customFormat="1" x14ac:dyDescent="0.25">
      <c r="B19" s="15" t="s">
        <v>34</v>
      </c>
      <c r="C19" s="40"/>
      <c r="D19" s="41"/>
      <c r="E19" s="42">
        <v>195</v>
      </c>
      <c r="F19" s="42">
        <v>195</v>
      </c>
      <c r="G19" s="42">
        <v>195</v>
      </c>
      <c r="H19" s="42">
        <v>195</v>
      </c>
      <c r="I19" s="42">
        <v>195</v>
      </c>
      <c r="J19" s="42">
        <v>195</v>
      </c>
      <c r="K19" s="42">
        <v>195</v>
      </c>
      <c r="L19" s="42">
        <v>195</v>
      </c>
      <c r="M19" s="42">
        <v>195</v>
      </c>
      <c r="N19" s="42">
        <v>195</v>
      </c>
      <c r="O19" s="42">
        <v>195</v>
      </c>
      <c r="P19" s="42">
        <v>195</v>
      </c>
      <c r="Q19" s="42">
        <f>AVERAGE(E19:P19)</f>
        <v>195</v>
      </c>
      <c r="R19" s="43">
        <f t="shared" si="1"/>
        <v>195</v>
      </c>
      <c r="S19" s="15"/>
      <c r="T19" s="21"/>
      <c r="U19" s="22" t="str">
        <f t="shared" si="4"/>
        <v/>
      </c>
      <c r="X19"/>
      <c r="Y19"/>
      <c r="Z19"/>
      <c r="AA19"/>
    </row>
    <row r="20" spans="1:27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 t="shared" si="1"/>
        <v>0</v>
      </c>
      <c r="S20" s="15"/>
      <c r="T20" s="21"/>
      <c r="U20" s="22" t="str">
        <f t="shared" si="4"/>
        <v/>
      </c>
      <c r="X20"/>
      <c r="Y20"/>
      <c r="Z20"/>
      <c r="AA20"/>
    </row>
    <row r="21" spans="1:27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 t="shared" si="1"/>
        <v>0</v>
      </c>
      <c r="S21" s="15"/>
      <c r="T21" s="21"/>
      <c r="U21" s="22" t="str">
        <f t="shared" si="4"/>
        <v/>
      </c>
      <c r="X21"/>
      <c r="Y21"/>
      <c r="Z21"/>
      <c r="AA21"/>
    </row>
    <row r="22" spans="1:27" s="44" customFormat="1" x14ac:dyDescent="0.25">
      <c r="B22" s="15"/>
      <c r="C22" s="46"/>
      <c r="D22" s="47"/>
      <c r="E22" s="42"/>
      <c r="R22" s="48"/>
      <c r="S22" s="49"/>
      <c r="T22" s="50"/>
      <c r="U22" s="50"/>
      <c r="X22"/>
      <c r="Y22"/>
      <c r="Z22"/>
      <c r="AA22"/>
    </row>
    <row r="23" spans="1:27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7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15"/>
    </row>
    <row r="25" spans="1:27" x14ac:dyDescent="0.25">
      <c r="A25" s="25"/>
      <c r="B25" s="15" t="s">
        <v>39</v>
      </c>
      <c r="C25" s="56">
        <v>0</v>
      </c>
      <c r="D25" s="57">
        <f t="shared" ref="D25:D29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 t="shared" si="1"/>
        <v>0</v>
      </c>
      <c r="S25" s="15"/>
      <c r="T25" s="61"/>
      <c r="U25" s="62">
        <f t="shared" si="6"/>
        <v>0</v>
      </c>
      <c r="V25" s="15"/>
    </row>
    <row r="26" spans="1:27" x14ac:dyDescent="0.25">
      <c r="A26" s="25"/>
      <c r="B26" s="15" t="s">
        <v>40</v>
      </c>
      <c r="C26" s="56">
        <v>304797.36</v>
      </c>
      <c r="D26" s="57">
        <f t="shared" si="7"/>
        <v>25399.78</v>
      </c>
      <c r="E26" s="58">
        <f>(((E9*E18)*21.75)+(((E10*E19)*13.08)+(((E11*E20)*4.33))))</f>
        <v>26929.8</v>
      </c>
      <c r="F26" s="58">
        <f t="shared" ref="F26:O26" si="8">(((F9*F18)*21.75)+(((F10*F19)*13.08)+(((F11*F20)*4.33))))</f>
        <v>26929.8</v>
      </c>
      <c r="G26" s="58">
        <f t="shared" si="8"/>
        <v>26929.8</v>
      </c>
      <c r="H26" s="58">
        <f t="shared" si="8"/>
        <v>26929.8</v>
      </c>
      <c r="I26" s="58">
        <f t="shared" si="8"/>
        <v>26929.8</v>
      </c>
      <c r="J26" s="58">
        <f t="shared" si="8"/>
        <v>26929.8</v>
      </c>
      <c r="K26" s="58">
        <f t="shared" si="8"/>
        <v>26929.8</v>
      </c>
      <c r="L26" s="58">
        <f t="shared" si="8"/>
        <v>26929.8</v>
      </c>
      <c r="M26" s="58">
        <f t="shared" si="8"/>
        <v>26929.8</v>
      </c>
      <c r="N26" s="58">
        <f t="shared" si="8"/>
        <v>26929.8</v>
      </c>
      <c r="O26" s="58">
        <f t="shared" si="8"/>
        <v>26929.8</v>
      </c>
      <c r="P26" s="58">
        <f>(((P9*P18)*21.75)+(((P10*P19)*13.08)+(((P11*P20)*4.33))))</f>
        <v>26929.8</v>
      </c>
      <c r="Q26" s="59">
        <f>SUM(E26:P26)</f>
        <v>323157.59999999992</v>
      </c>
      <c r="R26" s="60">
        <f t="shared" si="1"/>
        <v>26929.799999999992</v>
      </c>
      <c r="S26" s="15"/>
      <c r="T26" s="61"/>
      <c r="U26" s="62">
        <f t="shared" si="6"/>
        <v>6.0237529616398035E-2</v>
      </c>
      <c r="V26" s="15"/>
    </row>
    <row r="27" spans="1:27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 t="shared" si="1"/>
        <v>0</v>
      </c>
      <c r="S27" s="15"/>
      <c r="T27" s="61"/>
      <c r="U27" s="62">
        <f t="shared" si="6"/>
        <v>0</v>
      </c>
      <c r="V27" s="15"/>
    </row>
    <row r="28" spans="1:27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9"/>
        <v>0</v>
      </c>
      <c r="L28" s="58">
        <f t="shared" si="9"/>
        <v>0</v>
      </c>
      <c r="M28" s="58">
        <f t="shared" si="9"/>
        <v>0</v>
      </c>
      <c r="N28" s="58">
        <f t="shared" si="9"/>
        <v>0</v>
      </c>
      <c r="O28" s="58">
        <f t="shared" si="9"/>
        <v>0</v>
      </c>
      <c r="P28" s="58">
        <f t="shared" si="9"/>
        <v>0</v>
      </c>
      <c r="Q28" s="59">
        <f>SUM(E28:P28)</f>
        <v>0</v>
      </c>
      <c r="R28" s="60">
        <f t="shared" si="1"/>
        <v>0</v>
      </c>
      <c r="S28" s="15"/>
      <c r="T28" s="61"/>
      <c r="U28" s="62">
        <f t="shared" si="6"/>
        <v>0</v>
      </c>
      <c r="V28" s="15"/>
    </row>
    <row r="29" spans="1:27" x14ac:dyDescent="0.25">
      <c r="A29" s="63" t="s">
        <v>43</v>
      </c>
      <c r="B29" s="15"/>
      <c r="C29" s="347">
        <f>SUM(C24:C28)</f>
        <v>304797.36</v>
      </c>
      <c r="D29" s="57">
        <f t="shared" si="7"/>
        <v>25399.78</v>
      </c>
      <c r="E29" s="348">
        <f t="shared" ref="E29:Q29" si="10">SUM(E24:E28)</f>
        <v>26929.8</v>
      </c>
      <c r="F29" s="348">
        <f t="shared" si="10"/>
        <v>26929.8</v>
      </c>
      <c r="G29" s="348">
        <f t="shared" si="10"/>
        <v>26929.8</v>
      </c>
      <c r="H29" s="348">
        <f t="shared" si="10"/>
        <v>26929.8</v>
      </c>
      <c r="I29" s="348">
        <f t="shared" si="10"/>
        <v>26929.8</v>
      </c>
      <c r="J29" s="348">
        <f t="shared" si="10"/>
        <v>26929.8</v>
      </c>
      <c r="K29" s="348">
        <f t="shared" si="10"/>
        <v>26929.8</v>
      </c>
      <c r="L29" s="348">
        <f t="shared" si="10"/>
        <v>26929.8</v>
      </c>
      <c r="M29" s="348">
        <f t="shared" si="10"/>
        <v>26929.8</v>
      </c>
      <c r="N29" s="348">
        <f t="shared" si="10"/>
        <v>26929.8</v>
      </c>
      <c r="O29" s="348">
        <f t="shared" si="10"/>
        <v>26929.8</v>
      </c>
      <c r="P29" s="348">
        <f t="shared" si="10"/>
        <v>26929.8</v>
      </c>
      <c r="Q29" s="348">
        <f t="shared" si="10"/>
        <v>323157.59999999992</v>
      </c>
      <c r="R29" s="349">
        <f>AVERAGE(E29:P29)</f>
        <v>26929.799999999992</v>
      </c>
      <c r="T29" s="68"/>
      <c r="U29" s="69">
        <f t="shared" si="6"/>
        <v>6.0237529616398035E-2</v>
      </c>
    </row>
    <row r="30" spans="1:27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7" x14ac:dyDescent="0.25">
      <c r="A31" s="63"/>
      <c r="B31" s="15" t="s">
        <v>45</v>
      </c>
      <c r="C31" s="56">
        <v>-264505.78999999998</v>
      </c>
      <c r="D31" s="57">
        <f>C31/12</f>
        <v>-22042.149166666666</v>
      </c>
      <c r="E31" s="58">
        <f t="shared" ref="E31:P31" si="11">-E26*0.7</f>
        <v>-18850.859999999997</v>
      </c>
      <c r="F31" s="58">
        <f t="shared" si="11"/>
        <v>-18850.859999999997</v>
      </c>
      <c r="G31" s="58">
        <f t="shared" si="11"/>
        <v>-18850.859999999997</v>
      </c>
      <c r="H31" s="58">
        <f t="shared" si="11"/>
        <v>-18850.859999999997</v>
      </c>
      <c r="I31" s="58">
        <f t="shared" si="11"/>
        <v>-18850.859999999997</v>
      </c>
      <c r="J31" s="58">
        <f t="shared" si="11"/>
        <v>-18850.859999999997</v>
      </c>
      <c r="K31" s="58">
        <f t="shared" si="11"/>
        <v>-18850.859999999997</v>
      </c>
      <c r="L31" s="58">
        <f t="shared" si="11"/>
        <v>-18850.859999999997</v>
      </c>
      <c r="M31" s="58">
        <f t="shared" si="11"/>
        <v>-18850.859999999997</v>
      </c>
      <c r="N31" s="58">
        <f t="shared" si="11"/>
        <v>-18850.859999999997</v>
      </c>
      <c r="O31" s="58">
        <f t="shared" si="11"/>
        <v>-18850.859999999997</v>
      </c>
      <c r="P31" s="58">
        <f t="shared" si="11"/>
        <v>-18850.859999999997</v>
      </c>
      <c r="Q31" s="59">
        <f>SUM(E31:P31)</f>
        <v>-226210.31999999992</v>
      </c>
      <c r="R31" s="60">
        <f>AVERAGE(E31:P31)</f>
        <v>-18850.859999999993</v>
      </c>
      <c r="S31" s="15"/>
      <c r="T31" s="61"/>
      <c r="U31" s="62">
        <f t="shared" si="6"/>
        <v>-0.14478121632044449</v>
      </c>
    </row>
    <row r="32" spans="1:27" x14ac:dyDescent="0.25">
      <c r="A32" s="63" t="s">
        <v>46</v>
      </c>
      <c r="B32" s="15"/>
      <c r="C32" s="347">
        <f t="shared" ref="C32:D32" si="12">SUM(C31)</f>
        <v>-264505.78999999998</v>
      </c>
      <c r="D32" s="350">
        <f t="shared" si="12"/>
        <v>-22042.149166666666</v>
      </c>
      <c r="E32" s="348">
        <f>SUM(E31)</f>
        <v>-18850.859999999997</v>
      </c>
      <c r="F32" s="348">
        <f>SUM(F31)</f>
        <v>-18850.859999999997</v>
      </c>
      <c r="G32" s="348">
        <f t="shared" ref="G32:P32" si="13">SUM(G31)</f>
        <v>-18850.859999999997</v>
      </c>
      <c r="H32" s="348">
        <f t="shared" si="13"/>
        <v>-18850.859999999997</v>
      </c>
      <c r="I32" s="348">
        <f t="shared" si="13"/>
        <v>-18850.859999999997</v>
      </c>
      <c r="J32" s="348">
        <f t="shared" si="13"/>
        <v>-18850.859999999997</v>
      </c>
      <c r="K32" s="348">
        <f t="shared" si="13"/>
        <v>-18850.859999999997</v>
      </c>
      <c r="L32" s="348">
        <f t="shared" si="13"/>
        <v>-18850.859999999997</v>
      </c>
      <c r="M32" s="348">
        <f t="shared" si="13"/>
        <v>-18850.859999999997</v>
      </c>
      <c r="N32" s="348">
        <f t="shared" si="13"/>
        <v>-18850.859999999997</v>
      </c>
      <c r="O32" s="348">
        <f t="shared" si="13"/>
        <v>-18850.859999999997</v>
      </c>
      <c r="P32" s="348">
        <f t="shared" si="13"/>
        <v>-18850.859999999997</v>
      </c>
      <c r="Q32" s="348">
        <f>SUM(Q31)</f>
        <v>-226210.31999999992</v>
      </c>
      <c r="R32" s="349">
        <f>AVERAGE(E32:P32)</f>
        <v>-18850.859999999993</v>
      </c>
      <c r="T32" s="68"/>
      <c r="U32" s="69">
        <f t="shared" si="6"/>
        <v>-0.14478121632044449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4">C29+C32</f>
        <v>40291.570000000007</v>
      </c>
      <c r="D33" s="352">
        <f t="shared" si="14"/>
        <v>3357.6308333333327</v>
      </c>
      <c r="E33" s="353">
        <f>E29+E32</f>
        <v>8078.9400000000023</v>
      </c>
      <c r="F33" s="353">
        <f>F29+F32</f>
        <v>8078.9400000000023</v>
      </c>
      <c r="G33" s="353">
        <f t="shared" ref="G33:Q33" si="15">G29+G32</f>
        <v>8078.9400000000023</v>
      </c>
      <c r="H33" s="353">
        <f t="shared" si="15"/>
        <v>8078.9400000000023</v>
      </c>
      <c r="I33" s="353">
        <f t="shared" si="15"/>
        <v>8078.9400000000023</v>
      </c>
      <c r="J33" s="353">
        <f t="shared" si="15"/>
        <v>8078.9400000000023</v>
      </c>
      <c r="K33" s="353">
        <f t="shared" si="15"/>
        <v>8078.9400000000023</v>
      </c>
      <c r="L33" s="353">
        <f t="shared" si="15"/>
        <v>8078.9400000000023</v>
      </c>
      <c r="M33" s="353">
        <f t="shared" si="15"/>
        <v>8078.9400000000023</v>
      </c>
      <c r="N33" s="353">
        <f t="shared" si="15"/>
        <v>8078.9400000000023</v>
      </c>
      <c r="O33" s="353">
        <f t="shared" si="15"/>
        <v>8078.9400000000023</v>
      </c>
      <c r="P33" s="353">
        <f t="shared" si="15"/>
        <v>8078.9400000000023</v>
      </c>
      <c r="Q33" s="353">
        <f t="shared" si="15"/>
        <v>96947.28</v>
      </c>
      <c r="R33" s="354">
        <f>AVERAGE(E33:P33)</f>
        <v>8078.9400000000023</v>
      </c>
      <c r="T33" s="75"/>
      <c r="U33" s="76">
        <f t="shared" si="6"/>
        <v>1.4061430219770532</v>
      </c>
    </row>
    <row r="34" spans="1:21" x14ac:dyDescent="0.25">
      <c r="A34" s="78" t="s">
        <v>49</v>
      </c>
      <c r="B34" t="s">
        <v>48</v>
      </c>
      <c r="C34" s="355">
        <f t="shared" ref="C34:D34" si="16">C33</f>
        <v>40291.570000000007</v>
      </c>
      <c r="D34" s="356">
        <f t="shared" si="16"/>
        <v>3357.6308333333327</v>
      </c>
      <c r="E34" s="357">
        <f>E33</f>
        <v>8078.9400000000023</v>
      </c>
      <c r="F34" s="357">
        <f t="shared" ref="F34:Q34" si="17">F33</f>
        <v>8078.9400000000023</v>
      </c>
      <c r="G34" s="357">
        <f t="shared" si="17"/>
        <v>8078.9400000000023</v>
      </c>
      <c r="H34" s="357">
        <f t="shared" si="17"/>
        <v>8078.9400000000023</v>
      </c>
      <c r="I34" s="357">
        <f t="shared" si="17"/>
        <v>8078.9400000000023</v>
      </c>
      <c r="J34" s="357">
        <f t="shared" si="17"/>
        <v>8078.9400000000023</v>
      </c>
      <c r="K34" s="357">
        <f t="shared" si="17"/>
        <v>8078.9400000000023</v>
      </c>
      <c r="L34" s="357">
        <f t="shared" si="17"/>
        <v>8078.9400000000023</v>
      </c>
      <c r="M34" s="357">
        <f t="shared" si="17"/>
        <v>8078.9400000000023</v>
      </c>
      <c r="N34" s="357">
        <f t="shared" si="17"/>
        <v>8078.9400000000023</v>
      </c>
      <c r="O34" s="357">
        <f t="shared" si="17"/>
        <v>8078.9400000000023</v>
      </c>
      <c r="P34" s="357">
        <f t="shared" si="17"/>
        <v>8078.9400000000023</v>
      </c>
      <c r="Q34" s="357">
        <f t="shared" si="17"/>
        <v>96947.28</v>
      </c>
      <c r="R34" s="358">
        <f t="shared" si="1"/>
        <v>8078.9400000000023</v>
      </c>
      <c r="T34" s="30"/>
      <c r="U34" s="31">
        <f t="shared" si="6"/>
        <v>1.4061430219770532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f>SUM(E37:P37)</f>
        <v>0</v>
      </c>
      <c r="R37" s="89">
        <f t="shared" si="1"/>
        <v>0</v>
      </c>
      <c r="S37" s="15"/>
      <c r="T37" s="62">
        <f>Q37/$Q$34</f>
        <v>0</v>
      </c>
      <c r="U37" s="62">
        <f t="shared" si="6"/>
        <v>0</v>
      </c>
    </row>
    <row r="38" spans="1:21" x14ac:dyDescent="0.25">
      <c r="A38" s="25"/>
      <c r="B38" s="15" t="s">
        <v>53</v>
      </c>
      <c r="C38" s="56"/>
      <c r="D38" s="57"/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f t="shared" ref="Q38:Q47" si="18">SUM(E38:P38)</f>
        <v>0</v>
      </c>
      <c r="R38" s="89">
        <f t="shared" si="1"/>
        <v>0</v>
      </c>
      <c r="S38" s="15"/>
      <c r="T38" s="62">
        <f t="shared" ref="T38:T102" si="19">Q38/$Q$34</f>
        <v>0</v>
      </c>
      <c r="U38" s="62">
        <f t="shared" si="6"/>
        <v>0</v>
      </c>
    </row>
    <row r="39" spans="1:21" x14ac:dyDescent="0.25">
      <c r="A39" s="25"/>
      <c r="B39" s="15" t="s">
        <v>54</v>
      </c>
      <c r="C39" s="56"/>
      <c r="D39" s="57"/>
      <c r="E39" s="58">
        <v>0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f t="shared" si="18"/>
        <v>0</v>
      </c>
      <c r="R39" s="89">
        <f t="shared" si="1"/>
        <v>0</v>
      </c>
      <c r="S39" s="15"/>
      <c r="T39" s="62">
        <f t="shared" si="19"/>
        <v>0</v>
      </c>
      <c r="U39" s="62">
        <f t="shared" si="6"/>
        <v>0</v>
      </c>
    </row>
    <row r="40" spans="1:21" x14ac:dyDescent="0.25">
      <c r="A40" s="25"/>
      <c r="B40" s="15" t="s">
        <v>55</v>
      </c>
      <c r="C40" s="56"/>
      <c r="D40" s="57"/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f t="shared" si="18"/>
        <v>0</v>
      </c>
      <c r="R40" s="89">
        <f t="shared" si="1"/>
        <v>0</v>
      </c>
      <c r="S40" s="15"/>
      <c r="T40" s="62">
        <f t="shared" si="19"/>
        <v>0</v>
      </c>
      <c r="U40" s="62">
        <f t="shared" si="6"/>
        <v>0</v>
      </c>
    </row>
    <row r="41" spans="1:21" x14ac:dyDescent="0.25">
      <c r="A41" s="25"/>
      <c r="B41" s="15" t="s">
        <v>56</v>
      </c>
      <c r="C41" s="56"/>
      <c r="D41" s="57"/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f t="shared" si="18"/>
        <v>0</v>
      </c>
      <c r="R41" s="89">
        <f t="shared" si="1"/>
        <v>0</v>
      </c>
      <c r="S41" s="15"/>
      <c r="T41" s="62">
        <f t="shared" si="19"/>
        <v>0</v>
      </c>
      <c r="U41" s="62">
        <f t="shared" si="6"/>
        <v>0</v>
      </c>
    </row>
    <row r="42" spans="1:21" x14ac:dyDescent="0.25">
      <c r="A42" s="25"/>
      <c r="B42" s="15" t="s">
        <v>57</v>
      </c>
      <c r="C42" s="56"/>
      <c r="D42" s="57"/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f t="shared" si="18"/>
        <v>0</v>
      </c>
      <c r="R42" s="89">
        <f t="shared" si="1"/>
        <v>0</v>
      </c>
      <c r="S42" s="15"/>
      <c r="T42" s="62">
        <f t="shared" si="19"/>
        <v>0</v>
      </c>
      <c r="U42" s="62">
        <f t="shared" si="6"/>
        <v>0</v>
      </c>
    </row>
    <row r="43" spans="1:21" x14ac:dyDescent="0.25">
      <c r="A43" s="25"/>
      <c r="B43" s="15" t="s">
        <v>58</v>
      </c>
      <c r="C43" s="56"/>
      <c r="D43" s="57"/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f t="shared" si="18"/>
        <v>0</v>
      </c>
      <c r="R43" s="89">
        <f t="shared" si="1"/>
        <v>0</v>
      </c>
      <c r="S43" s="15"/>
      <c r="T43" s="62">
        <f t="shared" si="19"/>
        <v>0</v>
      </c>
      <c r="U43" s="62">
        <f t="shared" si="6"/>
        <v>0</v>
      </c>
    </row>
    <row r="44" spans="1:21" x14ac:dyDescent="0.25">
      <c r="A44" s="25"/>
      <c r="B44" s="15" t="s">
        <v>59</v>
      </c>
      <c r="C44" s="56"/>
      <c r="D44" s="57"/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f t="shared" si="18"/>
        <v>0</v>
      </c>
      <c r="R44" s="89">
        <f t="shared" si="1"/>
        <v>0</v>
      </c>
      <c r="S44" s="15"/>
      <c r="T44" s="62">
        <f t="shared" si="19"/>
        <v>0</v>
      </c>
      <c r="U44" s="62">
        <f t="shared" si="6"/>
        <v>0</v>
      </c>
    </row>
    <row r="45" spans="1:21" x14ac:dyDescent="0.25">
      <c r="A45" s="25"/>
      <c r="B45" s="15" t="s">
        <v>60</v>
      </c>
      <c r="C45" s="56"/>
      <c r="D45" s="57"/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f t="shared" si="18"/>
        <v>0</v>
      </c>
      <c r="R45" s="89">
        <f t="shared" si="1"/>
        <v>0</v>
      </c>
      <c r="S45" s="15"/>
      <c r="T45" s="62">
        <f t="shared" si="19"/>
        <v>0</v>
      </c>
      <c r="U45" s="62">
        <f t="shared" si="6"/>
        <v>0</v>
      </c>
    </row>
    <row r="46" spans="1:21" x14ac:dyDescent="0.25">
      <c r="A46" s="25"/>
      <c r="B46" s="15" t="s">
        <v>61</v>
      </c>
      <c r="C46" s="56"/>
      <c r="D46" s="57"/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f t="shared" si="18"/>
        <v>0</v>
      </c>
      <c r="R46" s="89">
        <f t="shared" si="1"/>
        <v>0</v>
      </c>
      <c r="S46" s="15"/>
      <c r="T46" s="62">
        <f t="shared" si="19"/>
        <v>0</v>
      </c>
      <c r="U46" s="62">
        <f t="shared" si="6"/>
        <v>0</v>
      </c>
    </row>
    <row r="47" spans="1:21" x14ac:dyDescent="0.25">
      <c r="A47" s="25"/>
      <c r="B47" s="15" t="s">
        <v>62</v>
      </c>
      <c r="C47" s="56"/>
      <c r="D47" s="57"/>
      <c r="E47" s="58">
        <v>0</v>
      </c>
      <c r="F47" s="58">
        <v>0</v>
      </c>
      <c r="G47" s="58">
        <v>0</v>
      </c>
      <c r="H47" s="58">
        <v>0</v>
      </c>
      <c r="I47" s="58">
        <v>0</v>
      </c>
      <c r="J47" s="58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f t="shared" si="18"/>
        <v>0</v>
      </c>
      <c r="R47" s="89">
        <f t="shared" si="1"/>
        <v>0</v>
      </c>
      <c r="S47" s="15"/>
      <c r="T47" s="62">
        <f t="shared" si="19"/>
        <v>0</v>
      </c>
      <c r="U47" s="62">
        <f t="shared" si="6"/>
        <v>0</v>
      </c>
    </row>
    <row r="48" spans="1:21" x14ac:dyDescent="0.25">
      <c r="A48" s="63" t="s">
        <v>63</v>
      </c>
      <c r="B48" t="s">
        <v>48</v>
      </c>
      <c r="C48" s="91">
        <f t="shared" ref="C48:Q48" si="20">SUM(C37:C47)</f>
        <v>0</v>
      </c>
      <c r="D48" s="92">
        <f t="shared" si="20"/>
        <v>0</v>
      </c>
      <c r="E48" s="93">
        <f t="shared" si="20"/>
        <v>0</v>
      </c>
      <c r="F48" s="93">
        <f t="shared" si="20"/>
        <v>0</v>
      </c>
      <c r="G48" s="93">
        <f t="shared" si="20"/>
        <v>0</v>
      </c>
      <c r="H48" s="93">
        <f t="shared" si="20"/>
        <v>0</v>
      </c>
      <c r="I48" s="93">
        <f t="shared" si="20"/>
        <v>0</v>
      </c>
      <c r="J48" s="93">
        <f t="shared" si="20"/>
        <v>0</v>
      </c>
      <c r="K48" s="93">
        <f t="shared" si="20"/>
        <v>0</v>
      </c>
      <c r="L48" s="93">
        <f t="shared" si="20"/>
        <v>0</v>
      </c>
      <c r="M48" s="93">
        <f t="shared" si="20"/>
        <v>0</v>
      </c>
      <c r="N48" s="93">
        <f t="shared" si="20"/>
        <v>0</v>
      </c>
      <c r="O48" s="93">
        <f t="shared" si="20"/>
        <v>0</v>
      </c>
      <c r="P48" s="93">
        <f t="shared" si="20"/>
        <v>0</v>
      </c>
      <c r="Q48" s="93">
        <f t="shared" si="20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f t="shared" ref="Q50:Q61" si="21">SUM(E50:P50)</f>
        <v>0</v>
      </c>
      <c r="R50" s="89">
        <f t="shared" si="1"/>
        <v>0</v>
      </c>
      <c r="S50" s="15"/>
      <c r="T50" s="62">
        <f t="shared" si="19"/>
        <v>0</v>
      </c>
      <c r="U50" s="62">
        <f t="shared" si="6"/>
        <v>0</v>
      </c>
    </row>
    <row r="51" spans="1:21" x14ac:dyDescent="0.25">
      <c r="A51" s="25"/>
      <c r="B51" s="15" t="s">
        <v>66</v>
      </c>
      <c r="C51" s="56"/>
      <c r="D51" s="57"/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f t="shared" si="21"/>
        <v>0</v>
      </c>
      <c r="R51" s="89">
        <f t="shared" si="1"/>
        <v>0</v>
      </c>
      <c r="S51" s="15"/>
      <c r="T51" s="62">
        <f t="shared" si="19"/>
        <v>0</v>
      </c>
      <c r="U51" s="62">
        <f t="shared" si="6"/>
        <v>0</v>
      </c>
    </row>
    <row r="52" spans="1:21" x14ac:dyDescent="0.25">
      <c r="A52" s="25"/>
      <c r="B52" s="15" t="s">
        <v>67</v>
      </c>
      <c r="C52" s="56"/>
      <c r="D52" s="57"/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f t="shared" si="21"/>
        <v>0</v>
      </c>
      <c r="R52" s="89">
        <f t="shared" si="1"/>
        <v>0</v>
      </c>
      <c r="S52" s="15"/>
      <c r="T52" s="62">
        <f t="shared" si="19"/>
        <v>0</v>
      </c>
      <c r="U52" s="62">
        <f t="shared" si="6"/>
        <v>0</v>
      </c>
    </row>
    <row r="53" spans="1:21" x14ac:dyDescent="0.25">
      <c r="A53" s="25"/>
      <c r="B53" s="15" t="s">
        <v>68</v>
      </c>
      <c r="C53" s="56"/>
      <c r="D53" s="57"/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f t="shared" si="21"/>
        <v>0</v>
      </c>
      <c r="R53" s="89">
        <f t="shared" si="1"/>
        <v>0</v>
      </c>
      <c r="S53" s="15"/>
      <c r="T53" s="62">
        <f t="shared" si="19"/>
        <v>0</v>
      </c>
      <c r="U53" s="62">
        <f t="shared" si="6"/>
        <v>0</v>
      </c>
    </row>
    <row r="54" spans="1:21" x14ac:dyDescent="0.25">
      <c r="A54" s="25"/>
      <c r="B54" s="15" t="s">
        <v>69</v>
      </c>
      <c r="C54" s="56"/>
      <c r="D54" s="57"/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f t="shared" si="21"/>
        <v>0</v>
      </c>
      <c r="R54" s="89">
        <f t="shared" si="1"/>
        <v>0</v>
      </c>
      <c r="S54" s="15"/>
      <c r="T54" s="62">
        <f t="shared" si="19"/>
        <v>0</v>
      </c>
      <c r="U54" s="62">
        <f t="shared" si="6"/>
        <v>0</v>
      </c>
    </row>
    <row r="55" spans="1:21" x14ac:dyDescent="0.25">
      <c r="A55" s="25"/>
      <c r="B55" s="15" t="s">
        <v>70</v>
      </c>
      <c r="C55" s="56"/>
      <c r="D55" s="57"/>
      <c r="E55" s="58">
        <v>0</v>
      </c>
      <c r="F55" s="58">
        <v>0</v>
      </c>
      <c r="G55" s="58">
        <v>0</v>
      </c>
      <c r="H55" s="58">
        <v>0</v>
      </c>
      <c r="I55" s="58">
        <v>0</v>
      </c>
      <c r="J55" s="58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f t="shared" si="21"/>
        <v>0</v>
      </c>
      <c r="R55" s="89">
        <f t="shared" si="1"/>
        <v>0</v>
      </c>
      <c r="S55" s="15"/>
      <c r="T55" s="62">
        <f t="shared" si="19"/>
        <v>0</v>
      </c>
      <c r="U55" s="62">
        <f t="shared" si="6"/>
        <v>0</v>
      </c>
    </row>
    <row r="56" spans="1:21" x14ac:dyDescent="0.25">
      <c r="A56" s="25"/>
      <c r="B56" s="15" t="s">
        <v>71</v>
      </c>
      <c r="C56" s="56"/>
      <c r="D56" s="57"/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f t="shared" ref="Q56:Q57" si="22">SUM(E56:P56)</f>
        <v>0</v>
      </c>
      <c r="R56" s="89">
        <f t="shared" si="1"/>
        <v>0</v>
      </c>
      <c r="S56" s="15"/>
      <c r="T56" s="62">
        <f t="shared" si="19"/>
        <v>0</v>
      </c>
      <c r="U56" s="62">
        <f t="shared" si="6"/>
        <v>0</v>
      </c>
    </row>
    <row r="57" spans="1:21" x14ac:dyDescent="0.25">
      <c r="A57" s="25"/>
      <c r="B57" s="15" t="s">
        <v>72</v>
      </c>
      <c r="C57" s="56"/>
      <c r="D57" s="57"/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f t="shared" si="22"/>
        <v>0</v>
      </c>
      <c r="R57" s="89">
        <f t="shared" si="1"/>
        <v>0</v>
      </c>
      <c r="S57" s="15"/>
      <c r="T57" s="62">
        <f t="shared" si="19"/>
        <v>0</v>
      </c>
      <c r="U57" s="62">
        <f t="shared" si="6"/>
        <v>0</v>
      </c>
    </row>
    <row r="58" spans="1:21" x14ac:dyDescent="0.25">
      <c r="A58" s="25"/>
      <c r="B58" s="15" t="s">
        <v>73</v>
      </c>
      <c r="C58" s="56"/>
      <c r="D58" s="57"/>
      <c r="E58" s="58">
        <v>0</v>
      </c>
      <c r="F58" s="58">
        <v>0</v>
      </c>
      <c r="G58" s="58">
        <v>0</v>
      </c>
      <c r="H58" s="58">
        <v>0</v>
      </c>
      <c r="I58" s="58">
        <v>0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f t="shared" si="21"/>
        <v>0</v>
      </c>
      <c r="R58" s="89">
        <f t="shared" si="1"/>
        <v>0</v>
      </c>
      <c r="S58" s="15"/>
      <c r="T58" s="62">
        <f t="shared" si="19"/>
        <v>0</v>
      </c>
      <c r="U58" s="62">
        <f t="shared" si="6"/>
        <v>0</v>
      </c>
    </row>
    <row r="59" spans="1:21" x14ac:dyDescent="0.25">
      <c r="A59" s="25"/>
      <c r="B59" s="15" t="s">
        <v>74</v>
      </c>
      <c r="C59" s="56"/>
      <c r="D59" s="57"/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f t="shared" si="21"/>
        <v>0</v>
      </c>
      <c r="R59" s="89">
        <f t="shared" si="1"/>
        <v>0</v>
      </c>
      <c r="S59" s="15"/>
      <c r="T59" s="62">
        <f t="shared" si="19"/>
        <v>0</v>
      </c>
      <c r="U59" s="62">
        <f t="shared" si="6"/>
        <v>0</v>
      </c>
    </row>
    <row r="60" spans="1:21" x14ac:dyDescent="0.25">
      <c r="A60" s="25"/>
      <c r="B60" s="15" t="s">
        <v>75</v>
      </c>
      <c r="C60" s="56"/>
      <c r="D60" s="57"/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f t="shared" si="21"/>
        <v>0</v>
      </c>
      <c r="R60" s="89">
        <f t="shared" si="1"/>
        <v>0</v>
      </c>
      <c r="S60" s="15"/>
      <c r="T60" s="62">
        <f t="shared" si="19"/>
        <v>0</v>
      </c>
      <c r="U60" s="62">
        <f t="shared" si="6"/>
        <v>0</v>
      </c>
    </row>
    <row r="61" spans="1:21" x14ac:dyDescent="0.25">
      <c r="A61" s="25"/>
      <c r="B61" s="15" t="s">
        <v>76</v>
      </c>
      <c r="C61" s="56"/>
      <c r="D61" s="57"/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f t="shared" si="21"/>
        <v>0</v>
      </c>
      <c r="R61" s="89">
        <f t="shared" si="1"/>
        <v>0</v>
      </c>
      <c r="S61" s="15"/>
      <c r="T61" s="62">
        <f t="shared" si="19"/>
        <v>0</v>
      </c>
      <c r="U61" s="62">
        <f t="shared" si="6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f>SUM(E64:P64)</f>
        <v>0</v>
      </c>
      <c r="R64" s="89">
        <f t="shared" si="1"/>
        <v>0</v>
      </c>
      <c r="S64" s="15"/>
      <c r="T64" s="62">
        <f t="shared" si="19"/>
        <v>0</v>
      </c>
      <c r="U64" s="62">
        <f t="shared" si="6"/>
        <v>0</v>
      </c>
    </row>
    <row r="65" spans="1:21" x14ac:dyDescent="0.25">
      <c r="A65" s="25"/>
      <c r="B65" s="15" t="s">
        <v>80</v>
      </c>
      <c r="C65" s="56"/>
      <c r="D65" s="57"/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f>SUM(E65:P65)</f>
        <v>0</v>
      </c>
      <c r="R65" s="89">
        <f t="shared" si="1"/>
        <v>0</v>
      </c>
      <c r="S65" s="15"/>
      <c r="T65" s="62">
        <f t="shared" si="19"/>
        <v>0</v>
      </c>
      <c r="U65" s="62">
        <f t="shared" si="6"/>
        <v>0</v>
      </c>
    </row>
    <row r="66" spans="1:21" x14ac:dyDescent="0.25">
      <c r="A66" s="25"/>
      <c r="B66" s="15" t="s">
        <v>81</v>
      </c>
      <c r="C66" s="56"/>
      <c r="D66" s="57"/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f>SUM(E66:P66)</f>
        <v>0</v>
      </c>
      <c r="R66" s="89">
        <f t="shared" si="1"/>
        <v>0</v>
      </c>
      <c r="S66" s="15"/>
      <c r="T66" s="62">
        <f t="shared" si="19"/>
        <v>0</v>
      </c>
      <c r="U66" s="62">
        <f t="shared" si="6"/>
        <v>0</v>
      </c>
    </row>
    <row r="67" spans="1:21" x14ac:dyDescent="0.25">
      <c r="A67" s="25"/>
      <c r="B67" s="15" t="s">
        <v>82</v>
      </c>
      <c r="C67" s="56"/>
      <c r="D67" s="57"/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0</v>
      </c>
      <c r="Q67" s="58">
        <f t="shared" ref="Q67:Q72" si="25">SUM(E67:P67)</f>
        <v>0</v>
      </c>
      <c r="R67" s="89">
        <f t="shared" si="1"/>
        <v>0</v>
      </c>
      <c r="S67" s="15"/>
      <c r="T67" s="62">
        <f t="shared" si="19"/>
        <v>0</v>
      </c>
      <c r="U67" s="62">
        <f t="shared" si="6"/>
        <v>0</v>
      </c>
    </row>
    <row r="68" spans="1:21" x14ac:dyDescent="0.25">
      <c r="A68" s="25"/>
      <c r="B68" s="15" t="s">
        <v>83</v>
      </c>
      <c r="C68" s="56"/>
      <c r="D68" s="57"/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f t="shared" si="25"/>
        <v>0</v>
      </c>
      <c r="R68" s="89">
        <f t="shared" si="1"/>
        <v>0</v>
      </c>
      <c r="S68" s="15"/>
      <c r="T68" s="62">
        <f t="shared" si="19"/>
        <v>0</v>
      </c>
      <c r="U68" s="62">
        <f t="shared" si="6"/>
        <v>0</v>
      </c>
    </row>
    <row r="69" spans="1:21" ht="23.25" x14ac:dyDescent="0.25">
      <c r="A69" s="25"/>
      <c r="B69" s="15" t="s">
        <v>84</v>
      </c>
      <c r="C69" s="56"/>
      <c r="D69" s="57"/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f t="shared" si="25"/>
        <v>0</v>
      </c>
      <c r="R69" s="89">
        <f t="shared" si="1"/>
        <v>0</v>
      </c>
      <c r="S69" s="15"/>
      <c r="T69" s="62">
        <f t="shared" si="19"/>
        <v>0</v>
      </c>
      <c r="U69" s="62">
        <f t="shared" si="6"/>
        <v>0</v>
      </c>
    </row>
    <row r="70" spans="1:21" x14ac:dyDescent="0.25">
      <c r="A70" s="25"/>
      <c r="B70" s="15" t="s">
        <v>85</v>
      </c>
      <c r="C70" s="56"/>
      <c r="D70" s="57"/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f t="shared" si="25"/>
        <v>0</v>
      </c>
      <c r="R70" s="89">
        <f t="shared" si="1"/>
        <v>0</v>
      </c>
      <c r="S70" s="15"/>
      <c r="T70" s="62">
        <f t="shared" si="19"/>
        <v>0</v>
      </c>
      <c r="U70" s="62">
        <f t="shared" si="6"/>
        <v>0</v>
      </c>
    </row>
    <row r="71" spans="1:21" x14ac:dyDescent="0.25">
      <c r="A71" s="25"/>
      <c r="B71" s="15" t="s">
        <v>86</v>
      </c>
      <c r="C71" s="56"/>
      <c r="D71" s="57"/>
      <c r="E71" s="58">
        <v>0</v>
      </c>
      <c r="F71" s="58">
        <v>0</v>
      </c>
      <c r="G71" s="58">
        <v>0</v>
      </c>
      <c r="H71" s="58">
        <v>0</v>
      </c>
      <c r="I71" s="58">
        <v>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f t="shared" si="25"/>
        <v>0</v>
      </c>
      <c r="R71" s="89">
        <f t="shared" si="1"/>
        <v>0</v>
      </c>
      <c r="S71" s="15"/>
      <c r="T71" s="62">
        <f t="shared" si="19"/>
        <v>0</v>
      </c>
      <c r="U71" s="62">
        <f t="shared" si="6"/>
        <v>0</v>
      </c>
    </row>
    <row r="72" spans="1:21" x14ac:dyDescent="0.25">
      <c r="A72" s="25"/>
      <c r="B72" s="15" t="s">
        <v>87</v>
      </c>
      <c r="C72" s="56"/>
      <c r="D72" s="57"/>
      <c r="E72" s="58">
        <v>0</v>
      </c>
      <c r="F72" s="58">
        <v>0</v>
      </c>
      <c r="G72" s="58">
        <v>0</v>
      </c>
      <c r="H72" s="58">
        <v>0</v>
      </c>
      <c r="I72" s="58"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f t="shared" si="25"/>
        <v>0</v>
      </c>
      <c r="R72" s="89">
        <f t="shared" si="1"/>
        <v>0</v>
      </c>
      <c r="S72" s="15"/>
      <c r="T72" s="62">
        <f t="shared" si="19"/>
        <v>0</v>
      </c>
      <c r="U72" s="62">
        <f t="shared" si="6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6">SUM(C64:C72)</f>
        <v>0</v>
      </c>
      <c r="D73" s="92">
        <f t="shared" si="26"/>
        <v>0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19"/>
        <v>0</v>
      </c>
      <c r="U73" s="96">
        <f t="shared" si="6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f>SUM(E75:P75)</f>
        <v>0</v>
      </c>
      <c r="R75" s="89">
        <f t="shared" si="1"/>
        <v>0</v>
      </c>
      <c r="S75" s="15"/>
      <c r="T75" s="62">
        <f t="shared" si="19"/>
        <v>0</v>
      </c>
      <c r="U75" s="62">
        <f t="shared" si="6"/>
        <v>0</v>
      </c>
    </row>
    <row r="76" spans="1:21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>
        <f>110/10*12</f>
        <v>132</v>
      </c>
      <c r="D78" s="57">
        <f>C78/12</f>
        <v>11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f>SUM(E78:P78)</f>
        <v>0</v>
      </c>
      <c r="R78" s="89">
        <f t="shared" si="1"/>
        <v>0</v>
      </c>
      <c r="S78" s="15"/>
      <c r="T78" s="62">
        <f t="shared" si="19"/>
        <v>0</v>
      </c>
      <c r="U78" s="62">
        <f t="shared" si="6"/>
        <v>-1</v>
      </c>
    </row>
    <row r="79" spans="1:21" x14ac:dyDescent="0.25">
      <c r="A79" s="25"/>
      <c r="B79" s="15" t="s">
        <v>94</v>
      </c>
      <c r="C79" s="56"/>
      <c r="D79" s="57"/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f>SUM(E79:P79)</f>
        <v>0</v>
      </c>
      <c r="R79" s="89">
        <f t="shared" si="1"/>
        <v>0</v>
      </c>
      <c r="S79" s="15"/>
      <c r="T79" s="62">
        <f t="shared" si="19"/>
        <v>0</v>
      </c>
      <c r="U79" s="62">
        <f t="shared" si="6"/>
        <v>0</v>
      </c>
    </row>
    <row r="80" spans="1:21" x14ac:dyDescent="0.25">
      <c r="A80" s="25"/>
      <c r="B80" s="15" t="s">
        <v>95</v>
      </c>
      <c r="C80" s="56"/>
      <c r="D80" s="57"/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58">
        <f>SUM(E80:P80)</f>
        <v>0</v>
      </c>
      <c r="R80" s="89">
        <f t="shared" si="1"/>
        <v>0</v>
      </c>
      <c r="S80" s="15"/>
      <c r="T80" s="62">
        <f t="shared" si="19"/>
        <v>0</v>
      </c>
      <c r="U80" s="62">
        <f t="shared" si="6"/>
        <v>0</v>
      </c>
    </row>
    <row r="81" spans="1:21" ht="23.25" x14ac:dyDescent="0.25">
      <c r="A81" s="25"/>
      <c r="B81" s="15" t="s">
        <v>96</v>
      </c>
      <c r="C81" s="56"/>
      <c r="D81" s="57"/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f>SUM(E81:P81)</f>
        <v>0</v>
      </c>
      <c r="R81" s="89">
        <f t="shared" si="1"/>
        <v>0</v>
      </c>
      <c r="S81" s="15"/>
      <c r="T81" s="62">
        <f t="shared" si="19"/>
        <v>0</v>
      </c>
      <c r="U81" s="62">
        <f t="shared" si="6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29">SUM(C78:C81)</f>
        <v>132</v>
      </c>
      <c r="D82" s="92">
        <f t="shared" si="29"/>
        <v>11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19"/>
        <v>0</v>
      </c>
      <c r="U82" s="96">
        <f t="shared" si="6"/>
        <v>-1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/>
      <c r="D84" s="57"/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58">
        <v>0</v>
      </c>
      <c r="P84" s="58">
        <v>0</v>
      </c>
      <c r="Q84" s="58">
        <f t="shared" ref="Q84:Q89" si="31">SUM(E84:P84)</f>
        <v>0</v>
      </c>
      <c r="R84" s="89">
        <f t="shared" si="1"/>
        <v>0</v>
      </c>
      <c r="S84" s="15"/>
      <c r="T84" s="62">
        <f t="shared" si="19"/>
        <v>0</v>
      </c>
      <c r="U84" s="62">
        <f t="shared" si="6"/>
        <v>0</v>
      </c>
    </row>
    <row r="85" spans="1:21" x14ac:dyDescent="0.25">
      <c r="A85" s="25"/>
      <c r="B85" s="15" t="s">
        <v>100</v>
      </c>
      <c r="C85" s="56"/>
      <c r="D85" s="57"/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f t="shared" si="31"/>
        <v>0</v>
      </c>
      <c r="R85" s="89">
        <f t="shared" si="1"/>
        <v>0</v>
      </c>
      <c r="S85" s="15"/>
      <c r="T85" s="62">
        <f t="shared" si="19"/>
        <v>0</v>
      </c>
      <c r="U85" s="62">
        <f t="shared" si="6"/>
        <v>0</v>
      </c>
    </row>
    <row r="86" spans="1:21" x14ac:dyDescent="0.25">
      <c r="A86" s="25"/>
      <c r="B86" s="15" t="s">
        <v>101</v>
      </c>
      <c r="C86" s="56"/>
      <c r="D86" s="57"/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f t="shared" si="31"/>
        <v>0</v>
      </c>
      <c r="R86" s="89">
        <f t="shared" si="1"/>
        <v>0</v>
      </c>
      <c r="S86" s="15"/>
      <c r="T86" s="62">
        <f t="shared" si="19"/>
        <v>0</v>
      </c>
      <c r="U86" s="62">
        <f t="shared" si="6"/>
        <v>0</v>
      </c>
    </row>
    <row r="87" spans="1:21" x14ac:dyDescent="0.25">
      <c r="A87" s="25"/>
      <c r="B87" s="15" t="s">
        <v>102</v>
      </c>
      <c r="C87" s="56"/>
      <c r="D87" s="57"/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f t="shared" si="31"/>
        <v>0</v>
      </c>
      <c r="R87" s="89">
        <f t="shared" si="1"/>
        <v>0</v>
      </c>
      <c r="S87" s="15"/>
      <c r="T87" s="62">
        <f t="shared" si="19"/>
        <v>0</v>
      </c>
      <c r="U87" s="62">
        <f t="shared" si="6"/>
        <v>0</v>
      </c>
    </row>
    <row r="88" spans="1:21" x14ac:dyDescent="0.25">
      <c r="A88" s="25"/>
      <c r="B88" s="15" t="s">
        <v>103</v>
      </c>
      <c r="C88" s="56"/>
      <c r="D88" s="57"/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f t="shared" si="31"/>
        <v>0</v>
      </c>
      <c r="R88" s="89">
        <f t="shared" ref="R88:R130" si="32">AVERAGE(E88:P88)</f>
        <v>0</v>
      </c>
      <c r="S88" s="15"/>
      <c r="T88" s="62">
        <f t="shared" si="19"/>
        <v>0</v>
      </c>
      <c r="U88" s="62">
        <f t="shared" si="6"/>
        <v>0</v>
      </c>
    </row>
    <row r="89" spans="1:21" x14ac:dyDescent="0.25">
      <c r="A89" s="25"/>
      <c r="B89" s="15" t="s">
        <v>104</v>
      </c>
      <c r="C89" s="56"/>
      <c r="D89" s="57"/>
      <c r="E89" s="58">
        <v>0</v>
      </c>
      <c r="F89" s="58">
        <v>0</v>
      </c>
      <c r="G89" s="58">
        <v>0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0</v>
      </c>
      <c r="N89" s="58">
        <v>0</v>
      </c>
      <c r="O89" s="58">
        <v>0</v>
      </c>
      <c r="P89" s="58">
        <v>0</v>
      </c>
      <c r="Q89" s="58">
        <f t="shared" si="31"/>
        <v>0</v>
      </c>
      <c r="R89" s="89">
        <f t="shared" si="32"/>
        <v>0</v>
      </c>
      <c r="S89" s="15"/>
      <c r="T89" s="62">
        <f t="shared" si="19"/>
        <v>0</v>
      </c>
      <c r="U89" s="62">
        <f t="shared" ref="U89:U137" si="33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4">SUM(C84:C89)</f>
        <v>0</v>
      </c>
      <c r="D90" s="92">
        <f t="shared" si="34"/>
        <v>0</v>
      </c>
      <c r="E90" s="93">
        <f t="shared" ref="E90:Q90" si="35">SUM(E84:E89)</f>
        <v>0</v>
      </c>
      <c r="F90" s="93">
        <f t="shared" si="35"/>
        <v>0</v>
      </c>
      <c r="G90" s="93">
        <f t="shared" si="35"/>
        <v>0</v>
      </c>
      <c r="H90" s="93">
        <f t="shared" si="35"/>
        <v>0</v>
      </c>
      <c r="I90" s="93">
        <f t="shared" si="35"/>
        <v>0</v>
      </c>
      <c r="J90" s="93">
        <f t="shared" si="35"/>
        <v>0</v>
      </c>
      <c r="K90" s="93">
        <f t="shared" si="35"/>
        <v>0</v>
      </c>
      <c r="L90" s="93">
        <f t="shared" si="35"/>
        <v>0</v>
      </c>
      <c r="M90" s="93">
        <f t="shared" si="35"/>
        <v>0</v>
      </c>
      <c r="N90" s="93">
        <f t="shared" si="35"/>
        <v>0</v>
      </c>
      <c r="O90" s="93">
        <f t="shared" si="35"/>
        <v>0</v>
      </c>
      <c r="P90" s="93">
        <f t="shared" si="35"/>
        <v>0</v>
      </c>
      <c r="Q90" s="93">
        <f t="shared" si="35"/>
        <v>0</v>
      </c>
      <c r="R90" s="94">
        <f>AVERAGE(E90:P90)</f>
        <v>0</v>
      </c>
      <c r="T90" s="96">
        <f t="shared" si="19"/>
        <v>0</v>
      </c>
      <c r="U90" s="96">
        <f t="shared" si="33"/>
        <v>0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f>SUM(E92:P92)</f>
        <v>0</v>
      </c>
      <c r="R92" s="89">
        <f>AVERAGE(E92:P92)</f>
        <v>0</v>
      </c>
      <c r="S92" s="15"/>
      <c r="T92" s="62">
        <f t="shared" si="19"/>
        <v>0</v>
      </c>
      <c r="U92" s="62">
        <f t="shared" si="33"/>
        <v>0</v>
      </c>
    </row>
    <row r="93" spans="1:21" x14ac:dyDescent="0.25">
      <c r="A93" s="25"/>
      <c r="B93" s="15" t="s">
        <v>108</v>
      </c>
      <c r="C93" s="56"/>
      <c r="D93" s="57"/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f>SUM(E93:P93)</f>
        <v>0</v>
      </c>
      <c r="R93" s="89">
        <f t="shared" si="32"/>
        <v>0</v>
      </c>
      <c r="S93" s="15"/>
      <c r="T93" s="62">
        <f t="shared" si="19"/>
        <v>0</v>
      </c>
      <c r="U93" s="62">
        <f t="shared" si="33"/>
        <v>0</v>
      </c>
    </row>
    <row r="94" spans="1:21" x14ac:dyDescent="0.25">
      <c r="A94" s="25"/>
      <c r="B94" s="15" t="s">
        <v>109</v>
      </c>
      <c r="C94" s="56"/>
      <c r="D94" s="57"/>
      <c r="E94" s="58">
        <v>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58">
        <v>0</v>
      </c>
      <c r="L94" s="58">
        <v>0</v>
      </c>
      <c r="M94" s="58">
        <v>0</v>
      </c>
      <c r="N94" s="58">
        <v>0</v>
      </c>
      <c r="O94" s="58">
        <v>0</v>
      </c>
      <c r="P94" s="58">
        <v>0</v>
      </c>
      <c r="Q94" s="58">
        <f>SUM(E94:P94)</f>
        <v>0</v>
      </c>
      <c r="R94" s="89">
        <f t="shared" si="32"/>
        <v>0</v>
      </c>
      <c r="S94" s="15"/>
      <c r="T94" s="62">
        <f t="shared" si="19"/>
        <v>0</v>
      </c>
      <c r="U94" s="62">
        <f t="shared" si="33"/>
        <v>0</v>
      </c>
    </row>
    <row r="95" spans="1:21" x14ac:dyDescent="0.25">
      <c r="A95" s="63" t="s">
        <v>110</v>
      </c>
      <c r="B95" s="15"/>
      <c r="C95" s="91">
        <f t="shared" ref="C95:Q95" si="36">SUM(C92:C94)</f>
        <v>0</v>
      </c>
      <c r="D95" s="92">
        <f t="shared" si="36"/>
        <v>0</v>
      </c>
      <c r="E95" s="93">
        <f t="shared" si="36"/>
        <v>0</v>
      </c>
      <c r="F95" s="93">
        <f t="shared" si="36"/>
        <v>0</v>
      </c>
      <c r="G95" s="93">
        <f t="shared" si="36"/>
        <v>0</v>
      </c>
      <c r="H95" s="93">
        <f t="shared" si="36"/>
        <v>0</v>
      </c>
      <c r="I95" s="93">
        <f t="shared" si="36"/>
        <v>0</v>
      </c>
      <c r="J95" s="93">
        <f t="shared" si="36"/>
        <v>0</v>
      </c>
      <c r="K95" s="93">
        <f t="shared" si="36"/>
        <v>0</v>
      </c>
      <c r="L95" s="93">
        <f t="shared" si="36"/>
        <v>0</v>
      </c>
      <c r="M95" s="93">
        <f t="shared" si="36"/>
        <v>0</v>
      </c>
      <c r="N95" s="93">
        <f t="shared" si="36"/>
        <v>0</v>
      </c>
      <c r="O95" s="93">
        <f t="shared" si="36"/>
        <v>0</v>
      </c>
      <c r="P95" s="93">
        <f t="shared" si="36"/>
        <v>0</v>
      </c>
      <c r="Q95" s="93">
        <f t="shared" si="36"/>
        <v>0</v>
      </c>
      <c r="R95" s="94">
        <f t="shared" si="32"/>
        <v>0</v>
      </c>
      <c r="T95" s="96">
        <f t="shared" si="19"/>
        <v>0</v>
      </c>
      <c r="U95" s="96">
        <f t="shared" si="33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f t="shared" ref="Q97:Q120" si="37">SUM(E97:P97)</f>
        <v>0</v>
      </c>
      <c r="R97" s="89">
        <f t="shared" si="32"/>
        <v>0</v>
      </c>
      <c r="S97" s="15"/>
      <c r="T97" s="62">
        <f t="shared" si="19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f t="shared" si="37"/>
        <v>0</v>
      </c>
      <c r="R98" s="89">
        <f t="shared" si="32"/>
        <v>0</v>
      </c>
      <c r="S98" s="15"/>
      <c r="T98" s="62">
        <f t="shared" si="19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/>
      <c r="D99" s="57"/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f t="shared" si="37"/>
        <v>0</v>
      </c>
      <c r="R99" s="89">
        <f t="shared" si="32"/>
        <v>0</v>
      </c>
      <c r="S99" s="15"/>
      <c r="T99" s="62">
        <f t="shared" si="19"/>
        <v>0</v>
      </c>
      <c r="U99" s="62">
        <f t="shared" si="33"/>
        <v>0</v>
      </c>
    </row>
    <row r="100" spans="1:21" x14ac:dyDescent="0.25">
      <c r="A100" s="25"/>
      <c r="B100" s="15" t="s">
        <v>115</v>
      </c>
      <c r="C100" s="56"/>
      <c r="D100" s="57"/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f t="shared" si="37"/>
        <v>0</v>
      </c>
      <c r="R100" s="89">
        <f t="shared" si="32"/>
        <v>0</v>
      </c>
      <c r="S100" s="15"/>
      <c r="T100" s="62">
        <f t="shared" si="19"/>
        <v>0</v>
      </c>
      <c r="U100" s="62">
        <f t="shared" si="33"/>
        <v>0</v>
      </c>
    </row>
    <row r="101" spans="1:21" x14ac:dyDescent="0.25">
      <c r="A101" s="25"/>
      <c r="B101" s="15" t="s">
        <v>116</v>
      </c>
      <c r="C101" s="56">
        <f>780/10*12</f>
        <v>936</v>
      </c>
      <c r="D101" s="57">
        <f>C101/12</f>
        <v>78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58">
        <v>0</v>
      </c>
      <c r="P101" s="58">
        <v>0</v>
      </c>
      <c r="Q101" s="58">
        <f t="shared" si="37"/>
        <v>0</v>
      </c>
      <c r="R101" s="89">
        <f t="shared" si="32"/>
        <v>0</v>
      </c>
      <c r="S101" s="15"/>
      <c r="T101" s="62">
        <f t="shared" si="19"/>
        <v>0</v>
      </c>
      <c r="U101" s="62">
        <f t="shared" si="33"/>
        <v>-1</v>
      </c>
    </row>
    <row r="102" spans="1:21" x14ac:dyDescent="0.25">
      <c r="A102" s="25"/>
      <c r="B102" s="15" t="s">
        <v>117</v>
      </c>
      <c r="C102" s="56"/>
      <c r="D102" s="57"/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f t="shared" si="37"/>
        <v>0</v>
      </c>
      <c r="R102" s="89">
        <f t="shared" si="32"/>
        <v>0</v>
      </c>
      <c r="S102" s="15"/>
      <c r="T102" s="62">
        <f t="shared" si="19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>
        <f>94.88/10*12</f>
        <v>113.85599999999999</v>
      </c>
      <c r="D103" s="57">
        <f>C103/12</f>
        <v>9.4879999999999995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58">
        <v>0</v>
      </c>
      <c r="P103" s="58">
        <v>0</v>
      </c>
      <c r="Q103" s="58">
        <f t="shared" si="37"/>
        <v>0</v>
      </c>
      <c r="R103" s="89">
        <f t="shared" si="32"/>
        <v>0</v>
      </c>
      <c r="S103" s="15"/>
      <c r="T103" s="62">
        <f t="shared" ref="T103:T135" si="38">Q103/$Q$34</f>
        <v>0</v>
      </c>
      <c r="U103" s="62">
        <f t="shared" si="33"/>
        <v>-1</v>
      </c>
    </row>
    <row r="104" spans="1:21" x14ac:dyDescent="0.25">
      <c r="A104" s="25"/>
      <c r="B104" s="15" t="s">
        <v>119</v>
      </c>
      <c r="C104" s="56">
        <v>4935.3999999999996</v>
      </c>
      <c r="D104" s="57">
        <f>C104/7</f>
        <v>705.05714285714282</v>
      </c>
      <c r="E104" s="58">
        <f>(50*(E7+E8))+(25*(E9+E10))+(10*(E11+E12))+(15*E13)</f>
        <v>375</v>
      </c>
      <c r="F104" s="58">
        <f t="shared" ref="F104:P104" si="39">(50*(F7+F8))+(25*(F9+F10))+(10*(F11+F12))+(15*F13)</f>
        <v>375</v>
      </c>
      <c r="G104" s="58">
        <f t="shared" si="39"/>
        <v>375</v>
      </c>
      <c r="H104" s="58">
        <f t="shared" si="39"/>
        <v>375</v>
      </c>
      <c r="I104" s="58">
        <f t="shared" si="39"/>
        <v>375</v>
      </c>
      <c r="J104" s="58">
        <f t="shared" si="39"/>
        <v>375</v>
      </c>
      <c r="K104" s="58">
        <f t="shared" si="39"/>
        <v>385</v>
      </c>
      <c r="L104" s="58">
        <f>(50*(L7+L8))+(25*(L9+L10))+(10*(L11+L12))+(15*L13)</f>
        <v>395</v>
      </c>
      <c r="M104" s="58">
        <f t="shared" si="39"/>
        <v>395</v>
      </c>
      <c r="N104" s="58">
        <f t="shared" si="39"/>
        <v>395</v>
      </c>
      <c r="O104" s="58">
        <f t="shared" si="39"/>
        <v>395</v>
      </c>
      <c r="P104" s="58">
        <f t="shared" si="39"/>
        <v>395</v>
      </c>
      <c r="Q104" s="58">
        <f t="shared" si="37"/>
        <v>4610</v>
      </c>
      <c r="R104" s="89">
        <f t="shared" si="32"/>
        <v>384.16666666666669</v>
      </c>
      <c r="S104" s="15"/>
      <c r="T104" s="62">
        <f t="shared" si="38"/>
        <v>4.7551617745232255E-2</v>
      </c>
      <c r="U104" s="62">
        <f t="shared" si="33"/>
        <v>-6.5931839364590447E-2</v>
      </c>
    </row>
    <row r="105" spans="1:21" x14ac:dyDescent="0.25">
      <c r="A105" s="25"/>
      <c r="B105" s="15" t="s">
        <v>120</v>
      </c>
      <c r="C105" s="56"/>
      <c r="D105" s="57"/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58">
        <v>0</v>
      </c>
      <c r="P105" s="58">
        <v>0</v>
      </c>
      <c r="Q105" s="58">
        <f t="shared" si="37"/>
        <v>0</v>
      </c>
      <c r="R105" s="89">
        <f t="shared" si="32"/>
        <v>0</v>
      </c>
      <c r="S105" s="15"/>
      <c r="T105" s="62">
        <f t="shared" si="38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>
        <v>0</v>
      </c>
      <c r="F106" s="58">
        <v>0</v>
      </c>
      <c r="G106" s="58">
        <v>0</v>
      </c>
      <c r="H106" s="58">
        <v>0</v>
      </c>
      <c r="I106" s="58">
        <v>0</v>
      </c>
      <c r="J106" s="58">
        <v>0</v>
      </c>
      <c r="K106" s="58">
        <v>0</v>
      </c>
      <c r="L106" s="58">
        <v>0</v>
      </c>
      <c r="M106" s="58">
        <v>0</v>
      </c>
      <c r="N106" s="58">
        <v>0</v>
      </c>
      <c r="O106" s="58">
        <v>0</v>
      </c>
      <c r="P106" s="58">
        <v>0</v>
      </c>
      <c r="Q106" s="58">
        <f t="shared" ref="Q106:Q113" si="40">SUM(E106:P106)</f>
        <v>0</v>
      </c>
      <c r="R106" s="89">
        <f t="shared" si="32"/>
        <v>0</v>
      </c>
      <c r="S106" s="15"/>
      <c r="T106" s="62">
        <f t="shared" si="38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f t="shared" si="40"/>
        <v>0</v>
      </c>
      <c r="R107" s="89">
        <f t="shared" si="32"/>
        <v>0</v>
      </c>
      <c r="S107" s="15"/>
      <c r="T107" s="62">
        <f t="shared" si="38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58">
        <v>0</v>
      </c>
      <c r="P108" s="58">
        <v>0</v>
      </c>
      <c r="Q108" s="58">
        <f t="shared" si="40"/>
        <v>0</v>
      </c>
      <c r="R108" s="89">
        <f t="shared" si="32"/>
        <v>0</v>
      </c>
      <c r="S108" s="15"/>
      <c r="T108" s="62">
        <f t="shared" si="38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f t="shared" si="40"/>
        <v>0</v>
      </c>
      <c r="R109" s="89">
        <f t="shared" si="32"/>
        <v>0</v>
      </c>
      <c r="S109" s="15"/>
      <c r="T109" s="62">
        <f t="shared" si="38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f t="shared" si="40"/>
        <v>0</v>
      </c>
      <c r="R110" s="89">
        <f t="shared" si="32"/>
        <v>0</v>
      </c>
      <c r="S110" s="15"/>
      <c r="T110" s="62">
        <f t="shared" si="38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/>
      <c r="D111" s="57"/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58">
        <v>0</v>
      </c>
      <c r="P111" s="58">
        <v>0</v>
      </c>
      <c r="Q111" s="58">
        <f t="shared" si="40"/>
        <v>0</v>
      </c>
      <c r="R111" s="89">
        <f t="shared" si="32"/>
        <v>0</v>
      </c>
      <c r="S111" s="15"/>
      <c r="T111" s="62">
        <f t="shared" si="38"/>
        <v>0</v>
      </c>
      <c r="U111" s="62">
        <f t="shared" si="33"/>
        <v>0</v>
      </c>
    </row>
    <row r="112" spans="1:21" x14ac:dyDescent="0.25">
      <c r="A112" s="25"/>
      <c r="B112" s="15" t="s">
        <v>127</v>
      </c>
      <c r="C112" s="56"/>
      <c r="D112" s="57"/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f t="shared" si="40"/>
        <v>0</v>
      </c>
      <c r="R112" s="89">
        <f t="shared" si="32"/>
        <v>0</v>
      </c>
      <c r="S112" s="15"/>
      <c r="T112" s="62">
        <f t="shared" si="38"/>
        <v>0</v>
      </c>
      <c r="U112" s="62">
        <f t="shared" si="33"/>
        <v>0</v>
      </c>
    </row>
    <row r="113" spans="1:21" x14ac:dyDescent="0.25">
      <c r="A113" s="25"/>
      <c r="B113" s="15" t="s">
        <v>128</v>
      </c>
      <c r="C113" s="56"/>
      <c r="D113" s="57"/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f t="shared" si="40"/>
        <v>0</v>
      </c>
      <c r="R113" s="89">
        <f t="shared" si="32"/>
        <v>0</v>
      </c>
      <c r="S113" s="15"/>
      <c r="T113" s="62">
        <f t="shared" si="38"/>
        <v>0</v>
      </c>
      <c r="U113" s="62">
        <f t="shared" si="33"/>
        <v>0</v>
      </c>
    </row>
    <row r="114" spans="1:21" x14ac:dyDescent="0.25">
      <c r="A114" s="25"/>
      <c r="B114" s="15" t="s">
        <v>129</v>
      </c>
      <c r="C114" s="56"/>
      <c r="D114" s="57"/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f t="shared" si="37"/>
        <v>0</v>
      </c>
      <c r="R114" s="89">
        <f t="shared" si="32"/>
        <v>0</v>
      </c>
      <c r="S114" s="15"/>
      <c r="T114" s="62">
        <f t="shared" si="38"/>
        <v>0</v>
      </c>
      <c r="U114" s="62">
        <f t="shared" si="33"/>
        <v>0</v>
      </c>
    </row>
    <row r="115" spans="1:21" x14ac:dyDescent="0.25">
      <c r="A115" s="25"/>
      <c r="B115" s="15" t="s">
        <v>130</v>
      </c>
      <c r="C115" s="56"/>
      <c r="D115" s="57"/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f t="shared" si="37"/>
        <v>0</v>
      </c>
      <c r="R115" s="89">
        <f t="shared" si="32"/>
        <v>0</v>
      </c>
      <c r="S115" s="15"/>
      <c r="T115" s="62">
        <f t="shared" si="38"/>
        <v>0</v>
      </c>
      <c r="U115" s="62">
        <f t="shared" si="33"/>
        <v>0</v>
      </c>
    </row>
    <row r="116" spans="1:21" x14ac:dyDescent="0.25">
      <c r="A116" s="25"/>
      <c r="B116" s="15" t="s">
        <v>131</v>
      </c>
      <c r="C116" s="56"/>
      <c r="D116" s="57"/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f t="shared" si="37"/>
        <v>0</v>
      </c>
      <c r="R116" s="89">
        <f t="shared" si="32"/>
        <v>0</v>
      </c>
      <c r="S116" s="15"/>
      <c r="T116" s="62">
        <f t="shared" si="38"/>
        <v>0</v>
      </c>
      <c r="U116" s="62">
        <f t="shared" si="33"/>
        <v>0</v>
      </c>
    </row>
    <row r="117" spans="1:21" ht="23.25" x14ac:dyDescent="0.25">
      <c r="A117" s="25"/>
      <c r="B117" s="15" t="s">
        <v>132</v>
      </c>
      <c r="C117" s="56"/>
      <c r="D117" s="57"/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f t="shared" si="37"/>
        <v>0</v>
      </c>
      <c r="R117" s="89">
        <f t="shared" si="32"/>
        <v>0</v>
      </c>
      <c r="S117" s="15"/>
      <c r="T117" s="62">
        <f t="shared" si="38"/>
        <v>0</v>
      </c>
      <c r="U117" s="62">
        <f t="shared" si="33"/>
        <v>0</v>
      </c>
    </row>
    <row r="118" spans="1:21" ht="23.25" x14ac:dyDescent="0.25">
      <c r="A118" s="25"/>
      <c r="B118" s="15" t="s">
        <v>133</v>
      </c>
      <c r="C118" s="56"/>
      <c r="D118" s="57"/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f t="shared" si="37"/>
        <v>0</v>
      </c>
      <c r="R118" s="89">
        <f t="shared" si="32"/>
        <v>0</v>
      </c>
      <c r="S118" s="15"/>
      <c r="T118" s="62">
        <f t="shared" si="38"/>
        <v>0</v>
      </c>
      <c r="U118" s="62">
        <f t="shared" si="33"/>
        <v>0</v>
      </c>
    </row>
    <row r="119" spans="1:21" x14ac:dyDescent="0.25">
      <c r="A119" s="25"/>
      <c r="B119" s="15" t="s">
        <v>134</v>
      </c>
      <c r="C119" s="56"/>
      <c r="D119" s="57"/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f>SUM(E119:P119)</f>
        <v>0</v>
      </c>
      <c r="R119" s="89">
        <f>AVERAGE(E119:P119)</f>
        <v>0</v>
      </c>
      <c r="S119" s="15"/>
      <c r="T119" s="62">
        <f t="shared" si="38"/>
        <v>0</v>
      </c>
      <c r="U119" s="62">
        <f t="shared" si="33"/>
        <v>0</v>
      </c>
    </row>
    <row r="120" spans="1:21" x14ac:dyDescent="0.25">
      <c r="A120" s="25"/>
      <c r="B120" s="15" t="s">
        <v>135</v>
      </c>
      <c r="C120" s="56"/>
      <c r="D120" s="57"/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f t="shared" si="37"/>
        <v>0</v>
      </c>
      <c r="R120" s="89">
        <f t="shared" si="32"/>
        <v>0</v>
      </c>
      <c r="S120" s="15"/>
      <c r="T120" s="62">
        <f t="shared" si="38"/>
        <v>0</v>
      </c>
      <c r="U120" s="62">
        <f t="shared" si="33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41">SUM(C97:C120)</f>
        <v>5985.2559999999994</v>
      </c>
      <c r="D121" s="92">
        <f t="shared" si="41"/>
        <v>792.54514285714276</v>
      </c>
      <c r="E121" s="93">
        <f t="shared" si="41"/>
        <v>375</v>
      </c>
      <c r="F121" s="93">
        <f t="shared" si="41"/>
        <v>375</v>
      </c>
      <c r="G121" s="93">
        <f t="shared" si="41"/>
        <v>375</v>
      </c>
      <c r="H121" s="93">
        <f t="shared" si="41"/>
        <v>375</v>
      </c>
      <c r="I121" s="93">
        <f t="shared" si="41"/>
        <v>375</v>
      </c>
      <c r="J121" s="93">
        <f t="shared" si="41"/>
        <v>375</v>
      </c>
      <c r="K121" s="93">
        <f t="shared" si="41"/>
        <v>385</v>
      </c>
      <c r="L121" s="93">
        <f t="shared" si="41"/>
        <v>395</v>
      </c>
      <c r="M121" s="93">
        <f t="shared" si="41"/>
        <v>395</v>
      </c>
      <c r="N121" s="93">
        <f t="shared" si="41"/>
        <v>395</v>
      </c>
      <c r="O121" s="93">
        <f t="shared" si="41"/>
        <v>395</v>
      </c>
      <c r="P121" s="93">
        <f t="shared" si="41"/>
        <v>395</v>
      </c>
      <c r="Q121" s="93">
        <f t="shared" si="41"/>
        <v>4610</v>
      </c>
      <c r="R121" s="94">
        <f>AVERAGE(E121:P121)</f>
        <v>384.16666666666669</v>
      </c>
      <c r="T121" s="96">
        <f t="shared" si="38"/>
        <v>4.7551617745232255E-2</v>
      </c>
      <c r="U121" s="96">
        <f t="shared" si="33"/>
        <v>-0.22977396455556781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f>SUM(E123:P123)</f>
        <v>0</v>
      </c>
      <c r="R123" s="89">
        <f t="shared" si="32"/>
        <v>0</v>
      </c>
      <c r="S123" s="15"/>
      <c r="T123" s="62">
        <f t="shared" si="38"/>
        <v>0</v>
      </c>
      <c r="U123" s="62">
        <f t="shared" si="33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2">SUM(C123:C123)</f>
        <v>0</v>
      </c>
      <c r="D124" s="92">
        <f t="shared" si="42"/>
        <v>0</v>
      </c>
      <c r="E124" s="93">
        <f t="shared" si="42"/>
        <v>0</v>
      </c>
      <c r="F124" s="93">
        <f t="shared" si="42"/>
        <v>0</v>
      </c>
      <c r="G124" s="93">
        <f t="shared" si="42"/>
        <v>0</v>
      </c>
      <c r="H124" s="93">
        <f t="shared" si="42"/>
        <v>0</v>
      </c>
      <c r="I124" s="93">
        <f t="shared" si="42"/>
        <v>0</v>
      </c>
      <c r="J124" s="93">
        <f t="shared" si="42"/>
        <v>0</v>
      </c>
      <c r="K124" s="93">
        <f t="shared" si="42"/>
        <v>0</v>
      </c>
      <c r="L124" s="93">
        <f t="shared" si="42"/>
        <v>0</v>
      </c>
      <c r="M124" s="93">
        <f t="shared" si="42"/>
        <v>0</v>
      </c>
      <c r="N124" s="93">
        <f t="shared" si="42"/>
        <v>0</v>
      </c>
      <c r="O124" s="93">
        <f t="shared" si="42"/>
        <v>0</v>
      </c>
      <c r="P124" s="93">
        <f t="shared" si="42"/>
        <v>0</v>
      </c>
      <c r="Q124" s="93">
        <f t="shared" si="42"/>
        <v>0</v>
      </c>
      <c r="R124" s="94">
        <f t="shared" si="32"/>
        <v>0</v>
      </c>
      <c r="T124" s="96">
        <f t="shared" si="38"/>
        <v>0</v>
      </c>
      <c r="U124" s="96">
        <f t="shared" si="33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f>1160/10*12</f>
        <v>1392</v>
      </c>
      <c r="D126" s="57">
        <f>C126/12</f>
        <v>116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f>SUM(E126:P126)</f>
        <v>0</v>
      </c>
      <c r="R126" s="89">
        <f t="shared" si="32"/>
        <v>0</v>
      </c>
      <c r="S126" s="15"/>
      <c r="T126" s="62">
        <f t="shared" si="38"/>
        <v>0</v>
      </c>
      <c r="U126" s="62">
        <f t="shared" si="33"/>
        <v>-1</v>
      </c>
    </row>
    <row r="127" spans="1:21" x14ac:dyDescent="0.25">
      <c r="A127" s="63" t="s">
        <v>142</v>
      </c>
      <c r="B127" s="15"/>
      <c r="C127" s="137">
        <f t="shared" ref="C127:Q127" si="43">SUM(C126:C126)</f>
        <v>1392</v>
      </c>
      <c r="D127" s="138">
        <f t="shared" si="43"/>
        <v>116</v>
      </c>
      <c r="E127" s="139">
        <f t="shared" si="43"/>
        <v>0</v>
      </c>
      <c r="F127" s="139">
        <f t="shared" si="43"/>
        <v>0</v>
      </c>
      <c r="G127" s="139">
        <f t="shared" si="43"/>
        <v>0</v>
      </c>
      <c r="H127" s="139">
        <f t="shared" si="43"/>
        <v>0</v>
      </c>
      <c r="I127" s="139">
        <f t="shared" si="43"/>
        <v>0</v>
      </c>
      <c r="J127" s="139">
        <f t="shared" si="43"/>
        <v>0</v>
      </c>
      <c r="K127" s="139">
        <f t="shared" si="43"/>
        <v>0</v>
      </c>
      <c r="L127" s="139">
        <f t="shared" si="43"/>
        <v>0</v>
      </c>
      <c r="M127" s="139">
        <f t="shared" si="43"/>
        <v>0</v>
      </c>
      <c r="N127" s="139">
        <f t="shared" si="43"/>
        <v>0</v>
      </c>
      <c r="O127" s="139">
        <f t="shared" si="43"/>
        <v>0</v>
      </c>
      <c r="P127" s="139">
        <f t="shared" si="43"/>
        <v>0</v>
      </c>
      <c r="Q127" s="139">
        <f t="shared" si="43"/>
        <v>0</v>
      </c>
      <c r="R127" s="140">
        <f t="shared" si="32"/>
        <v>0</v>
      </c>
      <c r="T127" s="141">
        <f t="shared" si="38"/>
        <v>0</v>
      </c>
      <c r="U127" s="141">
        <f t="shared" si="33"/>
        <v>-1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4">C124+C121+C90+C82+C73+C62+C48+C95+C76+C127</f>
        <v>7509.2559999999994</v>
      </c>
      <c r="D128" s="72">
        <f t="shared" si="44"/>
        <v>919.54514285714276</v>
      </c>
      <c r="E128" s="73">
        <f t="shared" si="44"/>
        <v>375</v>
      </c>
      <c r="F128" s="73">
        <f t="shared" si="44"/>
        <v>375</v>
      </c>
      <c r="G128" s="73">
        <f t="shared" si="44"/>
        <v>375</v>
      </c>
      <c r="H128" s="73">
        <f t="shared" si="44"/>
        <v>375</v>
      </c>
      <c r="I128" s="73">
        <f t="shared" si="44"/>
        <v>375</v>
      </c>
      <c r="J128" s="73">
        <f t="shared" si="44"/>
        <v>375</v>
      </c>
      <c r="K128" s="73">
        <f t="shared" si="44"/>
        <v>385</v>
      </c>
      <c r="L128" s="73">
        <f t="shared" si="44"/>
        <v>395</v>
      </c>
      <c r="M128" s="73">
        <f t="shared" si="44"/>
        <v>395</v>
      </c>
      <c r="N128" s="73">
        <f t="shared" si="44"/>
        <v>395</v>
      </c>
      <c r="O128" s="73">
        <f t="shared" si="44"/>
        <v>395</v>
      </c>
      <c r="P128" s="73">
        <f t="shared" si="44"/>
        <v>395</v>
      </c>
      <c r="Q128" s="73">
        <f t="shared" si="44"/>
        <v>4610</v>
      </c>
      <c r="R128" s="74">
        <f t="shared" si="32"/>
        <v>384.16666666666669</v>
      </c>
      <c r="T128" s="76">
        <f t="shared" si="38"/>
        <v>4.7551617745232255E-2</v>
      </c>
      <c r="U128" s="76">
        <f t="shared" si="33"/>
        <v>-0.38609097891988231</v>
      </c>
    </row>
    <row r="129" spans="1:21" x14ac:dyDescent="0.25">
      <c r="A129" s="78" t="s">
        <v>144</v>
      </c>
      <c r="B129" t="s">
        <v>48</v>
      </c>
      <c r="C129" s="79">
        <f t="shared" ref="C129:Q129" si="45">C34-C128</f>
        <v>32782.314000000006</v>
      </c>
      <c r="D129" s="80">
        <f t="shared" si="45"/>
        <v>2438.0856904761899</v>
      </c>
      <c r="E129" s="81">
        <f t="shared" si="45"/>
        <v>7703.9400000000023</v>
      </c>
      <c r="F129" s="81">
        <f t="shared" si="45"/>
        <v>7703.9400000000023</v>
      </c>
      <c r="G129" s="81">
        <f t="shared" si="45"/>
        <v>7703.9400000000023</v>
      </c>
      <c r="H129" s="81">
        <f t="shared" si="45"/>
        <v>7703.9400000000023</v>
      </c>
      <c r="I129" s="81">
        <f t="shared" si="45"/>
        <v>7703.9400000000023</v>
      </c>
      <c r="J129" s="81">
        <f t="shared" si="45"/>
        <v>7703.9400000000023</v>
      </c>
      <c r="K129" s="81">
        <f t="shared" si="45"/>
        <v>7693.9400000000023</v>
      </c>
      <c r="L129" s="81">
        <f t="shared" si="45"/>
        <v>7683.9400000000023</v>
      </c>
      <c r="M129" s="81">
        <f t="shared" si="45"/>
        <v>7683.9400000000023</v>
      </c>
      <c r="N129" s="81">
        <f t="shared" si="45"/>
        <v>7683.9400000000023</v>
      </c>
      <c r="O129" s="81">
        <f t="shared" si="45"/>
        <v>7683.9400000000023</v>
      </c>
      <c r="P129" s="81">
        <f t="shared" si="45"/>
        <v>7683.9400000000023</v>
      </c>
      <c r="Q129" s="81">
        <f t="shared" si="45"/>
        <v>92337.279999999999</v>
      </c>
      <c r="R129" s="82">
        <f t="shared" si="32"/>
        <v>7694.7733333333354</v>
      </c>
      <c r="T129" s="31">
        <f t="shared" si="38"/>
        <v>0.9524483822547678</v>
      </c>
      <c r="U129" s="31">
        <f t="shared" si="33"/>
        <v>1.8166797499407754</v>
      </c>
    </row>
    <row r="130" spans="1:21" ht="14.45" customHeight="1" x14ac:dyDescent="0.25">
      <c r="A130" s="78" t="s">
        <v>145</v>
      </c>
      <c r="B130" t="s">
        <v>48</v>
      </c>
      <c r="C130" s="339">
        <f t="shared" ref="C130:Q130" si="46">IFERROR(C129/C34,0)</f>
        <v>0.81362711852628233</v>
      </c>
      <c r="D130" s="340">
        <f t="shared" si="46"/>
        <v>0.72613274403837536</v>
      </c>
      <c r="E130" s="341">
        <f t="shared" si="46"/>
        <v>0.9535830195545455</v>
      </c>
      <c r="F130" s="341">
        <f t="shared" si="46"/>
        <v>0.9535830195545455</v>
      </c>
      <c r="G130" s="341">
        <f t="shared" si="46"/>
        <v>0.9535830195545455</v>
      </c>
      <c r="H130" s="341">
        <f t="shared" si="46"/>
        <v>0.9535830195545455</v>
      </c>
      <c r="I130" s="341">
        <f t="shared" si="46"/>
        <v>0.9535830195545455</v>
      </c>
      <c r="J130" s="341">
        <f t="shared" si="46"/>
        <v>0.9535830195545455</v>
      </c>
      <c r="K130" s="341">
        <f t="shared" si="46"/>
        <v>0.95234523340933341</v>
      </c>
      <c r="L130" s="341">
        <f t="shared" si="46"/>
        <v>0.95110744726412133</v>
      </c>
      <c r="M130" s="341">
        <f t="shared" si="46"/>
        <v>0.95110744726412133</v>
      </c>
      <c r="N130" s="341">
        <f t="shared" si="46"/>
        <v>0.95110744726412133</v>
      </c>
      <c r="O130" s="341">
        <f t="shared" si="46"/>
        <v>0.95110744726412133</v>
      </c>
      <c r="P130" s="341">
        <f t="shared" si="46"/>
        <v>0.95110744726412133</v>
      </c>
      <c r="Q130" s="341">
        <f t="shared" si="46"/>
        <v>0.9524483822547678</v>
      </c>
      <c r="R130" s="342">
        <f t="shared" si="32"/>
        <v>0.95244838225476769</v>
      </c>
      <c r="T130" s="31"/>
      <c r="U130" s="31">
        <f>IFERROR((Q130-C130)/C130,0)</f>
        <v>0.17062025166999295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58">
        <v>0</v>
      </c>
      <c r="P132" s="58">
        <v>0</v>
      </c>
      <c r="Q132" s="58">
        <f>SUM(E132:P132)</f>
        <v>0</v>
      </c>
      <c r="R132" s="89">
        <f t="shared" ref="R132:R137" si="47">AVERAGE(E132:P132)</f>
        <v>0</v>
      </c>
      <c r="S132" s="15"/>
      <c r="T132" s="62">
        <f t="shared" si="38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58">
        <v>0</v>
      </c>
      <c r="P133" s="58">
        <v>0</v>
      </c>
      <c r="Q133" s="58">
        <f>SUM(E133:P133)</f>
        <v>0</v>
      </c>
      <c r="R133" s="89">
        <f t="shared" si="47"/>
        <v>0</v>
      </c>
      <c r="S133" s="15"/>
      <c r="T133" s="62">
        <f t="shared" si="38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8">SUM(C132:C133)</f>
        <v>0</v>
      </c>
      <c r="D134" s="138">
        <f t="shared" si="48"/>
        <v>0</v>
      </c>
      <c r="E134" s="139">
        <f>SUM(E132:E133)</f>
        <v>0</v>
      </c>
      <c r="F134" s="139">
        <f t="shared" ref="F134:Q134" si="49">SUM(F132:F133)</f>
        <v>0</v>
      </c>
      <c r="G134" s="139">
        <f t="shared" si="49"/>
        <v>0</v>
      </c>
      <c r="H134" s="139">
        <f t="shared" si="49"/>
        <v>0</v>
      </c>
      <c r="I134" s="139">
        <f t="shared" si="49"/>
        <v>0</v>
      </c>
      <c r="J134" s="139">
        <f t="shared" si="49"/>
        <v>0</v>
      </c>
      <c r="K134" s="139">
        <f t="shared" si="49"/>
        <v>0</v>
      </c>
      <c r="L134" s="139">
        <f t="shared" si="49"/>
        <v>0</v>
      </c>
      <c r="M134" s="139">
        <f t="shared" si="49"/>
        <v>0</v>
      </c>
      <c r="N134" s="139">
        <f t="shared" si="49"/>
        <v>0</v>
      </c>
      <c r="O134" s="139">
        <f t="shared" si="49"/>
        <v>0</v>
      </c>
      <c r="P134" s="139">
        <f t="shared" si="49"/>
        <v>0</v>
      </c>
      <c r="Q134" s="139">
        <f t="shared" si="49"/>
        <v>0</v>
      </c>
      <c r="R134" s="140">
        <f>AVERAGE(E134:P134)</f>
        <v>0</v>
      </c>
      <c r="T134" s="141">
        <f t="shared" si="38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50">C134+C128</f>
        <v>7509.2559999999994</v>
      </c>
      <c r="D135" s="72">
        <f t="shared" si="50"/>
        <v>919.54514285714276</v>
      </c>
      <c r="E135" s="73">
        <f>E134+E128</f>
        <v>375</v>
      </c>
      <c r="F135" s="73">
        <f t="shared" ref="F135:P135" si="51">F134+F128</f>
        <v>375</v>
      </c>
      <c r="G135" s="73">
        <f t="shared" si="51"/>
        <v>375</v>
      </c>
      <c r="H135" s="73">
        <f t="shared" si="51"/>
        <v>375</v>
      </c>
      <c r="I135" s="73">
        <f t="shared" si="51"/>
        <v>375</v>
      </c>
      <c r="J135" s="73">
        <f t="shared" si="51"/>
        <v>375</v>
      </c>
      <c r="K135" s="73">
        <f t="shared" si="51"/>
        <v>385</v>
      </c>
      <c r="L135" s="73">
        <f t="shared" si="51"/>
        <v>395</v>
      </c>
      <c r="M135" s="73">
        <f t="shared" si="51"/>
        <v>395</v>
      </c>
      <c r="N135" s="73">
        <f t="shared" si="51"/>
        <v>395</v>
      </c>
      <c r="O135" s="73">
        <f t="shared" si="51"/>
        <v>395</v>
      </c>
      <c r="P135" s="73">
        <f t="shared" si="51"/>
        <v>395</v>
      </c>
      <c r="Q135" s="73">
        <f>Q134+Q128</f>
        <v>4610</v>
      </c>
      <c r="R135" s="74">
        <f t="shared" si="47"/>
        <v>384.16666666666669</v>
      </c>
      <c r="T135" s="76">
        <f t="shared" si="38"/>
        <v>4.7551617745232255E-2</v>
      </c>
      <c r="U135" s="76">
        <f t="shared" si="33"/>
        <v>-0.38609097891988231</v>
      </c>
    </row>
    <row r="136" spans="1:21" x14ac:dyDescent="0.25">
      <c r="A136" s="78" t="s">
        <v>151</v>
      </c>
      <c r="C136" s="79">
        <f t="shared" ref="C136:Q136" si="52">C34-C135</f>
        <v>32782.314000000006</v>
      </c>
      <c r="D136" s="80">
        <f t="shared" si="52"/>
        <v>2438.0856904761899</v>
      </c>
      <c r="E136" s="81">
        <f t="shared" si="52"/>
        <v>7703.9400000000023</v>
      </c>
      <c r="F136" s="81">
        <f t="shared" si="52"/>
        <v>7703.9400000000023</v>
      </c>
      <c r="G136" s="81">
        <f t="shared" si="52"/>
        <v>7703.9400000000023</v>
      </c>
      <c r="H136" s="81">
        <f t="shared" si="52"/>
        <v>7703.9400000000023</v>
      </c>
      <c r="I136" s="81">
        <f t="shared" si="52"/>
        <v>7703.9400000000023</v>
      </c>
      <c r="J136" s="81">
        <f t="shared" si="52"/>
        <v>7703.9400000000023</v>
      </c>
      <c r="K136" s="81">
        <f t="shared" si="52"/>
        <v>7693.9400000000023</v>
      </c>
      <c r="L136" s="81">
        <f t="shared" si="52"/>
        <v>7683.9400000000023</v>
      </c>
      <c r="M136" s="81">
        <f t="shared" si="52"/>
        <v>7683.9400000000023</v>
      </c>
      <c r="N136" s="81">
        <f t="shared" si="52"/>
        <v>7683.9400000000023</v>
      </c>
      <c r="O136" s="81">
        <f t="shared" si="52"/>
        <v>7683.9400000000023</v>
      </c>
      <c r="P136" s="81">
        <f t="shared" si="52"/>
        <v>7683.9400000000023</v>
      </c>
      <c r="Q136" s="81">
        <f t="shared" si="52"/>
        <v>92337.279999999999</v>
      </c>
      <c r="R136" s="82">
        <f>AVERAGE(E136:P136)</f>
        <v>7694.7733333333354</v>
      </c>
      <c r="T136" s="31">
        <f>Q136/$Q$34</f>
        <v>0.9524483822547678</v>
      </c>
      <c r="U136" s="31">
        <f t="shared" si="33"/>
        <v>1.8166797499407754</v>
      </c>
    </row>
    <row r="137" spans="1:21" ht="15.75" thickBot="1" x14ac:dyDescent="0.3">
      <c r="A137" s="78" t="s">
        <v>152</v>
      </c>
      <c r="C137" s="344">
        <f>IFERROR(C136/C34,"")</f>
        <v>0.81362711852628233</v>
      </c>
      <c r="D137" s="345">
        <f>IFERROR(D136/D34,"")</f>
        <v>0.72613274403837536</v>
      </c>
      <c r="E137" s="341">
        <f t="shared" ref="E137:Q137" si="53">E136/E34</f>
        <v>0.9535830195545455</v>
      </c>
      <c r="F137" s="341">
        <f t="shared" si="53"/>
        <v>0.9535830195545455</v>
      </c>
      <c r="G137" s="341">
        <f t="shared" si="53"/>
        <v>0.9535830195545455</v>
      </c>
      <c r="H137" s="341">
        <f t="shared" si="53"/>
        <v>0.9535830195545455</v>
      </c>
      <c r="I137" s="341">
        <f t="shared" si="53"/>
        <v>0.9535830195545455</v>
      </c>
      <c r="J137" s="341">
        <f t="shared" si="53"/>
        <v>0.9535830195545455</v>
      </c>
      <c r="K137" s="341">
        <f t="shared" si="53"/>
        <v>0.95234523340933341</v>
      </c>
      <c r="L137" s="341">
        <f t="shared" si="53"/>
        <v>0.95110744726412133</v>
      </c>
      <c r="M137" s="341">
        <f t="shared" si="53"/>
        <v>0.95110744726412133</v>
      </c>
      <c r="N137" s="341">
        <f t="shared" si="53"/>
        <v>0.95110744726412133</v>
      </c>
      <c r="O137" s="341">
        <f t="shared" si="53"/>
        <v>0.95110744726412133</v>
      </c>
      <c r="P137" s="341">
        <f t="shared" si="53"/>
        <v>0.95110744726412133</v>
      </c>
      <c r="Q137" s="341">
        <f t="shared" si="53"/>
        <v>0.9524483822547678</v>
      </c>
      <c r="R137" s="346">
        <f t="shared" si="47"/>
        <v>0.95244838225476769</v>
      </c>
      <c r="T137" s="181"/>
      <c r="U137" s="181">
        <f t="shared" si="33"/>
        <v>0.17062025166999295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AB1C-35B2-47D8-9262-08E88911367E}">
  <dimension ref="A1:AA137"/>
  <sheetViews>
    <sheetView topLeftCell="C1" workbookViewId="0">
      <selection activeCell="X7" sqref="X7:AA22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1.42578125" customWidth="1"/>
    <col min="20" max="20" width="10" bestFit="1" customWidth="1"/>
    <col min="21" max="21" width="11.85546875" customWidth="1"/>
    <col min="25" max="25" width="14.140625" customWidth="1"/>
    <col min="26" max="26" width="16.42578125" customWidth="1"/>
    <col min="27" max="27" width="16.5703125" customWidth="1"/>
  </cols>
  <sheetData>
    <row r="1" spans="1:27" ht="18" x14ac:dyDescent="0.25">
      <c r="A1" s="401" t="s">
        <v>374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7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7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7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7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7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7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7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7" x14ac:dyDescent="0.25">
      <c r="A9" s="25"/>
      <c r="B9" s="15" t="s">
        <v>24</v>
      </c>
      <c r="C9" s="16">
        <v>5.9160000000000004</v>
      </c>
      <c r="D9" s="17">
        <v>0.49299999999999999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9">
        <f t="shared" si="0"/>
        <v>12</v>
      </c>
      <c r="R9" s="20">
        <f t="shared" si="1"/>
        <v>1</v>
      </c>
      <c r="S9" s="15"/>
      <c r="T9" s="21"/>
      <c r="U9" s="22">
        <f t="shared" si="2"/>
        <v>1.0283975659229208</v>
      </c>
    </row>
    <row r="10" spans="1:27" x14ac:dyDescent="0.25">
      <c r="A10" s="15"/>
      <c r="B10" s="15" t="s">
        <v>25</v>
      </c>
      <c r="C10" s="16">
        <v>42.864000000000004</v>
      </c>
      <c r="D10" s="17">
        <v>3.5720000000000001</v>
      </c>
      <c r="E10" s="18">
        <v>6</v>
      </c>
      <c r="F10" s="18">
        <v>6</v>
      </c>
      <c r="G10" s="18">
        <v>6</v>
      </c>
      <c r="H10" s="18">
        <v>6</v>
      </c>
      <c r="I10" s="18">
        <v>6</v>
      </c>
      <c r="J10" s="18">
        <v>6</v>
      </c>
      <c r="K10" s="18">
        <v>6</v>
      </c>
      <c r="L10" s="18">
        <v>6</v>
      </c>
      <c r="M10" s="18">
        <v>6</v>
      </c>
      <c r="N10" s="18">
        <v>6</v>
      </c>
      <c r="O10" s="18">
        <v>6</v>
      </c>
      <c r="P10" s="18">
        <v>6</v>
      </c>
      <c r="Q10" s="19">
        <f t="shared" si="0"/>
        <v>72</v>
      </c>
      <c r="R10" s="20">
        <f t="shared" si="1"/>
        <v>6</v>
      </c>
      <c r="S10" s="15"/>
      <c r="T10" s="21"/>
      <c r="U10" s="22">
        <f t="shared" si="2"/>
        <v>0.67973124300111964</v>
      </c>
    </row>
    <row r="11" spans="1:27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 t="shared" si="1"/>
        <v>#DIV/0!</v>
      </c>
      <c r="S11" s="15"/>
      <c r="T11" s="21"/>
      <c r="U11" s="22">
        <f t="shared" si="2"/>
        <v>0</v>
      </c>
    </row>
    <row r="12" spans="1:27" x14ac:dyDescent="0.25">
      <c r="A12" s="15"/>
      <c r="B12" s="15" t="s">
        <v>27</v>
      </c>
      <c r="C12" s="16">
        <v>3.84</v>
      </c>
      <c r="D12" s="17">
        <v>0.32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9">
        <f>SUM(E12:P12)</f>
        <v>18</v>
      </c>
      <c r="R12" s="20">
        <f>AVERAGE(E12:P12)</f>
        <v>1.5</v>
      </c>
      <c r="S12" s="15"/>
      <c r="T12" s="21"/>
      <c r="U12" s="22">
        <f t="shared" si="2"/>
        <v>3.6875</v>
      </c>
    </row>
    <row r="13" spans="1:27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 t="shared" si="1"/>
        <v>#DIV/0!</v>
      </c>
      <c r="S13" s="15"/>
      <c r="T13" s="21"/>
      <c r="U13" s="22">
        <f t="shared" si="2"/>
        <v>0</v>
      </c>
    </row>
    <row r="14" spans="1:27" x14ac:dyDescent="0.25">
      <c r="A14" s="25"/>
      <c r="B14" s="15" t="s">
        <v>29</v>
      </c>
      <c r="C14" s="26">
        <f>SUM(C7:C13)</f>
        <v>52.620000000000005</v>
      </c>
      <c r="D14" s="27">
        <f t="shared" ref="D14:Q14" si="3">SUM(D7:D13)</f>
        <v>4.3850000000000007</v>
      </c>
      <c r="E14" s="28">
        <f t="shared" si="3"/>
        <v>8</v>
      </c>
      <c r="F14" s="28">
        <f t="shared" si="3"/>
        <v>8</v>
      </c>
      <c r="G14" s="28">
        <f t="shared" si="3"/>
        <v>8</v>
      </c>
      <c r="H14" s="28">
        <f t="shared" si="3"/>
        <v>8</v>
      </c>
      <c r="I14" s="28">
        <f t="shared" si="3"/>
        <v>8</v>
      </c>
      <c r="J14" s="28">
        <f t="shared" si="3"/>
        <v>8</v>
      </c>
      <c r="K14" s="28">
        <f t="shared" si="3"/>
        <v>9</v>
      </c>
      <c r="L14" s="28">
        <f t="shared" si="3"/>
        <v>9</v>
      </c>
      <c r="M14" s="28">
        <f t="shared" si="3"/>
        <v>9</v>
      </c>
      <c r="N14" s="28">
        <f t="shared" si="3"/>
        <v>9</v>
      </c>
      <c r="O14" s="28">
        <f t="shared" si="3"/>
        <v>9</v>
      </c>
      <c r="P14" s="28">
        <f t="shared" si="3"/>
        <v>9</v>
      </c>
      <c r="Q14" s="28">
        <f t="shared" si="3"/>
        <v>102</v>
      </c>
      <c r="R14" s="29">
        <f t="shared" si="1"/>
        <v>8.5</v>
      </c>
      <c r="T14" s="30"/>
      <c r="U14" s="31">
        <f>IFERROR((Q14-C14)/C14,0)</f>
        <v>0.93842645381984024</v>
      </c>
    </row>
    <row r="15" spans="1:27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7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X16"/>
      <c r="Y16"/>
      <c r="Z16"/>
      <c r="AA16"/>
    </row>
    <row r="17" spans="1:27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X17"/>
      <c r="Y17"/>
      <c r="Z17"/>
      <c r="AA17"/>
    </row>
    <row r="18" spans="1:27" s="44" customFormat="1" x14ac:dyDescent="0.25">
      <c r="B18" s="15" t="s">
        <v>33</v>
      </c>
      <c r="C18" s="40"/>
      <c r="D18" s="41"/>
      <c r="E18" s="42">
        <v>340</v>
      </c>
      <c r="F18" s="42">
        <v>340</v>
      </c>
      <c r="G18" s="42">
        <v>340</v>
      </c>
      <c r="H18" s="42">
        <v>340</v>
      </c>
      <c r="I18" s="42">
        <v>340</v>
      </c>
      <c r="J18" s="42">
        <v>340</v>
      </c>
      <c r="K18" s="42">
        <v>340</v>
      </c>
      <c r="L18" s="42">
        <v>340</v>
      </c>
      <c r="M18" s="42">
        <v>340</v>
      </c>
      <c r="N18" s="42">
        <v>340</v>
      </c>
      <c r="O18" s="42">
        <v>340</v>
      </c>
      <c r="P18" s="42">
        <v>340</v>
      </c>
      <c r="Q18" s="42">
        <f>AVERAGE(E18:P18)</f>
        <v>340</v>
      </c>
      <c r="R18" s="43">
        <f t="shared" si="1"/>
        <v>340</v>
      </c>
      <c r="S18" s="15"/>
      <c r="T18" s="21"/>
      <c r="U18" s="22" t="str">
        <f t="shared" si="4"/>
        <v/>
      </c>
      <c r="X18"/>
      <c r="Y18"/>
      <c r="Z18"/>
      <c r="AA18"/>
    </row>
    <row r="19" spans="1:27" s="44" customFormat="1" x14ac:dyDescent="0.25">
      <c r="B19" s="15" t="s">
        <v>34</v>
      </c>
      <c r="C19" s="40"/>
      <c r="D19" s="41"/>
      <c r="E19" s="42">
        <v>200</v>
      </c>
      <c r="F19" s="42">
        <v>200</v>
      </c>
      <c r="G19" s="42">
        <v>200</v>
      </c>
      <c r="H19" s="42">
        <v>200</v>
      </c>
      <c r="I19" s="42">
        <v>200</v>
      </c>
      <c r="J19" s="42">
        <v>200</v>
      </c>
      <c r="K19" s="42">
        <v>200</v>
      </c>
      <c r="L19" s="42">
        <v>200</v>
      </c>
      <c r="M19" s="42">
        <v>200</v>
      </c>
      <c r="N19" s="42">
        <v>200</v>
      </c>
      <c r="O19" s="42">
        <v>200</v>
      </c>
      <c r="P19" s="42">
        <v>200</v>
      </c>
      <c r="Q19" s="42">
        <f>AVERAGE(E19:P19)</f>
        <v>200</v>
      </c>
      <c r="R19" s="43">
        <f t="shared" si="1"/>
        <v>200</v>
      </c>
      <c r="S19" s="15"/>
      <c r="T19" s="21"/>
      <c r="U19" s="22" t="str">
        <f t="shared" si="4"/>
        <v/>
      </c>
      <c r="X19"/>
      <c r="Y19"/>
      <c r="Z19"/>
      <c r="AA19"/>
    </row>
    <row r="20" spans="1:27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4"/>
        <v/>
      </c>
      <c r="X20"/>
      <c r="Y20"/>
      <c r="Z20"/>
      <c r="AA20"/>
    </row>
    <row r="21" spans="1:27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4"/>
        <v/>
      </c>
      <c r="X21"/>
      <c r="Y21"/>
      <c r="Z21"/>
      <c r="AA21"/>
    </row>
    <row r="22" spans="1:27" s="44" customFormat="1" x14ac:dyDescent="0.25">
      <c r="B22" s="15"/>
      <c r="C22" s="46"/>
      <c r="D22" s="47"/>
      <c r="E22" s="42"/>
      <c r="R22" s="48"/>
      <c r="S22" s="49"/>
      <c r="T22" s="50"/>
      <c r="U22" s="50"/>
      <c r="X22"/>
      <c r="Y22"/>
      <c r="Z22"/>
      <c r="AA22"/>
    </row>
    <row r="23" spans="1:27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7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15"/>
    </row>
    <row r="25" spans="1:27" x14ac:dyDescent="0.25">
      <c r="A25" s="25"/>
      <c r="B25" s="15" t="s">
        <v>39</v>
      </c>
      <c r="C25" s="56">
        <v>0</v>
      </c>
      <c r="D25" s="57">
        <f t="shared" ref="D25:D29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6"/>
        <v>0</v>
      </c>
      <c r="V25" s="15"/>
    </row>
    <row r="26" spans="1:27" x14ac:dyDescent="0.25">
      <c r="A26" s="25"/>
      <c r="B26" s="15" t="s">
        <v>40</v>
      </c>
      <c r="C26" s="56">
        <v>170232.76</v>
      </c>
      <c r="D26" s="57">
        <f t="shared" si="7"/>
        <v>14186.063333333334</v>
      </c>
      <c r="E26" s="58">
        <f>(((E9*E18)*21.75)+(((E10*E19)*13.08)+(((E11*E20)*4.33))))</f>
        <v>23091</v>
      </c>
      <c r="F26" s="58">
        <f t="shared" ref="F26:O26" si="8">(((F9*F18)*21.75)+(((F10*F19)*13.08)+(((F11*F20)*4.33))))</f>
        <v>23091</v>
      </c>
      <c r="G26" s="58">
        <f t="shared" si="8"/>
        <v>23091</v>
      </c>
      <c r="H26" s="58">
        <f t="shared" si="8"/>
        <v>23091</v>
      </c>
      <c r="I26" s="58">
        <f t="shared" si="8"/>
        <v>23091</v>
      </c>
      <c r="J26" s="58">
        <f t="shared" si="8"/>
        <v>23091</v>
      </c>
      <c r="K26" s="58">
        <f t="shared" si="8"/>
        <v>23091</v>
      </c>
      <c r="L26" s="58">
        <f t="shared" si="8"/>
        <v>23091</v>
      </c>
      <c r="M26" s="58">
        <f t="shared" si="8"/>
        <v>23091</v>
      </c>
      <c r="N26" s="58">
        <f t="shared" si="8"/>
        <v>23091</v>
      </c>
      <c r="O26" s="58">
        <f t="shared" si="8"/>
        <v>23091</v>
      </c>
      <c r="P26" s="58">
        <f>(((P9*P18)*21.75)+(((P10*P19)*13.08)+(((P11*P20)*4.33))))</f>
        <v>23091</v>
      </c>
      <c r="Q26" s="59">
        <f>SUM(E26:P26)</f>
        <v>277092</v>
      </c>
      <c r="R26" s="60">
        <f t="shared" si="1"/>
        <v>23091</v>
      </c>
      <c r="S26" s="15"/>
      <c r="T26" s="61"/>
      <c r="U26" s="62">
        <f t="shared" si="6"/>
        <v>0.62772429936517493</v>
      </c>
      <c r="V26" s="15"/>
    </row>
    <row r="27" spans="1:27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 t="shared" si="1"/>
        <v>0</v>
      </c>
      <c r="S27" s="15"/>
      <c r="T27" s="61"/>
      <c r="U27" s="62">
        <f t="shared" si="6"/>
        <v>0</v>
      </c>
      <c r="V27" s="15"/>
    </row>
    <row r="28" spans="1:27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9"/>
        <v>0</v>
      </c>
      <c r="L28" s="58">
        <f t="shared" si="9"/>
        <v>0</v>
      </c>
      <c r="M28" s="58">
        <f t="shared" si="9"/>
        <v>0</v>
      </c>
      <c r="N28" s="58">
        <f t="shared" si="9"/>
        <v>0</v>
      </c>
      <c r="O28" s="58">
        <f t="shared" si="9"/>
        <v>0</v>
      </c>
      <c r="P28" s="58">
        <f t="shared" si="9"/>
        <v>0</v>
      </c>
      <c r="Q28" s="59">
        <f>SUM(E28:P28)</f>
        <v>0</v>
      </c>
      <c r="R28" s="60">
        <f t="shared" si="1"/>
        <v>0</v>
      </c>
      <c r="S28" s="15"/>
      <c r="T28" s="61"/>
      <c r="U28" s="62">
        <f t="shared" si="6"/>
        <v>0</v>
      </c>
      <c r="V28" s="15"/>
    </row>
    <row r="29" spans="1:27" x14ac:dyDescent="0.25">
      <c r="A29" s="63" t="s">
        <v>43</v>
      </c>
      <c r="B29" s="15"/>
      <c r="C29" s="347">
        <f>SUM(C24:C28)</f>
        <v>170232.76</v>
      </c>
      <c r="D29" s="57">
        <f t="shared" si="7"/>
        <v>14186.063333333334</v>
      </c>
      <c r="E29" s="348">
        <f t="shared" ref="E29:Q29" si="10">SUM(E24:E28)</f>
        <v>23091</v>
      </c>
      <c r="F29" s="348">
        <f t="shared" si="10"/>
        <v>23091</v>
      </c>
      <c r="G29" s="348">
        <f t="shared" si="10"/>
        <v>23091</v>
      </c>
      <c r="H29" s="348">
        <f t="shared" si="10"/>
        <v>23091</v>
      </c>
      <c r="I29" s="348">
        <f t="shared" si="10"/>
        <v>23091</v>
      </c>
      <c r="J29" s="348">
        <f t="shared" si="10"/>
        <v>23091</v>
      </c>
      <c r="K29" s="348">
        <f t="shared" si="10"/>
        <v>23091</v>
      </c>
      <c r="L29" s="348">
        <f t="shared" si="10"/>
        <v>23091</v>
      </c>
      <c r="M29" s="348">
        <f t="shared" si="10"/>
        <v>23091</v>
      </c>
      <c r="N29" s="348">
        <f t="shared" si="10"/>
        <v>23091</v>
      </c>
      <c r="O29" s="348">
        <f t="shared" si="10"/>
        <v>23091</v>
      </c>
      <c r="P29" s="348">
        <f t="shared" si="10"/>
        <v>23091</v>
      </c>
      <c r="Q29" s="348">
        <f t="shared" si="10"/>
        <v>277092</v>
      </c>
      <c r="R29" s="349">
        <f>AVERAGE(E29:P29)</f>
        <v>23091</v>
      </c>
      <c r="T29" s="68"/>
      <c r="U29" s="69">
        <f t="shared" si="6"/>
        <v>0.62772429936517493</v>
      </c>
    </row>
    <row r="30" spans="1:27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7" x14ac:dyDescent="0.25">
      <c r="A31" s="63"/>
      <c r="B31" s="15" t="s">
        <v>45</v>
      </c>
      <c r="C31" s="56">
        <v>-108773.94</v>
      </c>
      <c r="D31" s="57">
        <f>C31/12</f>
        <v>-9064.4950000000008</v>
      </c>
      <c r="E31" s="58">
        <f t="shared" ref="E31:P31" si="11">-E26*0.7</f>
        <v>-16163.699999999999</v>
      </c>
      <c r="F31" s="58">
        <f t="shared" si="11"/>
        <v>-16163.699999999999</v>
      </c>
      <c r="G31" s="58">
        <f t="shared" si="11"/>
        <v>-16163.699999999999</v>
      </c>
      <c r="H31" s="58">
        <f t="shared" si="11"/>
        <v>-16163.699999999999</v>
      </c>
      <c r="I31" s="58">
        <f t="shared" si="11"/>
        <v>-16163.699999999999</v>
      </c>
      <c r="J31" s="58">
        <f t="shared" si="11"/>
        <v>-16163.699999999999</v>
      </c>
      <c r="K31" s="58">
        <f t="shared" si="11"/>
        <v>-16163.699999999999</v>
      </c>
      <c r="L31" s="58">
        <f t="shared" si="11"/>
        <v>-16163.699999999999</v>
      </c>
      <c r="M31" s="58">
        <f t="shared" si="11"/>
        <v>-16163.699999999999</v>
      </c>
      <c r="N31" s="58">
        <f t="shared" si="11"/>
        <v>-16163.699999999999</v>
      </c>
      <c r="O31" s="58">
        <f t="shared" si="11"/>
        <v>-16163.699999999999</v>
      </c>
      <c r="P31" s="58">
        <f t="shared" si="11"/>
        <v>-16163.699999999999</v>
      </c>
      <c r="Q31" s="59">
        <f>SUM(E31:P31)</f>
        <v>-193964.40000000002</v>
      </c>
      <c r="R31" s="60">
        <f>AVERAGE(E31:P31)</f>
        <v>-16163.700000000003</v>
      </c>
      <c r="S31" s="15"/>
      <c r="T31" s="61"/>
      <c r="U31" s="62">
        <f t="shared" si="6"/>
        <v>0.78318814230687994</v>
      </c>
    </row>
    <row r="32" spans="1:27" x14ac:dyDescent="0.25">
      <c r="A32" s="63" t="s">
        <v>46</v>
      </c>
      <c r="B32" s="15"/>
      <c r="C32" s="347">
        <f t="shared" ref="C32:D32" si="12">SUM(C31)</f>
        <v>-108773.94</v>
      </c>
      <c r="D32" s="350">
        <f t="shared" si="12"/>
        <v>-9064.4950000000008</v>
      </c>
      <c r="E32" s="348">
        <f>SUM(E31)</f>
        <v>-16163.699999999999</v>
      </c>
      <c r="F32" s="348">
        <f>SUM(F31)</f>
        <v>-16163.699999999999</v>
      </c>
      <c r="G32" s="348">
        <f t="shared" ref="G32:P32" si="13">SUM(G31)</f>
        <v>-16163.699999999999</v>
      </c>
      <c r="H32" s="348">
        <f t="shared" si="13"/>
        <v>-16163.699999999999</v>
      </c>
      <c r="I32" s="348">
        <f t="shared" si="13"/>
        <v>-16163.699999999999</v>
      </c>
      <c r="J32" s="348">
        <f t="shared" si="13"/>
        <v>-16163.699999999999</v>
      </c>
      <c r="K32" s="348">
        <f t="shared" si="13"/>
        <v>-16163.699999999999</v>
      </c>
      <c r="L32" s="348">
        <f t="shared" si="13"/>
        <v>-16163.699999999999</v>
      </c>
      <c r="M32" s="348">
        <f t="shared" si="13"/>
        <v>-16163.699999999999</v>
      </c>
      <c r="N32" s="348">
        <f t="shared" si="13"/>
        <v>-16163.699999999999</v>
      </c>
      <c r="O32" s="348">
        <f t="shared" si="13"/>
        <v>-16163.699999999999</v>
      </c>
      <c r="P32" s="348">
        <f t="shared" si="13"/>
        <v>-16163.699999999999</v>
      </c>
      <c r="Q32" s="348">
        <f>SUM(Q31)</f>
        <v>-193964.40000000002</v>
      </c>
      <c r="R32" s="349">
        <f>AVERAGE(E32:P32)</f>
        <v>-16163.700000000003</v>
      </c>
      <c r="T32" s="68"/>
      <c r="U32" s="69">
        <f t="shared" si="6"/>
        <v>0.78318814230687994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4">C29+C32</f>
        <v>61458.820000000007</v>
      </c>
      <c r="D33" s="352">
        <f t="shared" si="14"/>
        <v>5121.5683333333327</v>
      </c>
      <c r="E33" s="353">
        <f>E29+E32</f>
        <v>6927.3000000000011</v>
      </c>
      <c r="F33" s="353">
        <f>F29+F32</f>
        <v>6927.3000000000011</v>
      </c>
      <c r="G33" s="353">
        <f t="shared" ref="G33:Q33" si="15">G29+G32</f>
        <v>6927.3000000000011</v>
      </c>
      <c r="H33" s="353">
        <f t="shared" si="15"/>
        <v>6927.3000000000011</v>
      </c>
      <c r="I33" s="353">
        <f t="shared" si="15"/>
        <v>6927.3000000000011</v>
      </c>
      <c r="J33" s="353">
        <f t="shared" si="15"/>
        <v>6927.3000000000011</v>
      </c>
      <c r="K33" s="353">
        <f t="shared" si="15"/>
        <v>6927.3000000000011</v>
      </c>
      <c r="L33" s="353">
        <f t="shared" si="15"/>
        <v>6927.3000000000011</v>
      </c>
      <c r="M33" s="353">
        <f t="shared" si="15"/>
        <v>6927.3000000000011</v>
      </c>
      <c r="N33" s="353">
        <f t="shared" si="15"/>
        <v>6927.3000000000011</v>
      </c>
      <c r="O33" s="353">
        <f t="shared" si="15"/>
        <v>6927.3000000000011</v>
      </c>
      <c r="P33" s="353">
        <f t="shared" si="15"/>
        <v>6927.3000000000011</v>
      </c>
      <c r="Q33" s="353">
        <f t="shared" si="15"/>
        <v>83127.599999999977</v>
      </c>
      <c r="R33" s="354">
        <f>AVERAGE(E33:P33)</f>
        <v>6927.300000000002</v>
      </c>
      <c r="T33" s="75"/>
      <c r="U33" s="76">
        <f t="shared" si="6"/>
        <v>0.35257396741427782</v>
      </c>
    </row>
    <row r="34" spans="1:21" x14ac:dyDescent="0.25">
      <c r="A34" s="78" t="s">
        <v>49</v>
      </c>
      <c r="B34" t="s">
        <v>48</v>
      </c>
      <c r="C34" s="355">
        <f t="shared" ref="C34:D34" si="16">C33</f>
        <v>61458.820000000007</v>
      </c>
      <c r="D34" s="356">
        <f t="shared" si="16"/>
        <v>5121.5683333333327</v>
      </c>
      <c r="E34" s="357">
        <f>E33</f>
        <v>6927.3000000000011</v>
      </c>
      <c r="F34" s="357">
        <f t="shared" ref="F34:Q34" si="17">F33</f>
        <v>6927.3000000000011</v>
      </c>
      <c r="G34" s="357">
        <f t="shared" si="17"/>
        <v>6927.3000000000011</v>
      </c>
      <c r="H34" s="357">
        <f t="shared" si="17"/>
        <v>6927.3000000000011</v>
      </c>
      <c r="I34" s="357">
        <f t="shared" si="17"/>
        <v>6927.3000000000011</v>
      </c>
      <c r="J34" s="357">
        <f t="shared" si="17"/>
        <v>6927.3000000000011</v>
      </c>
      <c r="K34" s="357">
        <f t="shared" si="17"/>
        <v>6927.3000000000011</v>
      </c>
      <c r="L34" s="357">
        <f t="shared" si="17"/>
        <v>6927.3000000000011</v>
      </c>
      <c r="M34" s="357">
        <f t="shared" si="17"/>
        <v>6927.3000000000011</v>
      </c>
      <c r="N34" s="357">
        <f t="shared" si="17"/>
        <v>6927.3000000000011</v>
      </c>
      <c r="O34" s="357">
        <f t="shared" si="17"/>
        <v>6927.3000000000011</v>
      </c>
      <c r="P34" s="357">
        <f t="shared" si="17"/>
        <v>6927.3000000000011</v>
      </c>
      <c r="Q34" s="357">
        <f t="shared" si="17"/>
        <v>83127.599999999977</v>
      </c>
      <c r="R34" s="358">
        <f t="shared" si="1"/>
        <v>6927.300000000002</v>
      </c>
      <c r="T34" s="30"/>
      <c r="U34" s="31">
        <f t="shared" si="6"/>
        <v>0.35257396741427782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>AVERAGE(E37:P37)</f>
        <v>#DIV/0!</v>
      </c>
      <c r="S37" s="15"/>
      <c r="T37" s="62">
        <f>Q37/$Q$34</f>
        <v>0</v>
      </c>
      <c r="U37" s="62">
        <f t="shared" si="6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8">SUM(E38:P38)</f>
        <v>0</v>
      </c>
      <c r="R38" s="89" t="e">
        <f t="shared" si="1"/>
        <v>#DIV/0!</v>
      </c>
      <c r="S38" s="15"/>
      <c r="T38" s="62">
        <f t="shared" ref="T38:T102" si="19">Q38/$Q$34</f>
        <v>0</v>
      </c>
      <c r="U38" s="62">
        <f t="shared" si="6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8"/>
        <v>0</v>
      </c>
      <c r="R39" s="89" t="e">
        <f t="shared" si="1"/>
        <v>#DIV/0!</v>
      </c>
      <c r="S39" s="15"/>
      <c r="T39" s="62">
        <f t="shared" si="19"/>
        <v>0</v>
      </c>
      <c r="U39" s="62">
        <f t="shared" si="6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8"/>
        <v>0</v>
      </c>
      <c r="R40" s="89" t="e">
        <f t="shared" si="1"/>
        <v>#DIV/0!</v>
      </c>
      <c r="S40" s="15"/>
      <c r="T40" s="62">
        <f t="shared" si="19"/>
        <v>0</v>
      </c>
      <c r="U40" s="62">
        <f t="shared" si="6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8"/>
        <v>0</v>
      </c>
      <c r="R41" s="89" t="e">
        <f t="shared" si="1"/>
        <v>#DIV/0!</v>
      </c>
      <c r="S41" s="15"/>
      <c r="T41" s="62">
        <f t="shared" si="19"/>
        <v>0</v>
      </c>
      <c r="U41" s="62">
        <f t="shared" si="6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8"/>
        <v>0</v>
      </c>
      <c r="R42" s="89" t="e">
        <f t="shared" si="1"/>
        <v>#DIV/0!</v>
      </c>
      <c r="S42" s="15"/>
      <c r="T42" s="62">
        <f t="shared" si="19"/>
        <v>0</v>
      </c>
      <c r="U42" s="62">
        <f t="shared" si="6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8"/>
        <v>0</v>
      </c>
      <c r="R43" s="89" t="e">
        <f t="shared" si="1"/>
        <v>#DIV/0!</v>
      </c>
      <c r="S43" s="15"/>
      <c r="T43" s="62">
        <f t="shared" si="19"/>
        <v>0</v>
      </c>
      <c r="U43" s="62">
        <f t="shared" si="6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8"/>
        <v>0</v>
      </c>
      <c r="R44" s="89" t="e">
        <f t="shared" si="1"/>
        <v>#DIV/0!</v>
      </c>
      <c r="S44" s="15"/>
      <c r="T44" s="62">
        <f t="shared" si="19"/>
        <v>0</v>
      </c>
      <c r="U44" s="62">
        <f t="shared" si="6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8"/>
        <v>0</v>
      </c>
      <c r="R45" s="89" t="e">
        <f t="shared" si="1"/>
        <v>#DIV/0!</v>
      </c>
      <c r="S45" s="15"/>
      <c r="T45" s="62">
        <f t="shared" si="19"/>
        <v>0</v>
      </c>
      <c r="U45" s="62">
        <f t="shared" si="6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8"/>
        <v>0</v>
      </c>
      <c r="R46" s="89" t="e">
        <f t="shared" si="1"/>
        <v>#DIV/0!</v>
      </c>
      <c r="S46" s="15"/>
      <c r="T46" s="62">
        <f t="shared" si="19"/>
        <v>0</v>
      </c>
      <c r="U46" s="62">
        <f t="shared" si="6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8"/>
        <v>0</v>
      </c>
      <c r="R47" s="89" t="e">
        <f t="shared" si="1"/>
        <v>#DIV/0!</v>
      </c>
      <c r="S47" s="15"/>
      <c r="T47" s="62">
        <f t="shared" si="19"/>
        <v>0</v>
      </c>
      <c r="U47" s="62">
        <f t="shared" si="6"/>
        <v>0</v>
      </c>
    </row>
    <row r="48" spans="1:21" x14ac:dyDescent="0.25">
      <c r="A48" s="63" t="s">
        <v>63</v>
      </c>
      <c r="B48" t="s">
        <v>48</v>
      </c>
      <c r="C48" s="91">
        <f t="shared" ref="C48:Q48" si="20">SUM(C37:C47)</f>
        <v>0</v>
      </c>
      <c r="D48" s="92">
        <f t="shared" si="20"/>
        <v>0</v>
      </c>
      <c r="E48" s="93">
        <f t="shared" si="20"/>
        <v>0</v>
      </c>
      <c r="F48" s="93">
        <f t="shared" si="20"/>
        <v>0</v>
      </c>
      <c r="G48" s="93">
        <f t="shared" si="20"/>
        <v>0</v>
      </c>
      <c r="H48" s="93">
        <f t="shared" si="20"/>
        <v>0</v>
      </c>
      <c r="I48" s="93">
        <f t="shared" si="20"/>
        <v>0</v>
      </c>
      <c r="J48" s="93">
        <f t="shared" si="20"/>
        <v>0</v>
      </c>
      <c r="K48" s="93">
        <f t="shared" si="20"/>
        <v>0</v>
      </c>
      <c r="L48" s="93">
        <f t="shared" si="20"/>
        <v>0</v>
      </c>
      <c r="M48" s="93">
        <f t="shared" si="20"/>
        <v>0</v>
      </c>
      <c r="N48" s="93">
        <f t="shared" si="20"/>
        <v>0</v>
      </c>
      <c r="O48" s="93">
        <f t="shared" si="20"/>
        <v>0</v>
      </c>
      <c r="P48" s="93">
        <f t="shared" si="20"/>
        <v>0</v>
      </c>
      <c r="Q48" s="93">
        <f t="shared" si="20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1">SUM(E50:P50)</f>
        <v>0</v>
      </c>
      <c r="R50" s="89" t="e">
        <f t="shared" si="1"/>
        <v>#DIV/0!</v>
      </c>
      <c r="S50" s="15"/>
      <c r="T50" s="62">
        <f t="shared" si="19"/>
        <v>0</v>
      </c>
      <c r="U50" s="62">
        <f t="shared" si="6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1"/>
        <v>0</v>
      </c>
      <c r="R51" s="89" t="e">
        <f t="shared" si="1"/>
        <v>#DIV/0!</v>
      </c>
      <c r="S51" s="15"/>
      <c r="T51" s="62">
        <f t="shared" si="19"/>
        <v>0</v>
      </c>
      <c r="U51" s="62">
        <f t="shared" si="6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1"/>
        <v>0</v>
      </c>
      <c r="R52" s="89" t="e">
        <f t="shared" si="1"/>
        <v>#DIV/0!</v>
      </c>
      <c r="S52" s="15"/>
      <c r="T52" s="62">
        <f t="shared" si="19"/>
        <v>0</v>
      </c>
      <c r="U52" s="62">
        <f t="shared" si="6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1"/>
        <v>0</v>
      </c>
      <c r="R53" s="89" t="e">
        <f t="shared" si="1"/>
        <v>#DIV/0!</v>
      </c>
      <c r="S53" s="15"/>
      <c r="T53" s="62">
        <f t="shared" si="19"/>
        <v>0</v>
      </c>
      <c r="U53" s="62">
        <f t="shared" si="6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1"/>
        <v>0</v>
      </c>
      <c r="R54" s="89" t="e">
        <f t="shared" si="1"/>
        <v>#DIV/0!</v>
      </c>
      <c r="S54" s="15"/>
      <c r="T54" s="62">
        <f t="shared" si="19"/>
        <v>0</v>
      </c>
      <c r="U54" s="62">
        <f t="shared" si="6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1"/>
        <v>0</v>
      </c>
      <c r="R55" s="89" t="e">
        <f t="shared" si="1"/>
        <v>#DIV/0!</v>
      </c>
      <c r="S55" s="15"/>
      <c r="T55" s="62">
        <f t="shared" si="19"/>
        <v>0</v>
      </c>
      <c r="U55" s="62">
        <f t="shared" si="6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ref="Q56:Q57" si="22">SUM(E56:P56)</f>
        <v>0</v>
      </c>
      <c r="R56" s="89" t="e">
        <f t="shared" si="1"/>
        <v>#DIV/0!</v>
      </c>
      <c r="S56" s="15"/>
      <c r="T56" s="62">
        <f t="shared" si="19"/>
        <v>0</v>
      </c>
      <c r="U56" s="62">
        <f t="shared" si="6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2"/>
        <v>0</v>
      </c>
      <c r="R57" s="89" t="e">
        <f t="shared" si="1"/>
        <v>#DIV/0!</v>
      </c>
      <c r="S57" s="15"/>
      <c r="T57" s="62">
        <f t="shared" si="19"/>
        <v>0</v>
      </c>
      <c r="U57" s="62">
        <f t="shared" si="6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1"/>
        <v>0</v>
      </c>
      <c r="R58" s="89" t="e">
        <f t="shared" si="1"/>
        <v>#DIV/0!</v>
      </c>
      <c r="S58" s="15"/>
      <c r="T58" s="62">
        <f t="shared" si="19"/>
        <v>0</v>
      </c>
      <c r="U58" s="62">
        <f t="shared" si="6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1"/>
        <v>0</v>
      </c>
      <c r="R59" s="89" t="e">
        <f t="shared" si="1"/>
        <v>#DIV/0!</v>
      </c>
      <c r="S59" s="15"/>
      <c r="T59" s="62">
        <f t="shared" si="19"/>
        <v>0</v>
      </c>
      <c r="U59" s="62">
        <f t="shared" si="6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1"/>
        <v>0</v>
      </c>
      <c r="R60" s="89" t="e">
        <f t="shared" si="1"/>
        <v>#DIV/0!</v>
      </c>
      <c r="S60" s="15"/>
      <c r="T60" s="62">
        <f t="shared" si="19"/>
        <v>0</v>
      </c>
      <c r="U60" s="62">
        <f t="shared" si="6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1"/>
        <v>0</v>
      </c>
      <c r="R61" s="89" t="e">
        <f t="shared" si="1"/>
        <v>#DIV/0!</v>
      </c>
      <c r="S61" s="15"/>
      <c r="T61" s="62">
        <f t="shared" si="19"/>
        <v>0</v>
      </c>
      <c r="U61" s="62">
        <f t="shared" si="6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19"/>
        <v>0</v>
      </c>
      <c r="U64" s="62">
        <f t="shared" si="6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19"/>
        <v>0</v>
      </c>
      <c r="U65" s="62">
        <f t="shared" si="6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19"/>
        <v>0</v>
      </c>
      <c r="U66" s="62">
        <f t="shared" si="6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5">SUM(E67:P67)</f>
        <v>0</v>
      </c>
      <c r="R67" s="89" t="e">
        <f t="shared" si="1"/>
        <v>#DIV/0!</v>
      </c>
      <c r="S67" s="15"/>
      <c r="T67" s="62">
        <f t="shared" si="19"/>
        <v>0</v>
      </c>
      <c r="U67" s="62">
        <f t="shared" si="6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5"/>
        <v>0</v>
      </c>
      <c r="R68" s="89" t="e">
        <f t="shared" si="1"/>
        <v>#DIV/0!</v>
      </c>
      <c r="S68" s="15"/>
      <c r="T68" s="62">
        <f t="shared" si="19"/>
        <v>0</v>
      </c>
      <c r="U68" s="62">
        <f t="shared" si="6"/>
        <v>0</v>
      </c>
    </row>
    <row r="69" spans="1:21" ht="23.25" x14ac:dyDescent="0.25">
      <c r="A69" s="25"/>
      <c r="B69" s="15" t="s">
        <v>84</v>
      </c>
      <c r="C69" s="56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5"/>
        <v>0</v>
      </c>
      <c r="R69" s="89" t="e">
        <f t="shared" si="1"/>
        <v>#DIV/0!</v>
      </c>
      <c r="S69" s="15"/>
      <c r="T69" s="62">
        <f t="shared" si="19"/>
        <v>0</v>
      </c>
      <c r="U69" s="62">
        <f t="shared" si="6"/>
        <v>0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5"/>
        <v>0</v>
      </c>
      <c r="R70" s="89" t="e">
        <f t="shared" si="1"/>
        <v>#DIV/0!</v>
      </c>
      <c r="S70" s="15"/>
      <c r="T70" s="62">
        <f t="shared" si="19"/>
        <v>0</v>
      </c>
      <c r="U70" s="62">
        <f t="shared" si="6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5"/>
        <v>0</v>
      </c>
      <c r="R71" s="89" t="e">
        <f t="shared" si="1"/>
        <v>#DIV/0!</v>
      </c>
      <c r="S71" s="15"/>
      <c r="T71" s="62">
        <f t="shared" si="19"/>
        <v>0</v>
      </c>
      <c r="U71" s="62">
        <f t="shared" si="6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5"/>
        <v>0</v>
      </c>
      <c r="R72" s="89" t="e">
        <f t="shared" si="1"/>
        <v>#DIV/0!</v>
      </c>
      <c r="S72" s="15"/>
      <c r="T72" s="62">
        <f t="shared" si="19"/>
        <v>0</v>
      </c>
      <c r="U72" s="62">
        <f t="shared" si="6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6">SUM(C64:C72)</f>
        <v>0</v>
      </c>
      <c r="D73" s="92">
        <f t="shared" si="26"/>
        <v>0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19"/>
        <v>0</v>
      </c>
      <c r="U73" s="96">
        <f t="shared" si="6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19"/>
        <v>0</v>
      </c>
      <c r="U75" s="62">
        <f t="shared" si="6"/>
        <v>0</v>
      </c>
    </row>
    <row r="76" spans="1:21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/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19"/>
        <v>0</v>
      </c>
      <c r="U78" s="62">
        <f t="shared" si="6"/>
        <v>0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 t="shared" si="1"/>
        <v>#DIV/0!</v>
      </c>
      <c r="S79" s="15"/>
      <c r="T79" s="62">
        <f t="shared" si="19"/>
        <v>0</v>
      </c>
      <c r="U79" s="62">
        <f t="shared" si="6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19"/>
        <v>0</v>
      </c>
      <c r="U80" s="62">
        <f t="shared" si="6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19"/>
        <v>0</v>
      </c>
      <c r="U81" s="62">
        <f t="shared" si="6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29">SUM(C78:C81)</f>
        <v>0</v>
      </c>
      <c r="D82" s="92">
        <f t="shared" si="29"/>
        <v>0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19"/>
        <v>0</v>
      </c>
      <c r="U82" s="96">
        <f t="shared" si="6"/>
        <v>0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/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1">SUM(E84:P84)</f>
        <v>0</v>
      </c>
      <c r="R84" s="89" t="e">
        <f t="shared" si="1"/>
        <v>#DIV/0!</v>
      </c>
      <c r="S84" s="15"/>
      <c r="T84" s="62">
        <f t="shared" si="19"/>
        <v>0</v>
      </c>
      <c r="U84" s="62">
        <f t="shared" si="6"/>
        <v>0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1"/>
        <v>0</v>
      </c>
      <c r="R85" s="89" t="e">
        <f t="shared" si="1"/>
        <v>#DIV/0!</v>
      </c>
      <c r="S85" s="15"/>
      <c r="T85" s="62">
        <f t="shared" si="19"/>
        <v>0</v>
      </c>
      <c r="U85" s="62">
        <f t="shared" si="6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1"/>
        <v>0</v>
      </c>
      <c r="R86" s="89" t="e">
        <f t="shared" si="1"/>
        <v>#DIV/0!</v>
      </c>
      <c r="S86" s="15"/>
      <c r="T86" s="62">
        <f t="shared" si="19"/>
        <v>0</v>
      </c>
      <c r="U86" s="62">
        <f t="shared" si="6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1"/>
        <v>0</v>
      </c>
      <c r="R87" s="89" t="e">
        <f t="shared" si="1"/>
        <v>#DIV/0!</v>
      </c>
      <c r="S87" s="15"/>
      <c r="T87" s="62">
        <f t="shared" si="19"/>
        <v>0</v>
      </c>
      <c r="U87" s="62">
        <f t="shared" si="6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1"/>
        <v>0</v>
      </c>
      <c r="R88" s="89" t="e">
        <f t="shared" ref="R88:R130" si="32">AVERAGE(E88:P88)</f>
        <v>#DIV/0!</v>
      </c>
      <c r="S88" s="15"/>
      <c r="T88" s="62">
        <f t="shared" si="19"/>
        <v>0</v>
      </c>
      <c r="U88" s="62">
        <f t="shared" si="6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1"/>
        <v>0</v>
      </c>
      <c r="R89" s="89" t="e">
        <f t="shared" si="32"/>
        <v>#DIV/0!</v>
      </c>
      <c r="S89" s="15"/>
      <c r="T89" s="62">
        <f t="shared" si="19"/>
        <v>0</v>
      </c>
      <c r="U89" s="62">
        <f t="shared" ref="U89:U137" si="33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Q90" si="34">SUM(C84:C89)</f>
        <v>0</v>
      </c>
      <c r="D90" s="92">
        <f t="shared" si="34"/>
        <v>0</v>
      </c>
      <c r="E90" s="93">
        <f t="shared" si="34"/>
        <v>0</v>
      </c>
      <c r="F90" s="93">
        <f t="shared" si="34"/>
        <v>0</v>
      </c>
      <c r="G90" s="93">
        <f t="shared" si="34"/>
        <v>0</v>
      </c>
      <c r="H90" s="93">
        <f t="shared" si="34"/>
        <v>0</v>
      </c>
      <c r="I90" s="93">
        <f t="shared" si="34"/>
        <v>0</v>
      </c>
      <c r="J90" s="93">
        <f t="shared" si="34"/>
        <v>0</v>
      </c>
      <c r="K90" s="93">
        <f t="shared" si="34"/>
        <v>0</v>
      </c>
      <c r="L90" s="93">
        <f t="shared" si="34"/>
        <v>0</v>
      </c>
      <c r="M90" s="93">
        <f t="shared" si="34"/>
        <v>0</v>
      </c>
      <c r="N90" s="93">
        <f t="shared" si="34"/>
        <v>0</v>
      </c>
      <c r="O90" s="93">
        <f t="shared" si="34"/>
        <v>0</v>
      </c>
      <c r="P90" s="93">
        <f t="shared" si="34"/>
        <v>0</v>
      </c>
      <c r="Q90" s="93">
        <f t="shared" si="34"/>
        <v>0</v>
      </c>
      <c r="R90" s="94">
        <f>AVERAGE(E90:P90)</f>
        <v>0</v>
      </c>
      <c r="T90" s="96">
        <f t="shared" si="19"/>
        <v>0</v>
      </c>
      <c r="U90" s="96">
        <f t="shared" si="33"/>
        <v>0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19"/>
        <v>0</v>
      </c>
      <c r="U92" s="62">
        <f t="shared" si="33"/>
        <v>0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2"/>
        <v>#DIV/0!</v>
      </c>
      <c r="S93" s="15"/>
      <c r="T93" s="62">
        <f t="shared" si="19"/>
        <v>0</v>
      </c>
      <c r="U93" s="62">
        <f t="shared" si="33"/>
        <v>0</v>
      </c>
    </row>
    <row r="94" spans="1:21" x14ac:dyDescent="0.25">
      <c r="A94" s="25"/>
      <c r="B94" s="15" t="s">
        <v>109</v>
      </c>
      <c r="C94" s="56"/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2"/>
        <v>#DIV/0!</v>
      </c>
      <c r="S94" s="15"/>
      <c r="T94" s="62">
        <f t="shared" si="19"/>
        <v>0</v>
      </c>
      <c r="U94" s="62">
        <f t="shared" si="33"/>
        <v>0</v>
      </c>
    </row>
    <row r="95" spans="1:21" x14ac:dyDescent="0.25">
      <c r="A95" s="63" t="s">
        <v>110</v>
      </c>
      <c r="B95" s="15"/>
      <c r="C95" s="91">
        <f t="shared" ref="C95:Q95" si="35">SUM(C92:C94)</f>
        <v>0</v>
      </c>
      <c r="D95" s="92">
        <f t="shared" si="35"/>
        <v>0</v>
      </c>
      <c r="E95" s="93">
        <f t="shared" si="35"/>
        <v>0</v>
      </c>
      <c r="F95" s="93">
        <f t="shared" si="35"/>
        <v>0</v>
      </c>
      <c r="G95" s="93">
        <f t="shared" si="35"/>
        <v>0</v>
      </c>
      <c r="H95" s="93">
        <f t="shared" si="35"/>
        <v>0</v>
      </c>
      <c r="I95" s="93">
        <f t="shared" si="35"/>
        <v>0</v>
      </c>
      <c r="J95" s="93">
        <f t="shared" si="35"/>
        <v>0</v>
      </c>
      <c r="K95" s="93">
        <f t="shared" si="35"/>
        <v>0</v>
      </c>
      <c r="L95" s="93">
        <f t="shared" si="35"/>
        <v>0</v>
      </c>
      <c r="M95" s="93">
        <f t="shared" si="35"/>
        <v>0</v>
      </c>
      <c r="N95" s="93">
        <f t="shared" si="35"/>
        <v>0</v>
      </c>
      <c r="O95" s="93">
        <f t="shared" si="35"/>
        <v>0</v>
      </c>
      <c r="P95" s="93">
        <f t="shared" si="35"/>
        <v>0</v>
      </c>
      <c r="Q95" s="93">
        <f t="shared" si="35"/>
        <v>0</v>
      </c>
      <c r="R95" s="94">
        <f t="shared" si="32"/>
        <v>0</v>
      </c>
      <c r="T95" s="96">
        <f t="shared" si="19"/>
        <v>0</v>
      </c>
      <c r="U95" s="96">
        <f t="shared" si="33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20" si="36">SUM(E97:P97)</f>
        <v>0</v>
      </c>
      <c r="R97" s="89" t="e">
        <f t="shared" si="32"/>
        <v>#DIV/0!</v>
      </c>
      <c r="S97" s="15"/>
      <c r="T97" s="62">
        <f t="shared" si="19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6"/>
        <v>0</v>
      </c>
      <c r="R98" s="89" t="e">
        <f t="shared" si="32"/>
        <v>#DIV/0!</v>
      </c>
      <c r="S98" s="15"/>
      <c r="T98" s="62">
        <f t="shared" si="19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6"/>
        <v>0</v>
      </c>
      <c r="R99" s="89" t="e">
        <f t="shared" si="32"/>
        <v>#DIV/0!</v>
      </c>
      <c r="S99" s="15"/>
      <c r="T99" s="62">
        <f t="shared" si="19"/>
        <v>0</v>
      </c>
      <c r="U99" s="62">
        <f t="shared" si="33"/>
        <v>0</v>
      </c>
    </row>
    <row r="100" spans="1:21" x14ac:dyDescent="0.25">
      <c r="A100" s="25"/>
      <c r="B100" s="15" t="s">
        <v>115</v>
      </c>
      <c r="C100" s="56"/>
      <c r="D100" s="57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36"/>
        <v>0</v>
      </c>
      <c r="R100" s="89" t="e">
        <f t="shared" si="32"/>
        <v>#DIV/0!</v>
      </c>
      <c r="S100" s="15"/>
      <c r="T100" s="62">
        <f t="shared" si="19"/>
        <v>0</v>
      </c>
      <c r="U100" s="62">
        <f t="shared" si="33"/>
        <v>0</v>
      </c>
    </row>
    <row r="101" spans="1:21" x14ac:dyDescent="0.25">
      <c r="A101" s="25"/>
      <c r="B101" s="15" t="s">
        <v>116</v>
      </c>
      <c r="C101" s="56">
        <f>200/10*12</f>
        <v>240</v>
      </c>
      <c r="D101" s="57">
        <f>C101/12</f>
        <v>20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6"/>
        <v>0</v>
      </c>
      <c r="R101" s="89" t="e">
        <f t="shared" si="32"/>
        <v>#DIV/0!</v>
      </c>
      <c r="S101" s="15"/>
      <c r="T101" s="62">
        <f t="shared" si="19"/>
        <v>0</v>
      </c>
      <c r="U101" s="62">
        <f t="shared" si="33"/>
        <v>-1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6"/>
        <v>0</v>
      </c>
      <c r="R102" s="89" t="e">
        <f t="shared" si="32"/>
        <v>#DIV/0!</v>
      </c>
      <c r="S102" s="15"/>
      <c r="T102" s="62">
        <f t="shared" si="19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/>
      <c r="D103" s="57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6"/>
        <v>0</v>
      </c>
      <c r="R103" s="89" t="e">
        <f t="shared" si="32"/>
        <v>#DIV/0!</v>
      </c>
      <c r="S103" s="15"/>
      <c r="T103" s="62">
        <f t="shared" ref="T103:T135" si="37">Q103/$Q$34</f>
        <v>0</v>
      </c>
      <c r="U103" s="62">
        <f t="shared" si="33"/>
        <v>0</v>
      </c>
    </row>
    <row r="104" spans="1:21" x14ac:dyDescent="0.25">
      <c r="A104" s="25"/>
      <c r="B104" s="15" t="s">
        <v>119</v>
      </c>
      <c r="C104" s="56">
        <v>1881.36</v>
      </c>
      <c r="D104" s="57">
        <f>C104/7</f>
        <v>268.7657142857143</v>
      </c>
      <c r="E104" s="58">
        <f>(50*(E7+E8))+(25*(E9+E10))+(10*(E11+E12))+(15*E13)</f>
        <v>185</v>
      </c>
      <c r="F104" s="58">
        <f t="shared" ref="F104:P104" si="38">(50*(F7+F8))+(25*(F9+F10))+(10*(F11+F12))+(15*F13)</f>
        <v>185</v>
      </c>
      <c r="G104" s="58">
        <f t="shared" si="38"/>
        <v>185</v>
      </c>
      <c r="H104" s="58">
        <f t="shared" si="38"/>
        <v>185</v>
      </c>
      <c r="I104" s="58">
        <f t="shared" si="38"/>
        <v>185</v>
      </c>
      <c r="J104" s="58">
        <f t="shared" si="38"/>
        <v>185</v>
      </c>
      <c r="K104" s="58">
        <f t="shared" si="38"/>
        <v>195</v>
      </c>
      <c r="L104" s="58">
        <f>(50*(L7+L8))+(25*(L9+L10))+(10*(L11+L12))+(15*L13)</f>
        <v>195</v>
      </c>
      <c r="M104" s="58">
        <f t="shared" si="38"/>
        <v>195</v>
      </c>
      <c r="N104" s="58">
        <f t="shared" si="38"/>
        <v>195</v>
      </c>
      <c r="O104" s="58">
        <f t="shared" si="38"/>
        <v>195</v>
      </c>
      <c r="P104" s="58">
        <f t="shared" si="38"/>
        <v>195</v>
      </c>
      <c r="Q104" s="58">
        <f t="shared" si="36"/>
        <v>2280</v>
      </c>
      <c r="R104" s="89">
        <f t="shared" si="32"/>
        <v>190</v>
      </c>
      <c r="S104" s="15"/>
      <c r="T104" s="62">
        <f t="shared" si="37"/>
        <v>2.742771353918555E-2</v>
      </c>
      <c r="U104" s="62">
        <f t="shared" si="33"/>
        <v>0.21188927159076421</v>
      </c>
    </row>
    <row r="105" spans="1:21" x14ac:dyDescent="0.25">
      <c r="A105" s="25"/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6"/>
        <v>0</v>
      </c>
      <c r="R105" s="89" t="e">
        <f t="shared" si="32"/>
        <v>#DIV/0!</v>
      </c>
      <c r="S105" s="15"/>
      <c r="T105" s="62">
        <f t="shared" si="37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36"/>
        <v>0</v>
      </c>
      <c r="R106" s="89" t="e">
        <f t="shared" si="32"/>
        <v>#DIV/0!</v>
      </c>
      <c r="S106" s="15"/>
      <c r="T106" s="62">
        <f t="shared" si="37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36"/>
        <v>0</v>
      </c>
      <c r="R107" s="89" t="e">
        <f t="shared" si="32"/>
        <v>#DIV/0!</v>
      </c>
      <c r="S107" s="15"/>
      <c r="T107" s="62">
        <f t="shared" si="37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36"/>
        <v>0</v>
      </c>
      <c r="R108" s="89" t="e">
        <f t="shared" si="32"/>
        <v>#DIV/0!</v>
      </c>
      <c r="S108" s="15"/>
      <c r="T108" s="62">
        <f t="shared" si="37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36"/>
        <v>0</v>
      </c>
      <c r="R109" s="89" t="e">
        <f t="shared" si="32"/>
        <v>#DIV/0!</v>
      </c>
      <c r="S109" s="15"/>
      <c r="T109" s="62">
        <f t="shared" si="37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36"/>
        <v>0</v>
      </c>
      <c r="R110" s="89" t="e">
        <f t="shared" si="32"/>
        <v>#DIV/0!</v>
      </c>
      <c r="S110" s="15"/>
      <c r="T110" s="62">
        <f t="shared" si="37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36"/>
        <v>0</v>
      </c>
      <c r="R111" s="89" t="e">
        <f t="shared" si="32"/>
        <v>#DIV/0!</v>
      </c>
      <c r="S111" s="15"/>
      <c r="T111" s="62">
        <f t="shared" si="37"/>
        <v>0</v>
      </c>
      <c r="U111" s="62">
        <f t="shared" si="33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36"/>
        <v>0</v>
      </c>
      <c r="R112" s="89" t="e">
        <f t="shared" si="32"/>
        <v>#DIV/0!</v>
      </c>
      <c r="S112" s="15"/>
      <c r="T112" s="62">
        <f t="shared" si="37"/>
        <v>0</v>
      </c>
      <c r="U112" s="62">
        <f t="shared" si="33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36"/>
        <v>0</v>
      </c>
      <c r="R113" s="89" t="e">
        <f t="shared" si="32"/>
        <v>#DIV/0!</v>
      </c>
      <c r="S113" s="15"/>
      <c r="T113" s="62">
        <f t="shared" si="37"/>
        <v>0</v>
      </c>
      <c r="U113" s="62">
        <f t="shared" si="33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36"/>
        <v>0</v>
      </c>
      <c r="R114" s="89" t="e">
        <f t="shared" si="32"/>
        <v>#DIV/0!</v>
      </c>
      <c r="S114" s="15"/>
      <c r="T114" s="62">
        <f t="shared" si="37"/>
        <v>0</v>
      </c>
      <c r="U114" s="62">
        <f t="shared" si="33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6"/>
        <v>0</v>
      </c>
      <c r="R115" s="89" t="e">
        <f t="shared" si="32"/>
        <v>#DIV/0!</v>
      </c>
      <c r="S115" s="15"/>
      <c r="T115" s="62">
        <f t="shared" si="37"/>
        <v>0</v>
      </c>
      <c r="U115" s="62">
        <f t="shared" si="33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6"/>
        <v>0</v>
      </c>
      <c r="R116" s="89" t="e">
        <f t="shared" si="32"/>
        <v>#DIV/0!</v>
      </c>
      <c r="S116" s="15"/>
      <c r="T116" s="62">
        <f t="shared" si="37"/>
        <v>0</v>
      </c>
      <c r="U116" s="62">
        <f t="shared" si="33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6"/>
        <v>0</v>
      </c>
      <c r="R117" s="89" t="e">
        <f t="shared" si="32"/>
        <v>#DIV/0!</v>
      </c>
      <c r="S117" s="15"/>
      <c r="T117" s="62">
        <f t="shared" si="37"/>
        <v>0</v>
      </c>
      <c r="U117" s="62">
        <f t="shared" si="33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6"/>
        <v>0</v>
      </c>
      <c r="R118" s="89" t="e">
        <f t="shared" si="32"/>
        <v>#DIV/0!</v>
      </c>
      <c r="S118" s="15"/>
      <c r="T118" s="62">
        <f t="shared" si="37"/>
        <v>0</v>
      </c>
      <c r="U118" s="62">
        <f t="shared" si="33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>SUM(E119:P119)</f>
        <v>0</v>
      </c>
      <c r="R119" s="89" t="e">
        <f>AVERAGE(E119:P119)</f>
        <v>#DIV/0!</v>
      </c>
      <c r="S119" s="15"/>
      <c r="T119" s="62">
        <f t="shared" si="37"/>
        <v>0</v>
      </c>
      <c r="U119" s="62">
        <f t="shared" si="33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36"/>
        <v>0</v>
      </c>
      <c r="R120" s="89" t="e">
        <f t="shared" si="32"/>
        <v>#DIV/0!</v>
      </c>
      <c r="S120" s="15"/>
      <c r="T120" s="62">
        <f t="shared" si="37"/>
        <v>0</v>
      </c>
      <c r="U120" s="62">
        <f t="shared" si="33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39">SUM(C97:C120)</f>
        <v>2121.3599999999997</v>
      </c>
      <c r="D121" s="92">
        <f t="shared" si="39"/>
        <v>288.7657142857143</v>
      </c>
      <c r="E121" s="93">
        <f t="shared" si="39"/>
        <v>185</v>
      </c>
      <c r="F121" s="93">
        <f t="shared" si="39"/>
        <v>185</v>
      </c>
      <c r="G121" s="93">
        <f t="shared" si="39"/>
        <v>185</v>
      </c>
      <c r="H121" s="93">
        <f t="shared" si="39"/>
        <v>185</v>
      </c>
      <c r="I121" s="93">
        <f t="shared" si="39"/>
        <v>185</v>
      </c>
      <c r="J121" s="93">
        <f t="shared" si="39"/>
        <v>185</v>
      </c>
      <c r="K121" s="93">
        <f t="shared" si="39"/>
        <v>195</v>
      </c>
      <c r="L121" s="93">
        <f t="shared" si="39"/>
        <v>195</v>
      </c>
      <c r="M121" s="93">
        <f t="shared" si="39"/>
        <v>195</v>
      </c>
      <c r="N121" s="93">
        <f t="shared" si="39"/>
        <v>195</v>
      </c>
      <c r="O121" s="93">
        <f t="shared" si="39"/>
        <v>195</v>
      </c>
      <c r="P121" s="93">
        <f t="shared" si="39"/>
        <v>195</v>
      </c>
      <c r="Q121" s="93">
        <f t="shared" si="39"/>
        <v>2280</v>
      </c>
      <c r="R121" s="94">
        <f>AVERAGE(E121:P121)</f>
        <v>190</v>
      </c>
      <c r="T121" s="96">
        <f t="shared" si="37"/>
        <v>2.742771353918555E-2</v>
      </c>
      <c r="U121" s="96">
        <f t="shared" si="33"/>
        <v>7.4782215182713149E-2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>SUM(E123:P123)</f>
        <v>0</v>
      </c>
      <c r="R123" s="89" t="e">
        <f t="shared" si="32"/>
        <v>#DIV/0!</v>
      </c>
      <c r="S123" s="15"/>
      <c r="T123" s="62">
        <f t="shared" si="37"/>
        <v>0</v>
      </c>
      <c r="U123" s="62">
        <f t="shared" si="33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0">SUM(C123:C123)</f>
        <v>0</v>
      </c>
      <c r="D124" s="92">
        <f t="shared" si="40"/>
        <v>0</v>
      </c>
      <c r="E124" s="93">
        <f t="shared" si="40"/>
        <v>0</v>
      </c>
      <c r="F124" s="93">
        <f t="shared" si="40"/>
        <v>0</v>
      </c>
      <c r="G124" s="93">
        <f t="shared" si="40"/>
        <v>0</v>
      </c>
      <c r="H124" s="93">
        <f t="shared" si="40"/>
        <v>0</v>
      </c>
      <c r="I124" s="93">
        <f t="shared" si="40"/>
        <v>0</v>
      </c>
      <c r="J124" s="93">
        <f t="shared" si="40"/>
        <v>0</v>
      </c>
      <c r="K124" s="93">
        <f t="shared" si="40"/>
        <v>0</v>
      </c>
      <c r="L124" s="93">
        <f t="shared" si="40"/>
        <v>0</v>
      </c>
      <c r="M124" s="93">
        <f t="shared" si="40"/>
        <v>0</v>
      </c>
      <c r="N124" s="93">
        <f t="shared" si="40"/>
        <v>0</v>
      </c>
      <c r="O124" s="93">
        <f t="shared" si="40"/>
        <v>0</v>
      </c>
      <c r="P124" s="93">
        <f t="shared" si="40"/>
        <v>0</v>
      </c>
      <c r="Q124" s="93">
        <f t="shared" si="40"/>
        <v>0</v>
      </c>
      <c r="R124" s="94">
        <f t="shared" si="32"/>
        <v>0</v>
      </c>
      <c r="T124" s="96">
        <f t="shared" si="37"/>
        <v>0</v>
      </c>
      <c r="U124" s="96">
        <f t="shared" si="33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f>3122/10*12</f>
        <v>3746.3999999999996</v>
      </c>
      <c r="D126" s="57">
        <f>C126/12</f>
        <v>312.2</v>
      </c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2"/>
        <v>#DIV/0!</v>
      </c>
      <c r="S126" s="15"/>
      <c r="T126" s="62">
        <f t="shared" si="37"/>
        <v>0</v>
      </c>
      <c r="U126" s="62">
        <f t="shared" si="33"/>
        <v>-1</v>
      </c>
    </row>
    <row r="127" spans="1:21" x14ac:dyDescent="0.25">
      <c r="A127" s="63" t="s">
        <v>142</v>
      </c>
      <c r="B127" s="15"/>
      <c r="C127" s="137">
        <f t="shared" ref="C127:Q127" si="41">SUM(C126:C126)</f>
        <v>3746.3999999999996</v>
      </c>
      <c r="D127" s="138">
        <f t="shared" si="41"/>
        <v>312.2</v>
      </c>
      <c r="E127" s="139">
        <f t="shared" si="41"/>
        <v>0</v>
      </c>
      <c r="F127" s="139">
        <f t="shared" si="41"/>
        <v>0</v>
      </c>
      <c r="G127" s="139">
        <f t="shared" si="41"/>
        <v>0</v>
      </c>
      <c r="H127" s="139">
        <f t="shared" si="41"/>
        <v>0</v>
      </c>
      <c r="I127" s="139">
        <f t="shared" si="41"/>
        <v>0</v>
      </c>
      <c r="J127" s="139">
        <f t="shared" si="41"/>
        <v>0</v>
      </c>
      <c r="K127" s="139">
        <f t="shared" si="41"/>
        <v>0</v>
      </c>
      <c r="L127" s="139">
        <f t="shared" si="41"/>
        <v>0</v>
      </c>
      <c r="M127" s="139">
        <f t="shared" si="41"/>
        <v>0</v>
      </c>
      <c r="N127" s="139">
        <f t="shared" si="41"/>
        <v>0</v>
      </c>
      <c r="O127" s="139">
        <f t="shared" si="41"/>
        <v>0</v>
      </c>
      <c r="P127" s="139">
        <f t="shared" si="41"/>
        <v>0</v>
      </c>
      <c r="Q127" s="139">
        <f t="shared" si="41"/>
        <v>0</v>
      </c>
      <c r="R127" s="140">
        <f t="shared" si="32"/>
        <v>0</v>
      </c>
      <c r="T127" s="141">
        <f t="shared" si="37"/>
        <v>0</v>
      </c>
      <c r="U127" s="141">
        <f t="shared" si="33"/>
        <v>-1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2">C124+C121+C90+C82+C73+C62+C48+C95+C76+C127</f>
        <v>5867.7599999999993</v>
      </c>
      <c r="D128" s="72">
        <f t="shared" si="42"/>
        <v>600.96571428571428</v>
      </c>
      <c r="E128" s="73">
        <f t="shared" si="42"/>
        <v>185</v>
      </c>
      <c r="F128" s="73">
        <f t="shared" si="42"/>
        <v>185</v>
      </c>
      <c r="G128" s="73">
        <f t="shared" si="42"/>
        <v>185</v>
      </c>
      <c r="H128" s="73">
        <f t="shared" si="42"/>
        <v>185</v>
      </c>
      <c r="I128" s="73">
        <f t="shared" si="42"/>
        <v>185</v>
      </c>
      <c r="J128" s="73">
        <f t="shared" si="42"/>
        <v>185</v>
      </c>
      <c r="K128" s="73">
        <f t="shared" si="42"/>
        <v>195</v>
      </c>
      <c r="L128" s="73">
        <f t="shared" si="42"/>
        <v>195</v>
      </c>
      <c r="M128" s="73">
        <f t="shared" si="42"/>
        <v>195</v>
      </c>
      <c r="N128" s="73">
        <f t="shared" si="42"/>
        <v>195</v>
      </c>
      <c r="O128" s="73">
        <f t="shared" si="42"/>
        <v>195</v>
      </c>
      <c r="P128" s="73">
        <f t="shared" si="42"/>
        <v>195</v>
      </c>
      <c r="Q128" s="73">
        <f t="shared" si="42"/>
        <v>2280</v>
      </c>
      <c r="R128" s="74">
        <f t="shared" si="32"/>
        <v>190</v>
      </c>
      <c r="T128" s="76">
        <f t="shared" si="37"/>
        <v>2.742771353918555E-2</v>
      </c>
      <c r="U128" s="76">
        <f t="shared" si="33"/>
        <v>-0.6114360505542149</v>
      </c>
    </row>
    <row r="129" spans="1:21" x14ac:dyDescent="0.25">
      <c r="A129" s="78" t="s">
        <v>144</v>
      </c>
      <c r="B129" t="s">
        <v>48</v>
      </c>
      <c r="C129" s="79">
        <f t="shared" ref="C129:Q129" si="43">C34-C128</f>
        <v>55591.060000000005</v>
      </c>
      <c r="D129" s="80">
        <f t="shared" si="43"/>
        <v>4520.6026190476186</v>
      </c>
      <c r="E129" s="81">
        <f t="shared" si="43"/>
        <v>6742.3000000000011</v>
      </c>
      <c r="F129" s="81">
        <f t="shared" si="43"/>
        <v>6742.3000000000011</v>
      </c>
      <c r="G129" s="81">
        <f t="shared" si="43"/>
        <v>6742.3000000000011</v>
      </c>
      <c r="H129" s="81">
        <f t="shared" si="43"/>
        <v>6742.3000000000011</v>
      </c>
      <c r="I129" s="81">
        <f t="shared" si="43"/>
        <v>6742.3000000000011</v>
      </c>
      <c r="J129" s="81">
        <f t="shared" si="43"/>
        <v>6742.3000000000011</v>
      </c>
      <c r="K129" s="81">
        <f t="shared" si="43"/>
        <v>6732.3000000000011</v>
      </c>
      <c r="L129" s="81">
        <f t="shared" si="43"/>
        <v>6732.3000000000011</v>
      </c>
      <c r="M129" s="81">
        <f t="shared" si="43"/>
        <v>6732.3000000000011</v>
      </c>
      <c r="N129" s="81">
        <f t="shared" si="43"/>
        <v>6732.3000000000011</v>
      </c>
      <c r="O129" s="81">
        <f t="shared" si="43"/>
        <v>6732.3000000000011</v>
      </c>
      <c r="P129" s="81">
        <f t="shared" si="43"/>
        <v>6732.3000000000011</v>
      </c>
      <c r="Q129" s="81">
        <f t="shared" si="43"/>
        <v>80847.599999999977</v>
      </c>
      <c r="R129" s="82">
        <f t="shared" si="32"/>
        <v>6737.300000000002</v>
      </c>
      <c r="T129" s="31">
        <f t="shared" si="37"/>
        <v>0.97257228646081451</v>
      </c>
      <c r="U129" s="31">
        <f t="shared" si="33"/>
        <v>0.45432736846536059</v>
      </c>
    </row>
    <row r="130" spans="1:21" x14ac:dyDescent="0.25">
      <c r="A130" s="78" t="s">
        <v>145</v>
      </c>
      <c r="B130" t="s">
        <v>48</v>
      </c>
      <c r="C130" s="339">
        <f t="shared" ref="C130:Q130" si="44">IFERROR(C129/C34,0)</f>
        <v>0.90452533908070476</v>
      </c>
      <c r="D130" s="340">
        <f t="shared" si="44"/>
        <v>0.88265982699588819</v>
      </c>
      <c r="E130" s="341">
        <f t="shared" si="44"/>
        <v>0.97329406839605614</v>
      </c>
      <c r="F130" s="341">
        <f t="shared" si="44"/>
        <v>0.97329406839605614</v>
      </c>
      <c r="G130" s="341">
        <f t="shared" si="44"/>
        <v>0.97329406839605614</v>
      </c>
      <c r="H130" s="341">
        <f t="shared" si="44"/>
        <v>0.97329406839605614</v>
      </c>
      <c r="I130" s="341">
        <f t="shared" si="44"/>
        <v>0.97329406839605614</v>
      </c>
      <c r="J130" s="341">
        <f t="shared" si="44"/>
        <v>0.97329406839605614</v>
      </c>
      <c r="K130" s="341">
        <f t="shared" si="44"/>
        <v>0.97185050452557276</v>
      </c>
      <c r="L130" s="341">
        <f t="shared" si="44"/>
        <v>0.97185050452557276</v>
      </c>
      <c r="M130" s="341">
        <f t="shared" si="44"/>
        <v>0.97185050452557276</v>
      </c>
      <c r="N130" s="341">
        <f t="shared" si="44"/>
        <v>0.97185050452557276</v>
      </c>
      <c r="O130" s="341">
        <f t="shared" si="44"/>
        <v>0.97185050452557276</v>
      </c>
      <c r="P130" s="341">
        <f t="shared" si="44"/>
        <v>0.97185050452557276</v>
      </c>
      <c r="Q130" s="341">
        <f t="shared" si="44"/>
        <v>0.97257228646081451</v>
      </c>
      <c r="R130" s="342">
        <f t="shared" si="32"/>
        <v>0.97257228646081462</v>
      </c>
      <c r="T130" s="31"/>
      <c r="U130" s="31">
        <f>IFERROR((Q130-C130)/C130,0)</f>
        <v>7.5229453991048856E-2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5">AVERAGE(E132:P132)</f>
        <v>#DIV/0!</v>
      </c>
      <c r="S132" s="15"/>
      <c r="T132" s="62">
        <f t="shared" si="37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5"/>
        <v>#DIV/0!</v>
      </c>
      <c r="S133" s="15"/>
      <c r="T133" s="62">
        <f t="shared" si="37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6">SUM(C132:C133)</f>
        <v>0</v>
      </c>
      <c r="D134" s="138">
        <f t="shared" si="46"/>
        <v>0</v>
      </c>
      <c r="E134" s="139">
        <f>SUM(E132:E133)</f>
        <v>0</v>
      </c>
      <c r="F134" s="139">
        <f t="shared" ref="F134:Q134" si="47">SUM(F132:F133)</f>
        <v>0</v>
      </c>
      <c r="G134" s="139">
        <f t="shared" si="47"/>
        <v>0</v>
      </c>
      <c r="H134" s="139">
        <f t="shared" si="47"/>
        <v>0</v>
      </c>
      <c r="I134" s="139">
        <f t="shared" si="47"/>
        <v>0</v>
      </c>
      <c r="J134" s="139">
        <f t="shared" si="47"/>
        <v>0</v>
      </c>
      <c r="K134" s="139">
        <f t="shared" si="47"/>
        <v>0</v>
      </c>
      <c r="L134" s="139">
        <f t="shared" si="47"/>
        <v>0</v>
      </c>
      <c r="M134" s="139">
        <f t="shared" si="47"/>
        <v>0</v>
      </c>
      <c r="N134" s="139">
        <f t="shared" si="47"/>
        <v>0</v>
      </c>
      <c r="O134" s="139">
        <f t="shared" si="47"/>
        <v>0</v>
      </c>
      <c r="P134" s="139">
        <f t="shared" si="47"/>
        <v>0</v>
      </c>
      <c r="Q134" s="139">
        <f t="shared" si="47"/>
        <v>0</v>
      </c>
      <c r="R134" s="140">
        <f>AVERAGE(E134:P134)</f>
        <v>0</v>
      </c>
      <c r="T134" s="141">
        <f t="shared" si="37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48">C134+C128</f>
        <v>5867.7599999999993</v>
      </c>
      <c r="D135" s="72">
        <f t="shared" si="48"/>
        <v>600.96571428571428</v>
      </c>
      <c r="E135" s="73">
        <f>E134+E128</f>
        <v>185</v>
      </c>
      <c r="F135" s="73">
        <f t="shared" ref="F135:P135" si="49">F134+F128</f>
        <v>185</v>
      </c>
      <c r="G135" s="73">
        <f t="shared" si="49"/>
        <v>185</v>
      </c>
      <c r="H135" s="73">
        <f t="shared" si="49"/>
        <v>185</v>
      </c>
      <c r="I135" s="73">
        <f t="shared" si="49"/>
        <v>185</v>
      </c>
      <c r="J135" s="73">
        <f t="shared" si="49"/>
        <v>185</v>
      </c>
      <c r="K135" s="73">
        <f t="shared" si="49"/>
        <v>195</v>
      </c>
      <c r="L135" s="73">
        <f t="shared" si="49"/>
        <v>195</v>
      </c>
      <c r="M135" s="73">
        <f t="shared" si="49"/>
        <v>195</v>
      </c>
      <c r="N135" s="73">
        <f t="shared" si="49"/>
        <v>195</v>
      </c>
      <c r="O135" s="73">
        <f t="shared" si="49"/>
        <v>195</v>
      </c>
      <c r="P135" s="73">
        <f t="shared" si="49"/>
        <v>195</v>
      </c>
      <c r="Q135" s="73">
        <f>Q134+Q128</f>
        <v>2280</v>
      </c>
      <c r="R135" s="74">
        <f t="shared" si="45"/>
        <v>190</v>
      </c>
      <c r="T135" s="76">
        <f t="shared" si="37"/>
        <v>2.742771353918555E-2</v>
      </c>
      <c r="U135" s="76">
        <f t="shared" si="33"/>
        <v>-0.6114360505542149</v>
      </c>
    </row>
    <row r="136" spans="1:21" x14ac:dyDescent="0.25">
      <c r="A136" s="78" t="s">
        <v>151</v>
      </c>
      <c r="C136" s="79">
        <f t="shared" ref="C136:Q136" si="50">C34-C135</f>
        <v>55591.060000000005</v>
      </c>
      <c r="D136" s="80">
        <f t="shared" si="50"/>
        <v>4520.6026190476186</v>
      </c>
      <c r="E136" s="81">
        <f t="shared" si="50"/>
        <v>6742.3000000000011</v>
      </c>
      <c r="F136" s="81">
        <f t="shared" si="50"/>
        <v>6742.3000000000011</v>
      </c>
      <c r="G136" s="81">
        <f t="shared" si="50"/>
        <v>6742.3000000000011</v>
      </c>
      <c r="H136" s="81">
        <f t="shared" si="50"/>
        <v>6742.3000000000011</v>
      </c>
      <c r="I136" s="81">
        <f t="shared" si="50"/>
        <v>6742.3000000000011</v>
      </c>
      <c r="J136" s="81">
        <f t="shared" si="50"/>
        <v>6742.3000000000011</v>
      </c>
      <c r="K136" s="81">
        <f t="shared" si="50"/>
        <v>6732.3000000000011</v>
      </c>
      <c r="L136" s="81">
        <f t="shared" si="50"/>
        <v>6732.3000000000011</v>
      </c>
      <c r="M136" s="81">
        <f t="shared" si="50"/>
        <v>6732.3000000000011</v>
      </c>
      <c r="N136" s="81">
        <f t="shared" si="50"/>
        <v>6732.3000000000011</v>
      </c>
      <c r="O136" s="81">
        <f t="shared" si="50"/>
        <v>6732.3000000000011</v>
      </c>
      <c r="P136" s="81">
        <f t="shared" si="50"/>
        <v>6732.3000000000011</v>
      </c>
      <c r="Q136" s="81">
        <f t="shared" si="50"/>
        <v>80847.599999999977</v>
      </c>
      <c r="R136" s="82">
        <f>AVERAGE(E136:P136)</f>
        <v>6737.300000000002</v>
      </c>
      <c r="T136" s="31">
        <f>Q136/$Q$34</f>
        <v>0.97257228646081451</v>
      </c>
      <c r="U136" s="31">
        <f t="shared" si="33"/>
        <v>0.45432736846536059</v>
      </c>
    </row>
    <row r="137" spans="1:21" ht="15.75" thickBot="1" x14ac:dyDescent="0.3">
      <c r="A137" s="78" t="s">
        <v>152</v>
      </c>
      <c r="C137" s="344">
        <f>IFERROR(C136/C34,"")</f>
        <v>0.90452533908070476</v>
      </c>
      <c r="D137" s="345">
        <f>IFERROR(D136/D34,"")</f>
        <v>0.88265982699588819</v>
      </c>
      <c r="E137" s="341">
        <f t="shared" ref="E137:Q137" si="51">E136/E34</f>
        <v>0.97329406839605614</v>
      </c>
      <c r="F137" s="341">
        <f t="shared" si="51"/>
        <v>0.97329406839605614</v>
      </c>
      <c r="G137" s="341">
        <f t="shared" si="51"/>
        <v>0.97329406839605614</v>
      </c>
      <c r="H137" s="341">
        <f t="shared" si="51"/>
        <v>0.97329406839605614</v>
      </c>
      <c r="I137" s="341">
        <f t="shared" si="51"/>
        <v>0.97329406839605614</v>
      </c>
      <c r="J137" s="341">
        <f t="shared" si="51"/>
        <v>0.97329406839605614</v>
      </c>
      <c r="K137" s="341">
        <f t="shared" si="51"/>
        <v>0.97185050452557276</v>
      </c>
      <c r="L137" s="341">
        <f t="shared" si="51"/>
        <v>0.97185050452557276</v>
      </c>
      <c r="M137" s="341">
        <f t="shared" si="51"/>
        <v>0.97185050452557276</v>
      </c>
      <c r="N137" s="341">
        <f t="shared" si="51"/>
        <v>0.97185050452557276</v>
      </c>
      <c r="O137" s="341">
        <f t="shared" si="51"/>
        <v>0.97185050452557276</v>
      </c>
      <c r="P137" s="341">
        <f t="shared" si="51"/>
        <v>0.97185050452557276</v>
      </c>
      <c r="Q137" s="341">
        <f t="shared" si="51"/>
        <v>0.97257228646081451</v>
      </c>
      <c r="R137" s="346">
        <f t="shared" si="45"/>
        <v>0.97257228646081462</v>
      </c>
      <c r="T137" s="181"/>
      <c r="U137" s="181">
        <f t="shared" si="33"/>
        <v>7.5229453991048856E-2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1C43-68C9-4FE4-8967-74996BBF614E}">
  <dimension ref="A1:AA137"/>
  <sheetViews>
    <sheetView topLeftCell="A47" workbookViewId="0">
      <selection activeCell="B28" sqref="B28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1.42578125" customWidth="1"/>
    <col min="20" max="20" width="10" bestFit="1" customWidth="1"/>
    <col min="21" max="21" width="11.85546875" customWidth="1"/>
    <col min="24" max="24" width="15.85546875" customWidth="1"/>
    <col min="25" max="25" width="13" customWidth="1"/>
    <col min="26" max="26" width="16.28515625" customWidth="1"/>
    <col min="27" max="27" width="16.5703125" customWidth="1"/>
  </cols>
  <sheetData>
    <row r="1" spans="1:27" ht="18" x14ac:dyDescent="0.25">
      <c r="A1" s="401" t="s">
        <v>375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7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7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7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7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7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7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7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7" x14ac:dyDescent="0.25">
      <c r="A9" s="25"/>
      <c r="B9" s="15" t="s">
        <v>24</v>
      </c>
      <c r="C9" s="16">
        <v>19.896000000000001</v>
      </c>
      <c r="D9" s="17">
        <v>1.6579999999999999</v>
      </c>
      <c r="E9" s="18">
        <v>3</v>
      </c>
      <c r="F9" s="18">
        <v>3</v>
      </c>
      <c r="G9" s="18">
        <v>3</v>
      </c>
      <c r="H9" s="18">
        <v>3</v>
      </c>
      <c r="I9" s="18">
        <v>3</v>
      </c>
      <c r="J9" s="18">
        <v>3</v>
      </c>
      <c r="K9" s="18">
        <v>3</v>
      </c>
      <c r="L9" s="18">
        <v>3</v>
      </c>
      <c r="M9" s="18">
        <v>3</v>
      </c>
      <c r="N9" s="18">
        <v>3</v>
      </c>
      <c r="O9" s="18">
        <v>3</v>
      </c>
      <c r="P9" s="18">
        <v>3</v>
      </c>
      <c r="Q9" s="19">
        <f t="shared" si="0"/>
        <v>36</v>
      </c>
      <c r="R9" s="20">
        <f t="shared" si="1"/>
        <v>3</v>
      </c>
      <c r="S9" s="15"/>
      <c r="T9" s="21"/>
      <c r="U9" s="22">
        <f t="shared" si="2"/>
        <v>0.80940892641737028</v>
      </c>
    </row>
    <row r="10" spans="1:27" x14ac:dyDescent="0.25">
      <c r="A10" s="15"/>
      <c r="B10" s="15" t="s">
        <v>25</v>
      </c>
      <c r="C10" s="16">
        <v>202.70400000000001</v>
      </c>
      <c r="D10" s="17">
        <v>16.891999999999999</v>
      </c>
      <c r="E10" s="18">
        <v>17</v>
      </c>
      <c r="F10" s="18">
        <v>17</v>
      </c>
      <c r="G10" s="18">
        <v>17</v>
      </c>
      <c r="H10" s="18">
        <v>17</v>
      </c>
      <c r="I10" s="18">
        <v>17</v>
      </c>
      <c r="J10" s="18">
        <v>17</v>
      </c>
      <c r="K10" s="18">
        <v>17</v>
      </c>
      <c r="L10" s="18">
        <v>17</v>
      </c>
      <c r="M10" s="18">
        <v>17</v>
      </c>
      <c r="N10" s="18">
        <v>17</v>
      </c>
      <c r="O10" s="18">
        <v>17</v>
      </c>
      <c r="P10" s="18">
        <v>17</v>
      </c>
      <c r="Q10" s="19">
        <f t="shared" si="0"/>
        <v>204</v>
      </c>
      <c r="R10" s="20">
        <f t="shared" si="1"/>
        <v>17</v>
      </c>
      <c r="S10" s="15"/>
      <c r="T10" s="21"/>
      <c r="U10" s="22">
        <f t="shared" si="2"/>
        <v>6.3935590812218418E-3</v>
      </c>
    </row>
    <row r="11" spans="1:27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 t="shared" si="1"/>
        <v>#DIV/0!</v>
      </c>
      <c r="S11" s="15"/>
      <c r="T11" s="21"/>
      <c r="U11" s="22">
        <f t="shared" si="2"/>
        <v>0</v>
      </c>
    </row>
    <row r="12" spans="1:27" x14ac:dyDescent="0.25">
      <c r="A12" s="15"/>
      <c r="B12" s="15" t="s">
        <v>27</v>
      </c>
      <c r="C12" s="16">
        <v>90.539999999999992</v>
      </c>
      <c r="D12" s="17">
        <v>7.5449999999999999</v>
      </c>
      <c r="E12" s="18">
        <v>8</v>
      </c>
      <c r="F12" s="18">
        <v>8</v>
      </c>
      <c r="G12" s="18">
        <v>8</v>
      </c>
      <c r="H12" s="18">
        <v>8</v>
      </c>
      <c r="I12" s="18">
        <v>8</v>
      </c>
      <c r="J12" s="18">
        <v>8</v>
      </c>
      <c r="K12" s="18">
        <v>9</v>
      </c>
      <c r="L12" s="18">
        <v>9</v>
      </c>
      <c r="M12" s="18">
        <v>9</v>
      </c>
      <c r="N12" s="18">
        <v>9</v>
      </c>
      <c r="O12" s="18">
        <v>9</v>
      </c>
      <c r="P12" s="18">
        <v>9</v>
      </c>
      <c r="Q12" s="19">
        <f>SUM(E12:P12)</f>
        <v>102</v>
      </c>
      <c r="R12" s="20">
        <f>AVERAGE(E12:P12)</f>
        <v>8.5</v>
      </c>
      <c r="S12" s="15"/>
      <c r="T12" s="21"/>
      <c r="U12" s="22">
        <f t="shared" si="2"/>
        <v>0.12657388999337318</v>
      </c>
    </row>
    <row r="13" spans="1:27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 t="shared" si="1"/>
        <v>#DIV/0!</v>
      </c>
      <c r="S13" s="15"/>
      <c r="T13" s="21"/>
      <c r="U13" s="22">
        <f t="shared" si="2"/>
        <v>0</v>
      </c>
    </row>
    <row r="14" spans="1:27" x14ac:dyDescent="0.25">
      <c r="A14" s="25"/>
      <c r="B14" s="15" t="s">
        <v>29</v>
      </c>
      <c r="C14" s="26">
        <f>SUM(C7:C13)</f>
        <v>313.14</v>
      </c>
      <c r="D14" s="27">
        <f t="shared" ref="D14:Q14" si="3">SUM(D7:D13)</f>
        <v>26.094999999999999</v>
      </c>
      <c r="E14" s="28">
        <f t="shared" si="3"/>
        <v>28</v>
      </c>
      <c r="F14" s="28">
        <f t="shared" si="3"/>
        <v>28</v>
      </c>
      <c r="G14" s="28">
        <f t="shared" si="3"/>
        <v>28</v>
      </c>
      <c r="H14" s="28">
        <f t="shared" si="3"/>
        <v>28</v>
      </c>
      <c r="I14" s="28">
        <f t="shared" si="3"/>
        <v>28</v>
      </c>
      <c r="J14" s="28">
        <f t="shared" si="3"/>
        <v>28</v>
      </c>
      <c r="K14" s="28">
        <f t="shared" si="3"/>
        <v>29</v>
      </c>
      <c r="L14" s="28">
        <f t="shared" si="3"/>
        <v>29</v>
      </c>
      <c r="M14" s="28">
        <f t="shared" si="3"/>
        <v>29</v>
      </c>
      <c r="N14" s="28">
        <f t="shared" si="3"/>
        <v>29</v>
      </c>
      <c r="O14" s="28">
        <f t="shared" si="3"/>
        <v>29</v>
      </c>
      <c r="P14" s="28">
        <f t="shared" si="3"/>
        <v>29</v>
      </c>
      <c r="Q14" s="28">
        <f t="shared" si="3"/>
        <v>342</v>
      </c>
      <c r="R14" s="29">
        <f t="shared" si="1"/>
        <v>28.5</v>
      </c>
      <c r="T14" s="30"/>
      <c r="U14" s="31">
        <f>IFERROR((Q14-C14)/C14,0)</f>
        <v>9.2163249664686767E-2</v>
      </c>
    </row>
    <row r="15" spans="1:27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7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X16"/>
      <c r="Y16"/>
      <c r="Z16"/>
      <c r="AA16"/>
    </row>
    <row r="17" spans="1:27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X17"/>
      <c r="Y17"/>
      <c r="Z17"/>
      <c r="AA17"/>
    </row>
    <row r="18" spans="1:27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4"/>
        <v/>
      </c>
      <c r="X18"/>
      <c r="Y18"/>
      <c r="Z18"/>
      <c r="AA18"/>
    </row>
    <row r="19" spans="1:27" s="44" customFormat="1" x14ac:dyDescent="0.25">
      <c r="B19" s="15" t="s">
        <v>34</v>
      </c>
      <c r="C19" s="40"/>
      <c r="D19" s="41"/>
      <c r="E19" s="42">
        <v>185</v>
      </c>
      <c r="F19" s="42">
        <v>185</v>
      </c>
      <c r="G19" s="42">
        <v>185</v>
      </c>
      <c r="H19" s="42">
        <v>185</v>
      </c>
      <c r="I19" s="42">
        <v>185</v>
      </c>
      <c r="J19" s="42">
        <v>185</v>
      </c>
      <c r="K19" s="42">
        <v>185</v>
      </c>
      <c r="L19" s="42">
        <v>185</v>
      </c>
      <c r="M19" s="42">
        <v>185</v>
      </c>
      <c r="N19" s="42">
        <v>185</v>
      </c>
      <c r="O19" s="42">
        <v>185</v>
      </c>
      <c r="P19" s="42">
        <v>185</v>
      </c>
      <c r="Q19" s="42">
        <f>AVERAGE(E19:P19)</f>
        <v>185</v>
      </c>
      <c r="R19" s="43">
        <f t="shared" si="1"/>
        <v>185</v>
      </c>
      <c r="S19" s="15"/>
      <c r="T19" s="21"/>
      <c r="U19" s="22" t="str">
        <f t="shared" si="4"/>
        <v/>
      </c>
      <c r="X19"/>
      <c r="Y19"/>
      <c r="Z19"/>
      <c r="AA19"/>
    </row>
    <row r="20" spans="1:27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4"/>
        <v/>
      </c>
      <c r="X20"/>
      <c r="Y20"/>
      <c r="Z20"/>
      <c r="AA20"/>
    </row>
    <row r="21" spans="1:27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4"/>
        <v/>
      </c>
      <c r="X21"/>
      <c r="Y21"/>
      <c r="Z21"/>
      <c r="AA21"/>
    </row>
    <row r="22" spans="1:27" s="44" customFormat="1" x14ac:dyDescent="0.25">
      <c r="B22" s="15"/>
      <c r="C22" s="46"/>
      <c r="D22" s="47"/>
      <c r="E22" s="42"/>
      <c r="R22" s="48"/>
      <c r="S22" s="49"/>
      <c r="T22" s="50"/>
      <c r="U22" s="50"/>
      <c r="X22"/>
      <c r="Y22"/>
      <c r="Z22"/>
      <c r="AA22"/>
    </row>
    <row r="23" spans="1:27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7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15"/>
    </row>
    <row r="25" spans="1:27" x14ac:dyDescent="0.25">
      <c r="A25" s="25"/>
      <c r="B25" s="15" t="s">
        <v>39</v>
      </c>
      <c r="C25" s="56">
        <v>0</v>
      </c>
      <c r="D25" s="57">
        <f t="shared" ref="D25:D29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6"/>
        <v>0</v>
      </c>
      <c r="V25" s="15"/>
    </row>
    <row r="26" spans="1:27" x14ac:dyDescent="0.25">
      <c r="A26" s="25"/>
      <c r="B26" s="15" t="s">
        <v>40</v>
      </c>
      <c r="C26" s="56">
        <v>654635.28</v>
      </c>
      <c r="D26" s="57">
        <f t="shared" si="7"/>
        <v>54552.94</v>
      </c>
      <c r="E26" s="58">
        <f>(((E9*E18)*21.75)+(((E10*E19)*13.08)+(((E11*E20)*4.33))))</f>
        <v>60711.6</v>
      </c>
      <c r="F26" s="58">
        <f t="shared" ref="F26:O26" si="8">(((F9*F18)*21.75)+(((F10*F19)*13.08)+(((F11*F20)*4.33))))</f>
        <v>60711.6</v>
      </c>
      <c r="G26" s="58">
        <f t="shared" si="8"/>
        <v>60711.6</v>
      </c>
      <c r="H26" s="58">
        <f t="shared" si="8"/>
        <v>60711.6</v>
      </c>
      <c r="I26" s="58">
        <f t="shared" si="8"/>
        <v>60711.6</v>
      </c>
      <c r="J26" s="58">
        <f t="shared" si="8"/>
        <v>60711.6</v>
      </c>
      <c r="K26" s="58">
        <f t="shared" si="8"/>
        <v>60711.6</v>
      </c>
      <c r="L26" s="58">
        <f t="shared" si="8"/>
        <v>60711.6</v>
      </c>
      <c r="M26" s="58">
        <f t="shared" si="8"/>
        <v>60711.6</v>
      </c>
      <c r="N26" s="58">
        <f t="shared" si="8"/>
        <v>60711.6</v>
      </c>
      <c r="O26" s="58">
        <f t="shared" si="8"/>
        <v>60711.6</v>
      </c>
      <c r="P26" s="58">
        <f>(((P9*P18)*21.75)+(((P10*P19)*13.08)+(((P11*P20)*4.33))))</f>
        <v>60711.6</v>
      </c>
      <c r="Q26" s="59">
        <f>SUM(E26:P26)</f>
        <v>728539.19999999984</v>
      </c>
      <c r="R26" s="60">
        <f t="shared" si="1"/>
        <v>60711.599999999984</v>
      </c>
      <c r="S26" s="15"/>
      <c r="T26" s="61"/>
      <c r="U26" s="62">
        <f t="shared" si="6"/>
        <v>0.1128932739463718</v>
      </c>
      <c r="V26" s="15"/>
    </row>
    <row r="27" spans="1:27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 t="shared" si="1"/>
        <v>0</v>
      </c>
      <c r="S27" s="15"/>
      <c r="T27" s="61"/>
      <c r="U27" s="62">
        <f t="shared" si="6"/>
        <v>0</v>
      </c>
      <c r="V27" s="15"/>
    </row>
    <row r="28" spans="1:27" x14ac:dyDescent="0.25">
      <c r="A28" s="25"/>
      <c r="B28" s="15" t="s">
        <v>42</v>
      </c>
      <c r="C28" s="56">
        <v>240</v>
      </c>
      <c r="D28" s="57">
        <f t="shared" si="7"/>
        <v>20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9"/>
        <v>0</v>
      </c>
      <c r="L28" s="58">
        <f t="shared" si="9"/>
        <v>0</v>
      </c>
      <c r="M28" s="58">
        <f t="shared" si="9"/>
        <v>0</v>
      </c>
      <c r="N28" s="58">
        <f t="shared" si="9"/>
        <v>0</v>
      </c>
      <c r="O28" s="58">
        <f t="shared" si="9"/>
        <v>0</v>
      </c>
      <c r="P28" s="58">
        <f t="shared" si="9"/>
        <v>0</v>
      </c>
      <c r="Q28" s="59">
        <f>SUM(E28:P28)</f>
        <v>0</v>
      </c>
      <c r="R28" s="60">
        <f t="shared" si="1"/>
        <v>0</v>
      </c>
      <c r="S28" s="15"/>
      <c r="T28" s="61"/>
      <c r="U28" s="62">
        <f t="shared" si="6"/>
        <v>-1</v>
      </c>
      <c r="V28" s="15"/>
    </row>
    <row r="29" spans="1:27" x14ac:dyDescent="0.25">
      <c r="A29" s="63" t="s">
        <v>43</v>
      </c>
      <c r="B29" s="15"/>
      <c r="C29" s="347">
        <f>SUM(C24:C28)</f>
        <v>654875.28</v>
      </c>
      <c r="D29" s="57">
        <f t="shared" si="7"/>
        <v>54572.94</v>
      </c>
      <c r="E29" s="348">
        <f t="shared" ref="E29:Q29" si="10">SUM(E24:E28)</f>
        <v>60711.6</v>
      </c>
      <c r="F29" s="348">
        <f t="shared" si="10"/>
        <v>60711.6</v>
      </c>
      <c r="G29" s="348">
        <f t="shared" si="10"/>
        <v>60711.6</v>
      </c>
      <c r="H29" s="348">
        <f t="shared" si="10"/>
        <v>60711.6</v>
      </c>
      <c r="I29" s="348">
        <f t="shared" si="10"/>
        <v>60711.6</v>
      </c>
      <c r="J29" s="348">
        <f t="shared" si="10"/>
        <v>60711.6</v>
      </c>
      <c r="K29" s="348">
        <f t="shared" si="10"/>
        <v>60711.6</v>
      </c>
      <c r="L29" s="348">
        <f t="shared" si="10"/>
        <v>60711.6</v>
      </c>
      <c r="M29" s="348">
        <f t="shared" si="10"/>
        <v>60711.6</v>
      </c>
      <c r="N29" s="348">
        <f t="shared" si="10"/>
        <v>60711.6</v>
      </c>
      <c r="O29" s="348">
        <f t="shared" si="10"/>
        <v>60711.6</v>
      </c>
      <c r="P29" s="348">
        <f t="shared" si="10"/>
        <v>60711.6</v>
      </c>
      <c r="Q29" s="348">
        <f t="shared" si="10"/>
        <v>728539.19999999984</v>
      </c>
      <c r="R29" s="349">
        <f>AVERAGE(E29:P29)</f>
        <v>60711.599999999984</v>
      </c>
      <c r="T29" s="68"/>
      <c r="U29" s="69">
        <f t="shared" si="6"/>
        <v>0.11248541859756839</v>
      </c>
    </row>
    <row r="30" spans="1:27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7" x14ac:dyDescent="0.25">
      <c r="A31" s="63"/>
      <c r="B31" s="15" t="s">
        <v>45</v>
      </c>
      <c r="C31" s="56">
        <v>-424237.94</v>
      </c>
      <c r="D31" s="57">
        <f>C31/12</f>
        <v>-35353.161666666667</v>
      </c>
      <c r="E31" s="58">
        <f t="shared" ref="E31:P31" si="11">-E26*0.7</f>
        <v>-42498.119999999995</v>
      </c>
      <c r="F31" s="58">
        <f t="shared" si="11"/>
        <v>-42498.119999999995</v>
      </c>
      <c r="G31" s="58">
        <f t="shared" si="11"/>
        <v>-42498.119999999995</v>
      </c>
      <c r="H31" s="58">
        <f t="shared" si="11"/>
        <v>-42498.119999999995</v>
      </c>
      <c r="I31" s="58">
        <f t="shared" si="11"/>
        <v>-42498.119999999995</v>
      </c>
      <c r="J31" s="58">
        <f t="shared" si="11"/>
        <v>-42498.119999999995</v>
      </c>
      <c r="K31" s="58">
        <f t="shared" si="11"/>
        <v>-42498.119999999995</v>
      </c>
      <c r="L31" s="58">
        <f t="shared" si="11"/>
        <v>-42498.119999999995</v>
      </c>
      <c r="M31" s="58">
        <f t="shared" si="11"/>
        <v>-42498.119999999995</v>
      </c>
      <c r="N31" s="58">
        <f t="shared" si="11"/>
        <v>-42498.119999999995</v>
      </c>
      <c r="O31" s="58">
        <f t="shared" si="11"/>
        <v>-42498.119999999995</v>
      </c>
      <c r="P31" s="58">
        <f t="shared" si="11"/>
        <v>-42498.119999999995</v>
      </c>
      <c r="Q31" s="59">
        <f>SUM(E31:P31)</f>
        <v>-509977.43999999994</v>
      </c>
      <c r="R31" s="60">
        <f>AVERAGE(E31:P31)</f>
        <v>-42498.119999999995</v>
      </c>
      <c r="S31" s="15"/>
      <c r="T31" s="61"/>
      <c r="U31" s="62">
        <f t="shared" si="6"/>
        <v>0.20210238622222224</v>
      </c>
    </row>
    <row r="32" spans="1:27" x14ac:dyDescent="0.25">
      <c r="A32" s="63" t="s">
        <v>46</v>
      </c>
      <c r="B32" s="15"/>
      <c r="C32" s="347">
        <f t="shared" ref="C32:D32" si="12">SUM(C31)</f>
        <v>-424237.94</v>
      </c>
      <c r="D32" s="350">
        <f t="shared" si="12"/>
        <v>-35353.161666666667</v>
      </c>
      <c r="E32" s="348">
        <f>SUM(E31)</f>
        <v>-42498.119999999995</v>
      </c>
      <c r="F32" s="348">
        <f>SUM(F31)</f>
        <v>-42498.119999999995</v>
      </c>
      <c r="G32" s="348">
        <f t="shared" ref="G32:P32" si="13">SUM(G31)</f>
        <v>-42498.119999999995</v>
      </c>
      <c r="H32" s="348">
        <f t="shared" si="13"/>
        <v>-42498.119999999995</v>
      </c>
      <c r="I32" s="348">
        <f t="shared" si="13"/>
        <v>-42498.119999999995</v>
      </c>
      <c r="J32" s="348">
        <f t="shared" si="13"/>
        <v>-42498.119999999995</v>
      </c>
      <c r="K32" s="348">
        <f t="shared" si="13"/>
        <v>-42498.119999999995</v>
      </c>
      <c r="L32" s="348">
        <f t="shared" si="13"/>
        <v>-42498.119999999995</v>
      </c>
      <c r="M32" s="348">
        <f t="shared" si="13"/>
        <v>-42498.119999999995</v>
      </c>
      <c r="N32" s="348">
        <f t="shared" si="13"/>
        <v>-42498.119999999995</v>
      </c>
      <c r="O32" s="348">
        <f t="shared" si="13"/>
        <v>-42498.119999999995</v>
      </c>
      <c r="P32" s="348">
        <f t="shared" si="13"/>
        <v>-42498.119999999995</v>
      </c>
      <c r="Q32" s="348">
        <f>SUM(Q31)</f>
        <v>-509977.43999999994</v>
      </c>
      <c r="R32" s="349">
        <f>AVERAGE(E32:P32)</f>
        <v>-42498.119999999995</v>
      </c>
      <c r="T32" s="68"/>
      <c r="U32" s="69">
        <f t="shared" si="6"/>
        <v>0.20210238622222224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4">C29+C32</f>
        <v>230637.34000000003</v>
      </c>
      <c r="D33" s="352">
        <f t="shared" si="14"/>
        <v>19219.778333333335</v>
      </c>
      <c r="E33" s="353">
        <f>E29+E32</f>
        <v>18213.480000000003</v>
      </c>
      <c r="F33" s="353">
        <f>F29+F32</f>
        <v>18213.480000000003</v>
      </c>
      <c r="G33" s="353">
        <f t="shared" ref="G33:Q33" si="15">G29+G32</f>
        <v>18213.480000000003</v>
      </c>
      <c r="H33" s="353">
        <f t="shared" si="15"/>
        <v>18213.480000000003</v>
      </c>
      <c r="I33" s="353">
        <f t="shared" si="15"/>
        <v>18213.480000000003</v>
      </c>
      <c r="J33" s="353">
        <f t="shared" si="15"/>
        <v>18213.480000000003</v>
      </c>
      <c r="K33" s="353">
        <f t="shared" si="15"/>
        <v>18213.480000000003</v>
      </c>
      <c r="L33" s="353">
        <f t="shared" si="15"/>
        <v>18213.480000000003</v>
      </c>
      <c r="M33" s="353">
        <f t="shared" si="15"/>
        <v>18213.480000000003</v>
      </c>
      <c r="N33" s="353">
        <f t="shared" si="15"/>
        <v>18213.480000000003</v>
      </c>
      <c r="O33" s="353">
        <f t="shared" si="15"/>
        <v>18213.480000000003</v>
      </c>
      <c r="P33" s="353">
        <f t="shared" si="15"/>
        <v>18213.480000000003</v>
      </c>
      <c r="Q33" s="353">
        <f t="shared" si="15"/>
        <v>218561.75999999989</v>
      </c>
      <c r="R33" s="354">
        <f>AVERAGE(E33:P33)</f>
        <v>18213.480000000007</v>
      </c>
      <c r="T33" s="75"/>
      <c r="U33" s="76">
        <f t="shared" si="6"/>
        <v>-5.2357437004780454E-2</v>
      </c>
    </row>
    <row r="34" spans="1:21" x14ac:dyDescent="0.25">
      <c r="A34" s="78" t="s">
        <v>49</v>
      </c>
      <c r="B34" t="s">
        <v>48</v>
      </c>
      <c r="C34" s="355">
        <f t="shared" ref="C34:D34" si="16">C33</f>
        <v>230637.34000000003</v>
      </c>
      <c r="D34" s="356">
        <f t="shared" si="16"/>
        <v>19219.778333333335</v>
      </c>
      <c r="E34" s="357">
        <f>E33</f>
        <v>18213.480000000003</v>
      </c>
      <c r="F34" s="357">
        <f t="shared" ref="F34:Q34" si="17">F33</f>
        <v>18213.480000000003</v>
      </c>
      <c r="G34" s="357">
        <f t="shared" si="17"/>
        <v>18213.480000000003</v>
      </c>
      <c r="H34" s="357">
        <f t="shared" si="17"/>
        <v>18213.480000000003</v>
      </c>
      <c r="I34" s="357">
        <f t="shared" si="17"/>
        <v>18213.480000000003</v>
      </c>
      <c r="J34" s="357">
        <f t="shared" si="17"/>
        <v>18213.480000000003</v>
      </c>
      <c r="K34" s="357">
        <f t="shared" si="17"/>
        <v>18213.480000000003</v>
      </c>
      <c r="L34" s="357">
        <f t="shared" si="17"/>
        <v>18213.480000000003</v>
      </c>
      <c r="M34" s="357">
        <f t="shared" si="17"/>
        <v>18213.480000000003</v>
      </c>
      <c r="N34" s="357">
        <f t="shared" si="17"/>
        <v>18213.480000000003</v>
      </c>
      <c r="O34" s="357">
        <f t="shared" si="17"/>
        <v>18213.480000000003</v>
      </c>
      <c r="P34" s="357">
        <f t="shared" si="17"/>
        <v>18213.480000000003</v>
      </c>
      <c r="Q34" s="357">
        <f t="shared" si="17"/>
        <v>218561.75999999989</v>
      </c>
      <c r="R34" s="358">
        <f t="shared" si="1"/>
        <v>18213.480000000007</v>
      </c>
      <c r="T34" s="30"/>
      <c r="U34" s="31">
        <f t="shared" si="6"/>
        <v>-5.2357437004780454E-2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>AVERAGE(E37:P37)</f>
        <v>#DIV/0!</v>
      </c>
      <c r="S37" s="15"/>
      <c r="T37" s="62">
        <f>Q37/$Q$34</f>
        <v>0</v>
      </c>
      <c r="U37" s="62">
        <f t="shared" si="6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8">SUM(E38:P38)</f>
        <v>0</v>
      </c>
      <c r="R38" s="89" t="e">
        <f t="shared" si="1"/>
        <v>#DIV/0!</v>
      </c>
      <c r="S38" s="15"/>
      <c r="T38" s="62">
        <f t="shared" ref="T38:T102" si="19">Q38/$Q$34</f>
        <v>0</v>
      </c>
      <c r="U38" s="62">
        <f t="shared" si="6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8"/>
        <v>0</v>
      </c>
      <c r="R39" s="89" t="e">
        <f t="shared" si="1"/>
        <v>#DIV/0!</v>
      </c>
      <c r="S39" s="15"/>
      <c r="T39" s="62">
        <f t="shared" si="19"/>
        <v>0</v>
      </c>
      <c r="U39" s="62">
        <f t="shared" si="6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8"/>
        <v>0</v>
      </c>
      <c r="R40" s="89" t="e">
        <f t="shared" si="1"/>
        <v>#DIV/0!</v>
      </c>
      <c r="S40" s="15"/>
      <c r="T40" s="62">
        <f t="shared" si="19"/>
        <v>0</v>
      </c>
      <c r="U40" s="62">
        <f t="shared" si="6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8"/>
        <v>0</v>
      </c>
      <c r="R41" s="89" t="e">
        <f t="shared" si="1"/>
        <v>#DIV/0!</v>
      </c>
      <c r="S41" s="15"/>
      <c r="T41" s="62">
        <f t="shared" si="19"/>
        <v>0</v>
      </c>
      <c r="U41" s="62">
        <f t="shared" si="6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8"/>
        <v>0</v>
      </c>
      <c r="R42" s="89" t="e">
        <f t="shared" si="1"/>
        <v>#DIV/0!</v>
      </c>
      <c r="S42" s="15"/>
      <c r="T42" s="62">
        <f t="shared" si="19"/>
        <v>0</v>
      </c>
      <c r="U42" s="62">
        <f t="shared" si="6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8"/>
        <v>0</v>
      </c>
      <c r="R43" s="89" t="e">
        <f t="shared" si="1"/>
        <v>#DIV/0!</v>
      </c>
      <c r="S43" s="15"/>
      <c r="T43" s="62">
        <f t="shared" si="19"/>
        <v>0</v>
      </c>
      <c r="U43" s="62">
        <f t="shared" si="6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8"/>
        <v>0</v>
      </c>
      <c r="R44" s="89" t="e">
        <f t="shared" si="1"/>
        <v>#DIV/0!</v>
      </c>
      <c r="S44" s="15"/>
      <c r="T44" s="62">
        <f t="shared" si="19"/>
        <v>0</v>
      </c>
      <c r="U44" s="62">
        <f t="shared" si="6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8"/>
        <v>0</v>
      </c>
      <c r="R45" s="89" t="e">
        <f t="shared" si="1"/>
        <v>#DIV/0!</v>
      </c>
      <c r="S45" s="15"/>
      <c r="T45" s="62">
        <f t="shared" si="19"/>
        <v>0</v>
      </c>
      <c r="U45" s="62">
        <f t="shared" si="6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8"/>
        <v>0</v>
      </c>
      <c r="R46" s="89" t="e">
        <f t="shared" si="1"/>
        <v>#DIV/0!</v>
      </c>
      <c r="S46" s="15"/>
      <c r="T46" s="62">
        <f t="shared" si="19"/>
        <v>0</v>
      </c>
      <c r="U46" s="62">
        <f t="shared" si="6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8"/>
        <v>0</v>
      </c>
      <c r="R47" s="89" t="e">
        <f t="shared" si="1"/>
        <v>#DIV/0!</v>
      </c>
      <c r="S47" s="15"/>
      <c r="T47" s="62">
        <f t="shared" si="19"/>
        <v>0</v>
      </c>
      <c r="U47" s="62">
        <f t="shared" si="6"/>
        <v>0</v>
      </c>
    </row>
    <row r="48" spans="1:21" x14ac:dyDescent="0.25">
      <c r="A48" s="63" t="s">
        <v>63</v>
      </c>
      <c r="B48" t="s">
        <v>48</v>
      </c>
      <c r="C48" s="91">
        <f t="shared" ref="C48:Q48" si="20">SUM(C37:C47)</f>
        <v>0</v>
      </c>
      <c r="D48" s="92">
        <f t="shared" si="20"/>
        <v>0</v>
      </c>
      <c r="E48" s="93">
        <f t="shared" si="20"/>
        <v>0</v>
      </c>
      <c r="F48" s="93">
        <f t="shared" si="20"/>
        <v>0</v>
      </c>
      <c r="G48" s="93">
        <f t="shared" si="20"/>
        <v>0</v>
      </c>
      <c r="H48" s="93">
        <f t="shared" si="20"/>
        <v>0</v>
      </c>
      <c r="I48" s="93">
        <f t="shared" si="20"/>
        <v>0</v>
      </c>
      <c r="J48" s="93">
        <f t="shared" si="20"/>
        <v>0</v>
      </c>
      <c r="K48" s="93">
        <f t="shared" si="20"/>
        <v>0</v>
      </c>
      <c r="L48" s="93">
        <f t="shared" si="20"/>
        <v>0</v>
      </c>
      <c r="M48" s="93">
        <f t="shared" si="20"/>
        <v>0</v>
      </c>
      <c r="N48" s="93">
        <f t="shared" si="20"/>
        <v>0</v>
      </c>
      <c r="O48" s="93">
        <f t="shared" si="20"/>
        <v>0</v>
      </c>
      <c r="P48" s="93">
        <f t="shared" si="20"/>
        <v>0</v>
      </c>
      <c r="Q48" s="93">
        <f t="shared" si="20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1">SUM(E50:P50)</f>
        <v>0</v>
      </c>
      <c r="R50" s="89" t="e">
        <f t="shared" si="1"/>
        <v>#DIV/0!</v>
      </c>
      <c r="S50" s="15"/>
      <c r="T50" s="62">
        <f t="shared" si="19"/>
        <v>0</v>
      </c>
      <c r="U50" s="62">
        <f t="shared" si="6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1"/>
        <v>0</v>
      </c>
      <c r="R51" s="89" t="e">
        <f t="shared" si="1"/>
        <v>#DIV/0!</v>
      </c>
      <c r="S51" s="15"/>
      <c r="T51" s="62">
        <f t="shared" si="19"/>
        <v>0</v>
      </c>
      <c r="U51" s="62">
        <f t="shared" si="6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1"/>
        <v>0</v>
      </c>
      <c r="R52" s="89" t="e">
        <f t="shared" si="1"/>
        <v>#DIV/0!</v>
      </c>
      <c r="S52" s="15"/>
      <c r="T52" s="62">
        <f t="shared" si="19"/>
        <v>0</v>
      </c>
      <c r="U52" s="62">
        <f t="shared" si="6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1"/>
        <v>0</v>
      </c>
      <c r="R53" s="89" t="e">
        <f t="shared" si="1"/>
        <v>#DIV/0!</v>
      </c>
      <c r="S53" s="15"/>
      <c r="T53" s="62">
        <f t="shared" si="19"/>
        <v>0</v>
      </c>
      <c r="U53" s="62">
        <f t="shared" si="6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1"/>
        <v>0</v>
      </c>
      <c r="R54" s="89" t="e">
        <f t="shared" si="1"/>
        <v>#DIV/0!</v>
      </c>
      <c r="S54" s="15"/>
      <c r="T54" s="62">
        <f t="shared" si="19"/>
        <v>0</v>
      </c>
      <c r="U54" s="62">
        <f t="shared" si="6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1"/>
        <v>0</v>
      </c>
      <c r="R55" s="89" t="e">
        <f t="shared" si="1"/>
        <v>#DIV/0!</v>
      </c>
      <c r="S55" s="15"/>
      <c r="T55" s="62">
        <f t="shared" si="19"/>
        <v>0</v>
      </c>
      <c r="U55" s="62">
        <f t="shared" si="6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ref="Q56:Q57" si="22">SUM(E56:P56)</f>
        <v>0</v>
      </c>
      <c r="R56" s="89" t="e">
        <f t="shared" si="1"/>
        <v>#DIV/0!</v>
      </c>
      <c r="S56" s="15"/>
      <c r="T56" s="62">
        <f t="shared" si="19"/>
        <v>0</v>
      </c>
      <c r="U56" s="62">
        <f t="shared" si="6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2"/>
        <v>0</v>
      </c>
      <c r="R57" s="89" t="e">
        <f t="shared" si="1"/>
        <v>#DIV/0!</v>
      </c>
      <c r="S57" s="15"/>
      <c r="T57" s="62">
        <f t="shared" si="19"/>
        <v>0</v>
      </c>
      <c r="U57" s="62">
        <f t="shared" si="6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1"/>
        <v>0</v>
      </c>
      <c r="R58" s="89" t="e">
        <f t="shared" si="1"/>
        <v>#DIV/0!</v>
      </c>
      <c r="S58" s="15"/>
      <c r="T58" s="62">
        <f t="shared" si="19"/>
        <v>0</v>
      </c>
      <c r="U58" s="62">
        <f t="shared" si="6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1"/>
        <v>0</v>
      </c>
      <c r="R59" s="89" t="e">
        <f t="shared" si="1"/>
        <v>#DIV/0!</v>
      </c>
      <c r="S59" s="15"/>
      <c r="T59" s="62">
        <f t="shared" si="19"/>
        <v>0</v>
      </c>
      <c r="U59" s="62">
        <f t="shared" si="6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1"/>
        <v>0</v>
      </c>
      <c r="R60" s="89" t="e">
        <f t="shared" si="1"/>
        <v>#DIV/0!</v>
      </c>
      <c r="S60" s="15"/>
      <c r="T60" s="62">
        <f t="shared" si="19"/>
        <v>0</v>
      </c>
      <c r="U60" s="62">
        <f t="shared" si="6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1"/>
        <v>0</v>
      </c>
      <c r="R61" s="89" t="e">
        <f t="shared" si="1"/>
        <v>#DIV/0!</v>
      </c>
      <c r="S61" s="15"/>
      <c r="T61" s="62">
        <f t="shared" si="19"/>
        <v>0</v>
      </c>
      <c r="U61" s="62">
        <f t="shared" si="6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19"/>
        <v>0</v>
      </c>
      <c r="U64" s="62">
        <f t="shared" si="6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19"/>
        <v>0</v>
      </c>
      <c r="U65" s="62">
        <f t="shared" si="6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19"/>
        <v>0</v>
      </c>
      <c r="U66" s="62">
        <f t="shared" si="6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5">SUM(E67:P67)</f>
        <v>0</v>
      </c>
      <c r="R67" s="89" t="e">
        <f t="shared" si="1"/>
        <v>#DIV/0!</v>
      </c>
      <c r="S67" s="15"/>
      <c r="T67" s="62">
        <f t="shared" si="19"/>
        <v>0</v>
      </c>
      <c r="U67" s="62">
        <f t="shared" si="6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5"/>
        <v>0</v>
      </c>
      <c r="R68" s="89" t="e">
        <f t="shared" si="1"/>
        <v>#DIV/0!</v>
      </c>
      <c r="S68" s="15"/>
      <c r="T68" s="62">
        <f t="shared" si="19"/>
        <v>0</v>
      </c>
      <c r="U68" s="62">
        <f t="shared" si="6"/>
        <v>0</v>
      </c>
    </row>
    <row r="69" spans="1:21" ht="23.25" x14ac:dyDescent="0.25">
      <c r="A69" s="25"/>
      <c r="B69" s="15" t="s">
        <v>84</v>
      </c>
      <c r="C69" s="56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5"/>
        <v>0</v>
      </c>
      <c r="R69" s="89" t="e">
        <f t="shared" si="1"/>
        <v>#DIV/0!</v>
      </c>
      <c r="S69" s="15"/>
      <c r="T69" s="62">
        <f t="shared" si="19"/>
        <v>0</v>
      </c>
      <c r="U69" s="62">
        <f t="shared" si="6"/>
        <v>0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5"/>
        <v>0</v>
      </c>
      <c r="R70" s="89" t="e">
        <f t="shared" si="1"/>
        <v>#DIV/0!</v>
      </c>
      <c r="S70" s="15"/>
      <c r="T70" s="62">
        <f t="shared" si="19"/>
        <v>0</v>
      </c>
      <c r="U70" s="62">
        <f t="shared" si="6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5"/>
        <v>0</v>
      </c>
      <c r="R71" s="89" t="e">
        <f t="shared" si="1"/>
        <v>#DIV/0!</v>
      </c>
      <c r="S71" s="15"/>
      <c r="T71" s="62">
        <f t="shared" si="19"/>
        <v>0</v>
      </c>
      <c r="U71" s="62">
        <f t="shared" si="6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5"/>
        <v>0</v>
      </c>
      <c r="R72" s="89" t="e">
        <f t="shared" si="1"/>
        <v>#DIV/0!</v>
      </c>
      <c r="S72" s="15"/>
      <c r="T72" s="62">
        <f t="shared" si="19"/>
        <v>0</v>
      </c>
      <c r="U72" s="62">
        <f t="shared" si="6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6">SUM(C64:C72)</f>
        <v>0</v>
      </c>
      <c r="D73" s="92">
        <f t="shared" si="26"/>
        <v>0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19"/>
        <v>0</v>
      </c>
      <c r="U73" s="96">
        <f t="shared" si="6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19"/>
        <v>0</v>
      </c>
      <c r="U75" s="62">
        <f t="shared" si="6"/>
        <v>0</v>
      </c>
    </row>
    <row r="76" spans="1:21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>
        <f>264/10*12</f>
        <v>316.79999999999995</v>
      </c>
      <c r="D78" s="57">
        <f>C78/12</f>
        <v>26.399999999999995</v>
      </c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19"/>
        <v>0</v>
      </c>
      <c r="U78" s="62">
        <f t="shared" si="6"/>
        <v>-1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 t="shared" si="1"/>
        <v>#DIV/0!</v>
      </c>
      <c r="S79" s="15"/>
      <c r="T79" s="62">
        <f t="shared" si="19"/>
        <v>0</v>
      </c>
      <c r="U79" s="62">
        <f t="shared" si="6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19"/>
        <v>0</v>
      </c>
      <c r="U80" s="62">
        <f t="shared" si="6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19"/>
        <v>0</v>
      </c>
      <c r="U81" s="62">
        <f t="shared" si="6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29">SUM(C78:C81)</f>
        <v>316.79999999999995</v>
      </c>
      <c r="D82" s="92">
        <f t="shared" si="29"/>
        <v>26.399999999999995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19"/>
        <v>0</v>
      </c>
      <c r="U82" s="96">
        <f t="shared" si="6"/>
        <v>-1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>
        <f>14.74/10*12</f>
        <v>17.687999999999999</v>
      </c>
      <c r="D84" s="57">
        <f>C84/12</f>
        <v>1.474</v>
      </c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1">SUM(E84:P84)</f>
        <v>0</v>
      </c>
      <c r="R84" s="89" t="e">
        <f t="shared" si="1"/>
        <v>#DIV/0!</v>
      </c>
      <c r="S84" s="15"/>
      <c r="T84" s="62">
        <f t="shared" si="19"/>
        <v>0</v>
      </c>
      <c r="U84" s="62">
        <f t="shared" si="6"/>
        <v>-1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1"/>
        <v>0</v>
      </c>
      <c r="R85" s="89" t="e">
        <f t="shared" si="1"/>
        <v>#DIV/0!</v>
      </c>
      <c r="S85" s="15"/>
      <c r="T85" s="62">
        <f t="shared" si="19"/>
        <v>0</v>
      </c>
      <c r="U85" s="62">
        <f t="shared" si="6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1"/>
        <v>0</v>
      </c>
      <c r="R86" s="89" t="e">
        <f t="shared" si="1"/>
        <v>#DIV/0!</v>
      </c>
      <c r="S86" s="15"/>
      <c r="T86" s="62">
        <f t="shared" si="19"/>
        <v>0</v>
      </c>
      <c r="U86" s="62">
        <f t="shared" si="6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1"/>
        <v>0</v>
      </c>
      <c r="R87" s="89" t="e">
        <f t="shared" si="1"/>
        <v>#DIV/0!</v>
      </c>
      <c r="S87" s="15"/>
      <c r="T87" s="62">
        <f t="shared" si="19"/>
        <v>0</v>
      </c>
      <c r="U87" s="62">
        <f t="shared" si="6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1"/>
        <v>0</v>
      </c>
      <c r="R88" s="89" t="e">
        <f t="shared" ref="R88:R130" si="32">AVERAGE(E88:P88)</f>
        <v>#DIV/0!</v>
      </c>
      <c r="S88" s="15"/>
      <c r="T88" s="62">
        <f t="shared" si="19"/>
        <v>0</v>
      </c>
      <c r="U88" s="62">
        <f t="shared" si="6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1"/>
        <v>0</v>
      </c>
      <c r="R89" s="89" t="e">
        <f t="shared" si="32"/>
        <v>#DIV/0!</v>
      </c>
      <c r="S89" s="15"/>
      <c r="T89" s="62">
        <f t="shared" si="19"/>
        <v>0</v>
      </c>
      <c r="U89" s="62">
        <f t="shared" ref="U89:U137" si="33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4">SUM(C84:C89)</f>
        <v>17.687999999999999</v>
      </c>
      <c r="D90" s="92">
        <f t="shared" si="34"/>
        <v>1.474</v>
      </c>
      <c r="E90" s="93">
        <f t="shared" ref="E90:Q90" si="35">SUM(E84:E89)</f>
        <v>0</v>
      </c>
      <c r="F90" s="93">
        <f t="shared" si="35"/>
        <v>0</v>
      </c>
      <c r="G90" s="93">
        <f t="shared" si="35"/>
        <v>0</v>
      </c>
      <c r="H90" s="93">
        <f t="shared" si="35"/>
        <v>0</v>
      </c>
      <c r="I90" s="93">
        <f t="shared" si="35"/>
        <v>0</v>
      </c>
      <c r="J90" s="93">
        <f t="shared" si="35"/>
        <v>0</v>
      </c>
      <c r="K90" s="93">
        <f t="shared" si="35"/>
        <v>0</v>
      </c>
      <c r="L90" s="93">
        <f t="shared" si="35"/>
        <v>0</v>
      </c>
      <c r="M90" s="93">
        <f t="shared" si="35"/>
        <v>0</v>
      </c>
      <c r="N90" s="93">
        <f t="shared" si="35"/>
        <v>0</v>
      </c>
      <c r="O90" s="93">
        <f t="shared" si="35"/>
        <v>0</v>
      </c>
      <c r="P90" s="93">
        <f t="shared" si="35"/>
        <v>0</v>
      </c>
      <c r="Q90" s="93">
        <f t="shared" si="35"/>
        <v>0</v>
      </c>
      <c r="R90" s="94">
        <f>AVERAGE(E90:P90)</f>
        <v>0</v>
      </c>
      <c r="T90" s="96">
        <f t="shared" si="19"/>
        <v>0</v>
      </c>
      <c r="U90" s="96">
        <f t="shared" si="33"/>
        <v>-1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19"/>
        <v>0</v>
      </c>
      <c r="U92" s="62">
        <f t="shared" si="33"/>
        <v>0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2"/>
        <v>#DIV/0!</v>
      </c>
      <c r="S93" s="15"/>
      <c r="T93" s="62">
        <f t="shared" si="19"/>
        <v>0</v>
      </c>
      <c r="U93" s="62">
        <f t="shared" si="33"/>
        <v>0</v>
      </c>
    </row>
    <row r="94" spans="1:21" x14ac:dyDescent="0.25">
      <c r="A94" s="25"/>
      <c r="B94" s="15" t="s">
        <v>109</v>
      </c>
      <c r="C94" s="56"/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2"/>
        <v>#DIV/0!</v>
      </c>
      <c r="S94" s="15"/>
      <c r="T94" s="62">
        <f t="shared" si="19"/>
        <v>0</v>
      </c>
      <c r="U94" s="62">
        <f t="shared" si="33"/>
        <v>0</v>
      </c>
    </row>
    <row r="95" spans="1:21" x14ac:dyDescent="0.25">
      <c r="A95" s="63" t="s">
        <v>110</v>
      </c>
      <c r="B95" s="15"/>
      <c r="C95" s="91">
        <f t="shared" ref="C95:Q95" si="36">SUM(C92:C94)</f>
        <v>0</v>
      </c>
      <c r="D95" s="92">
        <f t="shared" si="36"/>
        <v>0</v>
      </c>
      <c r="E95" s="93">
        <f t="shared" si="36"/>
        <v>0</v>
      </c>
      <c r="F95" s="93">
        <f t="shared" si="36"/>
        <v>0</v>
      </c>
      <c r="G95" s="93">
        <f t="shared" si="36"/>
        <v>0</v>
      </c>
      <c r="H95" s="93">
        <f t="shared" si="36"/>
        <v>0</v>
      </c>
      <c r="I95" s="93">
        <f t="shared" si="36"/>
        <v>0</v>
      </c>
      <c r="J95" s="93">
        <f t="shared" si="36"/>
        <v>0</v>
      </c>
      <c r="K95" s="93">
        <f t="shared" si="36"/>
        <v>0</v>
      </c>
      <c r="L95" s="93">
        <f t="shared" si="36"/>
        <v>0</v>
      </c>
      <c r="M95" s="93">
        <f t="shared" si="36"/>
        <v>0</v>
      </c>
      <c r="N95" s="93">
        <f t="shared" si="36"/>
        <v>0</v>
      </c>
      <c r="O95" s="93">
        <f t="shared" si="36"/>
        <v>0</v>
      </c>
      <c r="P95" s="93">
        <f t="shared" si="36"/>
        <v>0</v>
      </c>
      <c r="Q95" s="93">
        <f t="shared" si="36"/>
        <v>0</v>
      </c>
      <c r="R95" s="94">
        <f t="shared" si="32"/>
        <v>0</v>
      </c>
      <c r="T95" s="96">
        <f t="shared" si="19"/>
        <v>0</v>
      </c>
      <c r="U95" s="96">
        <f t="shared" si="33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20" si="37">SUM(E97:P97)</f>
        <v>0</v>
      </c>
      <c r="R97" s="89" t="e">
        <f t="shared" si="32"/>
        <v>#DIV/0!</v>
      </c>
      <c r="S97" s="15"/>
      <c r="T97" s="62">
        <f t="shared" si="19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7"/>
        <v>0</v>
      </c>
      <c r="R98" s="89" t="e">
        <f t="shared" si="32"/>
        <v>#DIV/0!</v>
      </c>
      <c r="S98" s="15"/>
      <c r="T98" s="62">
        <f t="shared" si="19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7"/>
        <v>0</v>
      </c>
      <c r="R99" s="89" t="e">
        <f t="shared" si="32"/>
        <v>#DIV/0!</v>
      </c>
      <c r="S99" s="15"/>
      <c r="T99" s="62">
        <f t="shared" si="19"/>
        <v>0</v>
      </c>
      <c r="U99" s="62">
        <f t="shared" si="33"/>
        <v>0</v>
      </c>
    </row>
    <row r="100" spans="1:21" x14ac:dyDescent="0.25">
      <c r="A100" s="25"/>
      <c r="B100" s="15" t="s">
        <v>115</v>
      </c>
      <c r="C100" s="56"/>
      <c r="D100" s="57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37"/>
        <v>0</v>
      </c>
      <c r="R100" s="89" t="e">
        <f t="shared" si="32"/>
        <v>#DIV/0!</v>
      </c>
      <c r="S100" s="15"/>
      <c r="T100" s="62">
        <f t="shared" si="19"/>
        <v>0</v>
      </c>
      <c r="U100" s="62">
        <f t="shared" si="33"/>
        <v>0</v>
      </c>
    </row>
    <row r="101" spans="1:21" x14ac:dyDescent="0.25">
      <c r="A101" s="25"/>
      <c r="B101" s="15" t="s">
        <v>116</v>
      </c>
      <c r="C101" s="56">
        <f>920/10*12</f>
        <v>1104</v>
      </c>
      <c r="D101" s="57">
        <f>C101/12</f>
        <v>92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7"/>
        <v>0</v>
      </c>
      <c r="R101" s="89" t="e">
        <f t="shared" si="32"/>
        <v>#DIV/0!</v>
      </c>
      <c r="S101" s="15"/>
      <c r="T101" s="62">
        <f t="shared" si="19"/>
        <v>0</v>
      </c>
      <c r="U101" s="62">
        <f t="shared" si="33"/>
        <v>-1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7"/>
        <v>0</v>
      </c>
      <c r="R102" s="89" t="e">
        <f t="shared" si="32"/>
        <v>#DIV/0!</v>
      </c>
      <c r="S102" s="15"/>
      <c r="T102" s="62">
        <f t="shared" si="19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>
        <f>94.88/10*12</f>
        <v>113.85599999999999</v>
      </c>
      <c r="D103" s="57">
        <f>C103/12</f>
        <v>9.4879999999999995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7"/>
        <v>0</v>
      </c>
      <c r="R103" s="89" t="e">
        <f t="shared" si="32"/>
        <v>#DIV/0!</v>
      </c>
      <c r="S103" s="15"/>
      <c r="T103" s="62">
        <f t="shared" ref="T103:T135" si="38">Q103/$Q$34</f>
        <v>0</v>
      </c>
      <c r="U103" s="62">
        <f t="shared" si="33"/>
        <v>-1</v>
      </c>
    </row>
    <row r="104" spans="1:21" x14ac:dyDescent="0.25">
      <c r="A104" s="25"/>
      <c r="B104" s="15" t="s">
        <v>119</v>
      </c>
      <c r="C104" s="56">
        <v>11161.78</v>
      </c>
      <c r="D104" s="57">
        <f>C104/7</f>
        <v>1594.5400000000002</v>
      </c>
      <c r="E104" s="58">
        <f>(50*(E7+E8))+(25*(E9+E10))+(10*(E11+E12))+(15*E13)</f>
        <v>580</v>
      </c>
      <c r="F104" s="58">
        <f t="shared" ref="F104:P104" si="39">(50*(F7+F8))+(25*(F9+F10))+(10*(F11+F12))+(15*F13)</f>
        <v>580</v>
      </c>
      <c r="G104" s="58">
        <f t="shared" si="39"/>
        <v>580</v>
      </c>
      <c r="H104" s="58">
        <f t="shared" si="39"/>
        <v>580</v>
      </c>
      <c r="I104" s="58">
        <f t="shared" si="39"/>
        <v>580</v>
      </c>
      <c r="J104" s="58">
        <f t="shared" si="39"/>
        <v>580</v>
      </c>
      <c r="K104" s="58">
        <f t="shared" si="39"/>
        <v>590</v>
      </c>
      <c r="L104" s="58">
        <f>(50*(L7+L8))+(25*(L9+L10))+(10*(L11+L12))+(15*L13)</f>
        <v>590</v>
      </c>
      <c r="M104" s="58">
        <f t="shared" si="39"/>
        <v>590</v>
      </c>
      <c r="N104" s="58">
        <f t="shared" si="39"/>
        <v>590</v>
      </c>
      <c r="O104" s="58">
        <f t="shared" si="39"/>
        <v>590</v>
      </c>
      <c r="P104" s="58">
        <f t="shared" si="39"/>
        <v>590</v>
      </c>
      <c r="Q104" s="58">
        <f t="shared" si="37"/>
        <v>7020</v>
      </c>
      <c r="R104" s="89">
        <f t="shared" si="32"/>
        <v>585</v>
      </c>
      <c r="S104" s="15"/>
      <c r="T104" s="62">
        <f t="shared" si="38"/>
        <v>3.2119067855236903E-2</v>
      </c>
      <c r="U104" s="62">
        <f t="shared" si="33"/>
        <v>-0.3710680554535209</v>
      </c>
    </row>
    <row r="105" spans="1:21" x14ac:dyDescent="0.25">
      <c r="A105" s="25"/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7"/>
        <v>0</v>
      </c>
      <c r="R105" s="89" t="e">
        <f t="shared" si="32"/>
        <v>#DIV/0!</v>
      </c>
      <c r="S105" s="15"/>
      <c r="T105" s="62">
        <f t="shared" si="38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37"/>
        <v>0</v>
      </c>
      <c r="R106" s="89" t="e">
        <f t="shared" si="32"/>
        <v>#DIV/0!</v>
      </c>
      <c r="S106" s="15"/>
      <c r="T106" s="62">
        <f t="shared" si="38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37"/>
        <v>0</v>
      </c>
      <c r="R107" s="89" t="e">
        <f t="shared" si="32"/>
        <v>#DIV/0!</v>
      </c>
      <c r="S107" s="15"/>
      <c r="T107" s="62">
        <f t="shared" si="38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37"/>
        <v>0</v>
      </c>
      <c r="R108" s="89" t="e">
        <f t="shared" si="32"/>
        <v>#DIV/0!</v>
      </c>
      <c r="S108" s="15"/>
      <c r="T108" s="62">
        <f t="shared" si="38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37"/>
        <v>0</v>
      </c>
      <c r="R109" s="89" t="e">
        <f t="shared" si="32"/>
        <v>#DIV/0!</v>
      </c>
      <c r="S109" s="15"/>
      <c r="T109" s="62">
        <f t="shared" si="38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37"/>
        <v>0</v>
      </c>
      <c r="R110" s="89" t="e">
        <f t="shared" si="32"/>
        <v>#DIV/0!</v>
      </c>
      <c r="S110" s="15"/>
      <c r="T110" s="62">
        <f t="shared" si="38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37"/>
        <v>0</v>
      </c>
      <c r="R111" s="89" t="e">
        <f t="shared" si="32"/>
        <v>#DIV/0!</v>
      </c>
      <c r="S111" s="15"/>
      <c r="T111" s="62">
        <f t="shared" si="38"/>
        <v>0</v>
      </c>
      <c r="U111" s="62">
        <f t="shared" si="33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37"/>
        <v>0</v>
      </c>
      <c r="R112" s="89" t="e">
        <f t="shared" si="32"/>
        <v>#DIV/0!</v>
      </c>
      <c r="S112" s="15"/>
      <c r="T112" s="62">
        <f t="shared" si="38"/>
        <v>0</v>
      </c>
      <c r="U112" s="62">
        <f t="shared" si="33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37"/>
        <v>0</v>
      </c>
      <c r="R113" s="89" t="e">
        <f t="shared" si="32"/>
        <v>#DIV/0!</v>
      </c>
      <c r="S113" s="15"/>
      <c r="T113" s="62">
        <f t="shared" si="38"/>
        <v>0</v>
      </c>
      <c r="U113" s="62">
        <f t="shared" si="33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37"/>
        <v>0</v>
      </c>
      <c r="R114" s="89" t="e">
        <f t="shared" si="32"/>
        <v>#DIV/0!</v>
      </c>
      <c r="S114" s="15"/>
      <c r="T114" s="62">
        <f t="shared" si="38"/>
        <v>0</v>
      </c>
      <c r="U114" s="62">
        <f t="shared" si="33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7"/>
        <v>0</v>
      </c>
      <c r="R115" s="89" t="e">
        <f t="shared" si="32"/>
        <v>#DIV/0!</v>
      </c>
      <c r="S115" s="15"/>
      <c r="T115" s="62">
        <f t="shared" si="38"/>
        <v>0</v>
      </c>
      <c r="U115" s="62">
        <f t="shared" si="33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7"/>
        <v>0</v>
      </c>
      <c r="R116" s="89" t="e">
        <f t="shared" si="32"/>
        <v>#DIV/0!</v>
      </c>
      <c r="S116" s="15"/>
      <c r="T116" s="62">
        <f t="shared" si="38"/>
        <v>0</v>
      </c>
      <c r="U116" s="62">
        <f t="shared" si="33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7"/>
        <v>0</v>
      </c>
      <c r="R117" s="89" t="e">
        <f t="shared" si="32"/>
        <v>#DIV/0!</v>
      </c>
      <c r="S117" s="15"/>
      <c r="T117" s="62">
        <f t="shared" si="38"/>
        <v>0</v>
      </c>
      <c r="U117" s="62">
        <f t="shared" si="33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7"/>
        <v>0</v>
      </c>
      <c r="R118" s="89" t="e">
        <f t="shared" si="32"/>
        <v>#DIV/0!</v>
      </c>
      <c r="S118" s="15"/>
      <c r="T118" s="62">
        <f t="shared" si="38"/>
        <v>0</v>
      </c>
      <c r="U118" s="62">
        <f t="shared" si="33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>SUM(E119:P119)</f>
        <v>0</v>
      </c>
      <c r="R119" s="89" t="e">
        <f>AVERAGE(E119:P119)</f>
        <v>#DIV/0!</v>
      </c>
      <c r="S119" s="15"/>
      <c r="T119" s="62">
        <f t="shared" si="38"/>
        <v>0</v>
      </c>
      <c r="U119" s="62">
        <f t="shared" si="33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37"/>
        <v>0</v>
      </c>
      <c r="R120" s="89" t="e">
        <f t="shared" si="32"/>
        <v>#DIV/0!</v>
      </c>
      <c r="S120" s="15"/>
      <c r="T120" s="62">
        <f t="shared" si="38"/>
        <v>0</v>
      </c>
      <c r="U120" s="62">
        <f t="shared" si="33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40">SUM(C97:C120)</f>
        <v>12379.636</v>
      </c>
      <c r="D121" s="92">
        <f t="shared" si="40"/>
        <v>1696.0280000000002</v>
      </c>
      <c r="E121" s="93">
        <f t="shared" si="40"/>
        <v>580</v>
      </c>
      <c r="F121" s="93">
        <f t="shared" si="40"/>
        <v>580</v>
      </c>
      <c r="G121" s="93">
        <f t="shared" si="40"/>
        <v>580</v>
      </c>
      <c r="H121" s="93">
        <f t="shared" si="40"/>
        <v>580</v>
      </c>
      <c r="I121" s="93">
        <f t="shared" si="40"/>
        <v>580</v>
      </c>
      <c r="J121" s="93">
        <f t="shared" si="40"/>
        <v>580</v>
      </c>
      <c r="K121" s="93">
        <f t="shared" si="40"/>
        <v>590</v>
      </c>
      <c r="L121" s="93">
        <f t="shared" si="40"/>
        <v>590</v>
      </c>
      <c r="M121" s="93">
        <f t="shared" si="40"/>
        <v>590</v>
      </c>
      <c r="N121" s="93">
        <f t="shared" si="40"/>
        <v>590</v>
      </c>
      <c r="O121" s="93">
        <f t="shared" si="40"/>
        <v>590</v>
      </c>
      <c r="P121" s="93">
        <f t="shared" si="40"/>
        <v>590</v>
      </c>
      <c r="Q121" s="93">
        <f t="shared" si="40"/>
        <v>7020</v>
      </c>
      <c r="R121" s="94">
        <f>AVERAGE(E121:P121)</f>
        <v>585</v>
      </c>
      <c r="T121" s="96">
        <f t="shared" si="38"/>
        <v>3.2119067855236903E-2</v>
      </c>
      <c r="U121" s="96">
        <f t="shared" si="33"/>
        <v>-0.43293970840499674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>SUM(E123:P123)</f>
        <v>0</v>
      </c>
      <c r="R123" s="89" t="e">
        <f t="shared" si="32"/>
        <v>#DIV/0!</v>
      </c>
      <c r="S123" s="15"/>
      <c r="T123" s="62">
        <f t="shared" si="38"/>
        <v>0</v>
      </c>
      <c r="U123" s="62">
        <f t="shared" si="33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1">SUM(C123:C123)</f>
        <v>0</v>
      </c>
      <c r="D124" s="92">
        <f t="shared" si="41"/>
        <v>0</v>
      </c>
      <c r="E124" s="93">
        <f t="shared" si="41"/>
        <v>0</v>
      </c>
      <c r="F124" s="93">
        <f t="shared" si="41"/>
        <v>0</v>
      </c>
      <c r="G124" s="93">
        <f t="shared" si="41"/>
        <v>0</v>
      </c>
      <c r="H124" s="93">
        <f t="shared" si="41"/>
        <v>0</v>
      </c>
      <c r="I124" s="93">
        <f t="shared" si="41"/>
        <v>0</v>
      </c>
      <c r="J124" s="93">
        <f t="shared" si="41"/>
        <v>0</v>
      </c>
      <c r="K124" s="93">
        <f t="shared" si="41"/>
        <v>0</v>
      </c>
      <c r="L124" s="93">
        <f t="shared" si="41"/>
        <v>0</v>
      </c>
      <c r="M124" s="93">
        <f t="shared" si="41"/>
        <v>0</v>
      </c>
      <c r="N124" s="93">
        <f t="shared" si="41"/>
        <v>0</v>
      </c>
      <c r="O124" s="93">
        <f t="shared" si="41"/>
        <v>0</v>
      </c>
      <c r="P124" s="93">
        <f t="shared" si="41"/>
        <v>0</v>
      </c>
      <c r="Q124" s="93">
        <f t="shared" si="41"/>
        <v>0</v>
      </c>
      <c r="R124" s="94">
        <f t="shared" si="32"/>
        <v>0</v>
      </c>
      <c r="T124" s="96">
        <f t="shared" si="38"/>
        <v>0</v>
      </c>
      <c r="U124" s="96">
        <f t="shared" si="33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f>5950/10*12</f>
        <v>7140</v>
      </c>
      <c r="D126" s="57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2"/>
        <v>#DIV/0!</v>
      </c>
      <c r="S126" s="15"/>
      <c r="T126" s="62">
        <f t="shared" si="38"/>
        <v>0</v>
      </c>
      <c r="U126" s="62">
        <f t="shared" si="33"/>
        <v>-1</v>
      </c>
    </row>
    <row r="127" spans="1:21" x14ac:dyDescent="0.25">
      <c r="A127" s="63" t="s">
        <v>142</v>
      </c>
      <c r="B127" s="15"/>
      <c r="C127" s="137">
        <f t="shared" ref="C127:Q127" si="42">SUM(C126:C126)</f>
        <v>7140</v>
      </c>
      <c r="D127" s="138">
        <f t="shared" si="42"/>
        <v>0</v>
      </c>
      <c r="E127" s="139">
        <f t="shared" si="42"/>
        <v>0</v>
      </c>
      <c r="F127" s="139">
        <f t="shared" si="42"/>
        <v>0</v>
      </c>
      <c r="G127" s="139">
        <f t="shared" si="42"/>
        <v>0</v>
      </c>
      <c r="H127" s="139">
        <f t="shared" si="42"/>
        <v>0</v>
      </c>
      <c r="I127" s="139">
        <f t="shared" si="42"/>
        <v>0</v>
      </c>
      <c r="J127" s="139">
        <f t="shared" si="42"/>
        <v>0</v>
      </c>
      <c r="K127" s="139">
        <f t="shared" si="42"/>
        <v>0</v>
      </c>
      <c r="L127" s="139">
        <f t="shared" si="42"/>
        <v>0</v>
      </c>
      <c r="M127" s="139">
        <f t="shared" si="42"/>
        <v>0</v>
      </c>
      <c r="N127" s="139">
        <f t="shared" si="42"/>
        <v>0</v>
      </c>
      <c r="O127" s="139">
        <f t="shared" si="42"/>
        <v>0</v>
      </c>
      <c r="P127" s="139">
        <f t="shared" si="42"/>
        <v>0</v>
      </c>
      <c r="Q127" s="139">
        <f t="shared" si="42"/>
        <v>0</v>
      </c>
      <c r="R127" s="140">
        <f t="shared" si="32"/>
        <v>0</v>
      </c>
      <c r="T127" s="141">
        <f t="shared" si="38"/>
        <v>0</v>
      </c>
      <c r="U127" s="141">
        <f t="shared" si="33"/>
        <v>-1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3">C124+C121+C90+C82+C73+C62+C48+C95+C76+C127</f>
        <v>19854.124</v>
      </c>
      <c r="D128" s="72">
        <f t="shared" si="43"/>
        <v>1723.9020000000003</v>
      </c>
      <c r="E128" s="73">
        <f t="shared" si="43"/>
        <v>580</v>
      </c>
      <c r="F128" s="73">
        <f t="shared" si="43"/>
        <v>580</v>
      </c>
      <c r="G128" s="73">
        <f t="shared" si="43"/>
        <v>580</v>
      </c>
      <c r="H128" s="73">
        <f t="shared" si="43"/>
        <v>580</v>
      </c>
      <c r="I128" s="73">
        <f t="shared" si="43"/>
        <v>580</v>
      </c>
      <c r="J128" s="73">
        <f t="shared" si="43"/>
        <v>580</v>
      </c>
      <c r="K128" s="73">
        <f t="shared" si="43"/>
        <v>590</v>
      </c>
      <c r="L128" s="73">
        <f t="shared" si="43"/>
        <v>590</v>
      </c>
      <c r="M128" s="73">
        <f t="shared" si="43"/>
        <v>590</v>
      </c>
      <c r="N128" s="73">
        <f t="shared" si="43"/>
        <v>590</v>
      </c>
      <c r="O128" s="73">
        <f t="shared" si="43"/>
        <v>590</v>
      </c>
      <c r="P128" s="73">
        <f t="shared" si="43"/>
        <v>590</v>
      </c>
      <c r="Q128" s="73">
        <f t="shared" si="43"/>
        <v>7020</v>
      </c>
      <c r="R128" s="74">
        <f t="shared" si="32"/>
        <v>585</v>
      </c>
      <c r="T128" s="76">
        <f t="shared" si="38"/>
        <v>3.2119067855236903E-2</v>
      </c>
      <c r="U128" s="76">
        <f t="shared" si="33"/>
        <v>-0.64642106597097915</v>
      </c>
    </row>
    <row r="129" spans="1:21" x14ac:dyDescent="0.25">
      <c r="A129" s="78" t="s">
        <v>144</v>
      </c>
      <c r="B129" t="s">
        <v>48</v>
      </c>
      <c r="C129" s="79">
        <f t="shared" ref="C129:Q129" si="44">C34-C128</f>
        <v>210783.21600000001</v>
      </c>
      <c r="D129" s="80">
        <f t="shared" si="44"/>
        <v>17495.876333333334</v>
      </c>
      <c r="E129" s="81">
        <f t="shared" si="44"/>
        <v>17633.480000000003</v>
      </c>
      <c r="F129" s="81">
        <f t="shared" si="44"/>
        <v>17633.480000000003</v>
      </c>
      <c r="G129" s="81">
        <f t="shared" si="44"/>
        <v>17633.480000000003</v>
      </c>
      <c r="H129" s="81">
        <f t="shared" si="44"/>
        <v>17633.480000000003</v>
      </c>
      <c r="I129" s="81">
        <f t="shared" si="44"/>
        <v>17633.480000000003</v>
      </c>
      <c r="J129" s="81">
        <f t="shared" si="44"/>
        <v>17633.480000000003</v>
      </c>
      <c r="K129" s="81">
        <f t="shared" si="44"/>
        <v>17623.480000000003</v>
      </c>
      <c r="L129" s="81">
        <f t="shared" si="44"/>
        <v>17623.480000000003</v>
      </c>
      <c r="M129" s="81">
        <f t="shared" si="44"/>
        <v>17623.480000000003</v>
      </c>
      <c r="N129" s="81">
        <f t="shared" si="44"/>
        <v>17623.480000000003</v>
      </c>
      <c r="O129" s="81">
        <f t="shared" si="44"/>
        <v>17623.480000000003</v>
      </c>
      <c r="P129" s="81">
        <f t="shared" si="44"/>
        <v>17623.480000000003</v>
      </c>
      <c r="Q129" s="81">
        <f t="shared" si="44"/>
        <v>211541.75999999989</v>
      </c>
      <c r="R129" s="82">
        <f t="shared" si="32"/>
        <v>17628.480000000007</v>
      </c>
      <c r="T129" s="31">
        <f t="shared" si="38"/>
        <v>0.96788093214476312</v>
      </c>
      <c r="U129" s="31">
        <f t="shared" si="33"/>
        <v>3.5986926017860833E-3</v>
      </c>
    </row>
    <row r="130" spans="1:21" x14ac:dyDescent="0.25">
      <c r="A130" s="78" t="s">
        <v>145</v>
      </c>
      <c r="B130" t="s">
        <v>48</v>
      </c>
      <c r="C130" s="339">
        <f t="shared" ref="C130:Q130" si="45">IFERROR(C129/C34,0)</f>
        <v>0.91391626351569955</v>
      </c>
      <c r="D130" s="340">
        <f t="shared" si="45"/>
        <v>0.91030583339193893</v>
      </c>
      <c r="E130" s="341">
        <f t="shared" si="45"/>
        <v>0.96815545409224379</v>
      </c>
      <c r="F130" s="341">
        <f t="shared" si="45"/>
        <v>0.96815545409224379</v>
      </c>
      <c r="G130" s="341">
        <f t="shared" si="45"/>
        <v>0.96815545409224379</v>
      </c>
      <c r="H130" s="341">
        <f t="shared" si="45"/>
        <v>0.96815545409224379</v>
      </c>
      <c r="I130" s="341">
        <f t="shared" si="45"/>
        <v>0.96815545409224379</v>
      </c>
      <c r="J130" s="341">
        <f t="shared" si="45"/>
        <v>0.96815545409224379</v>
      </c>
      <c r="K130" s="341">
        <f t="shared" si="45"/>
        <v>0.96760641019728244</v>
      </c>
      <c r="L130" s="341">
        <f t="shared" si="45"/>
        <v>0.96760641019728244</v>
      </c>
      <c r="M130" s="341">
        <f t="shared" si="45"/>
        <v>0.96760641019728244</v>
      </c>
      <c r="N130" s="341">
        <f t="shared" si="45"/>
        <v>0.96760641019728244</v>
      </c>
      <c r="O130" s="341">
        <f t="shared" si="45"/>
        <v>0.96760641019728244</v>
      </c>
      <c r="P130" s="341">
        <f t="shared" si="45"/>
        <v>0.96760641019728244</v>
      </c>
      <c r="Q130" s="341">
        <f t="shared" si="45"/>
        <v>0.96788093214476312</v>
      </c>
      <c r="R130" s="342">
        <f t="shared" si="32"/>
        <v>0.96788093214476312</v>
      </c>
      <c r="T130" s="31"/>
      <c r="U130" s="31">
        <f>IFERROR((Q130-C130)/C130,0)</f>
        <v>5.904771671473439E-2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6">AVERAGE(E132:P132)</f>
        <v>#DIV/0!</v>
      </c>
      <c r="S132" s="15"/>
      <c r="T132" s="62">
        <f t="shared" si="38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6"/>
        <v>#DIV/0!</v>
      </c>
      <c r="S133" s="15"/>
      <c r="T133" s="62">
        <f t="shared" si="38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7">SUM(C132:C133)</f>
        <v>0</v>
      </c>
      <c r="D134" s="138">
        <f t="shared" si="47"/>
        <v>0</v>
      </c>
      <c r="E134" s="139">
        <f>SUM(E132:E133)</f>
        <v>0</v>
      </c>
      <c r="F134" s="139">
        <f t="shared" ref="F134:Q134" si="48">SUM(F132:F133)</f>
        <v>0</v>
      </c>
      <c r="G134" s="139">
        <f t="shared" si="48"/>
        <v>0</v>
      </c>
      <c r="H134" s="139">
        <f t="shared" si="48"/>
        <v>0</v>
      </c>
      <c r="I134" s="139">
        <f t="shared" si="48"/>
        <v>0</v>
      </c>
      <c r="J134" s="139">
        <f t="shared" si="48"/>
        <v>0</v>
      </c>
      <c r="K134" s="139">
        <f t="shared" si="48"/>
        <v>0</v>
      </c>
      <c r="L134" s="139">
        <f t="shared" si="48"/>
        <v>0</v>
      </c>
      <c r="M134" s="139">
        <f t="shared" si="48"/>
        <v>0</v>
      </c>
      <c r="N134" s="139">
        <f t="shared" si="48"/>
        <v>0</v>
      </c>
      <c r="O134" s="139">
        <f t="shared" si="48"/>
        <v>0</v>
      </c>
      <c r="P134" s="139">
        <f t="shared" si="48"/>
        <v>0</v>
      </c>
      <c r="Q134" s="139">
        <f t="shared" si="48"/>
        <v>0</v>
      </c>
      <c r="R134" s="140">
        <f>AVERAGE(E134:P134)</f>
        <v>0</v>
      </c>
      <c r="T134" s="141">
        <f t="shared" si="38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49">C134+C128</f>
        <v>19854.124</v>
      </c>
      <c r="D135" s="72">
        <f t="shared" si="49"/>
        <v>1723.9020000000003</v>
      </c>
      <c r="E135" s="73">
        <f>E134+E128</f>
        <v>580</v>
      </c>
      <c r="F135" s="73">
        <f t="shared" ref="F135:P135" si="50">F134+F128</f>
        <v>580</v>
      </c>
      <c r="G135" s="73">
        <f t="shared" si="50"/>
        <v>580</v>
      </c>
      <c r="H135" s="73">
        <f t="shared" si="50"/>
        <v>580</v>
      </c>
      <c r="I135" s="73">
        <f t="shared" si="50"/>
        <v>580</v>
      </c>
      <c r="J135" s="73">
        <f t="shared" si="50"/>
        <v>580</v>
      </c>
      <c r="K135" s="73">
        <f t="shared" si="50"/>
        <v>590</v>
      </c>
      <c r="L135" s="73">
        <f t="shared" si="50"/>
        <v>590</v>
      </c>
      <c r="M135" s="73">
        <f t="shared" si="50"/>
        <v>590</v>
      </c>
      <c r="N135" s="73">
        <f t="shared" si="50"/>
        <v>590</v>
      </c>
      <c r="O135" s="73">
        <f t="shared" si="50"/>
        <v>590</v>
      </c>
      <c r="P135" s="73">
        <f t="shared" si="50"/>
        <v>590</v>
      </c>
      <c r="Q135" s="73">
        <f>Q134+Q128</f>
        <v>7020</v>
      </c>
      <c r="R135" s="74">
        <f t="shared" si="46"/>
        <v>585</v>
      </c>
      <c r="T135" s="76">
        <f t="shared" si="38"/>
        <v>3.2119067855236903E-2</v>
      </c>
      <c r="U135" s="76">
        <f t="shared" si="33"/>
        <v>-0.64642106597097915</v>
      </c>
    </row>
    <row r="136" spans="1:21" x14ac:dyDescent="0.25">
      <c r="A136" s="78" t="s">
        <v>151</v>
      </c>
      <c r="C136" s="79">
        <f t="shared" ref="C136:Q136" si="51">C34-C135</f>
        <v>210783.21600000001</v>
      </c>
      <c r="D136" s="80">
        <f t="shared" si="51"/>
        <v>17495.876333333334</v>
      </c>
      <c r="E136" s="81">
        <f t="shared" si="51"/>
        <v>17633.480000000003</v>
      </c>
      <c r="F136" s="81">
        <f t="shared" si="51"/>
        <v>17633.480000000003</v>
      </c>
      <c r="G136" s="81">
        <f t="shared" si="51"/>
        <v>17633.480000000003</v>
      </c>
      <c r="H136" s="81">
        <f t="shared" si="51"/>
        <v>17633.480000000003</v>
      </c>
      <c r="I136" s="81">
        <f t="shared" si="51"/>
        <v>17633.480000000003</v>
      </c>
      <c r="J136" s="81">
        <f t="shared" si="51"/>
        <v>17633.480000000003</v>
      </c>
      <c r="K136" s="81">
        <f t="shared" si="51"/>
        <v>17623.480000000003</v>
      </c>
      <c r="L136" s="81">
        <f t="shared" si="51"/>
        <v>17623.480000000003</v>
      </c>
      <c r="M136" s="81">
        <f t="shared" si="51"/>
        <v>17623.480000000003</v>
      </c>
      <c r="N136" s="81">
        <f t="shared" si="51"/>
        <v>17623.480000000003</v>
      </c>
      <c r="O136" s="81">
        <f t="shared" si="51"/>
        <v>17623.480000000003</v>
      </c>
      <c r="P136" s="81">
        <f t="shared" si="51"/>
        <v>17623.480000000003</v>
      </c>
      <c r="Q136" s="81">
        <f t="shared" si="51"/>
        <v>211541.75999999989</v>
      </c>
      <c r="R136" s="82">
        <f>AVERAGE(E136:P136)</f>
        <v>17628.480000000007</v>
      </c>
      <c r="T136" s="31">
        <f>Q136/$Q$34</f>
        <v>0.96788093214476312</v>
      </c>
      <c r="U136" s="31">
        <f t="shared" si="33"/>
        <v>3.5986926017860833E-3</v>
      </c>
    </row>
    <row r="137" spans="1:21" ht="15.75" thickBot="1" x14ac:dyDescent="0.3">
      <c r="A137" s="78" t="s">
        <v>152</v>
      </c>
      <c r="C137" s="344">
        <f>IFERROR(C136/C34,"")</f>
        <v>0.91391626351569955</v>
      </c>
      <c r="D137" s="345">
        <f>IFERROR(D136/D34,"")</f>
        <v>0.91030583339193893</v>
      </c>
      <c r="E137" s="341">
        <f t="shared" ref="E137:Q137" si="52">E136/E34</f>
        <v>0.96815545409224379</v>
      </c>
      <c r="F137" s="341">
        <f t="shared" si="52"/>
        <v>0.96815545409224379</v>
      </c>
      <c r="G137" s="341">
        <f t="shared" si="52"/>
        <v>0.96815545409224379</v>
      </c>
      <c r="H137" s="341">
        <f t="shared" si="52"/>
        <v>0.96815545409224379</v>
      </c>
      <c r="I137" s="341">
        <f t="shared" si="52"/>
        <v>0.96815545409224379</v>
      </c>
      <c r="J137" s="341">
        <f t="shared" si="52"/>
        <v>0.96815545409224379</v>
      </c>
      <c r="K137" s="341">
        <f t="shared" si="52"/>
        <v>0.96760641019728244</v>
      </c>
      <c r="L137" s="341">
        <f t="shared" si="52"/>
        <v>0.96760641019728244</v>
      </c>
      <c r="M137" s="341">
        <f t="shared" si="52"/>
        <v>0.96760641019728244</v>
      </c>
      <c r="N137" s="341">
        <f t="shared" si="52"/>
        <v>0.96760641019728244</v>
      </c>
      <c r="O137" s="341">
        <f t="shared" si="52"/>
        <v>0.96760641019728244</v>
      </c>
      <c r="P137" s="341">
        <f t="shared" si="52"/>
        <v>0.96760641019728244</v>
      </c>
      <c r="Q137" s="341">
        <f t="shared" si="52"/>
        <v>0.96788093214476312</v>
      </c>
      <c r="R137" s="346">
        <f t="shared" si="46"/>
        <v>0.96788093214476312</v>
      </c>
      <c r="T137" s="181"/>
      <c r="U137" s="181">
        <f t="shared" si="33"/>
        <v>5.904771671473439E-2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DAAE-D935-4475-BA55-8AC413647203}">
  <dimension ref="A1:AA137"/>
  <sheetViews>
    <sheetView topLeftCell="C1" workbookViewId="0">
      <selection activeCell="AB23" sqref="AB23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1.42578125" customWidth="1"/>
    <col min="20" max="20" width="10" bestFit="1" customWidth="1"/>
    <col min="21" max="21" width="11.85546875" customWidth="1"/>
    <col min="24" max="24" width="11.85546875" customWidth="1"/>
    <col min="25" max="25" width="15.42578125" customWidth="1"/>
    <col min="26" max="26" width="15.5703125" customWidth="1"/>
    <col min="27" max="27" width="15.28515625" customWidth="1"/>
  </cols>
  <sheetData>
    <row r="1" spans="1:27" ht="18" x14ac:dyDescent="0.25">
      <c r="A1" s="401" t="s">
        <v>376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7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7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7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7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7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7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7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7" x14ac:dyDescent="0.25">
      <c r="A9" s="25"/>
      <c r="B9" s="15" t="s">
        <v>24</v>
      </c>
      <c r="C9" s="16">
        <v>18.792000000000002</v>
      </c>
      <c r="D9" s="17">
        <v>1.5660000000000001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9">
        <f t="shared" si="0"/>
        <v>24</v>
      </c>
      <c r="R9" s="20">
        <f t="shared" si="1"/>
        <v>2</v>
      </c>
      <c r="S9" s="15"/>
      <c r="T9" s="21"/>
      <c r="U9" s="22">
        <f t="shared" si="2"/>
        <v>0.27713920817369081</v>
      </c>
    </row>
    <row r="10" spans="1:27" x14ac:dyDescent="0.25">
      <c r="A10" s="15"/>
      <c r="B10" s="15" t="s">
        <v>25</v>
      </c>
      <c r="C10" s="16">
        <v>73.104000000000013</v>
      </c>
      <c r="D10" s="17">
        <v>6.0920000000000005</v>
      </c>
      <c r="E10" s="18">
        <v>7</v>
      </c>
      <c r="F10" s="18">
        <v>7</v>
      </c>
      <c r="G10" s="18">
        <v>7</v>
      </c>
      <c r="H10" s="18">
        <v>7</v>
      </c>
      <c r="I10" s="18">
        <v>7</v>
      </c>
      <c r="J10" s="18">
        <v>7</v>
      </c>
      <c r="K10" s="18">
        <v>7</v>
      </c>
      <c r="L10" s="18">
        <v>7</v>
      </c>
      <c r="M10" s="18">
        <v>7</v>
      </c>
      <c r="N10" s="18">
        <v>7</v>
      </c>
      <c r="O10" s="18">
        <v>7</v>
      </c>
      <c r="P10" s="18">
        <v>7</v>
      </c>
      <c r="Q10" s="19">
        <f t="shared" si="0"/>
        <v>84</v>
      </c>
      <c r="R10" s="20">
        <f t="shared" si="1"/>
        <v>7</v>
      </c>
      <c r="S10" s="15"/>
      <c r="T10" s="21"/>
      <c r="U10" s="22">
        <f t="shared" si="2"/>
        <v>0.14904793171372271</v>
      </c>
    </row>
    <row r="11" spans="1:27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>AVERAGE(E11:P11)</f>
        <v>#DIV/0!</v>
      </c>
      <c r="S11" s="15"/>
      <c r="T11" s="21"/>
      <c r="U11" s="22">
        <f t="shared" si="2"/>
        <v>0</v>
      </c>
    </row>
    <row r="12" spans="1:27" x14ac:dyDescent="0.25">
      <c r="A12" s="15"/>
      <c r="B12" s="15" t="s">
        <v>27</v>
      </c>
      <c r="C12" s="16">
        <v>1.8599999999999999</v>
      </c>
      <c r="D12" s="17">
        <v>0.155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9">
        <f t="shared" si="0"/>
        <v>18</v>
      </c>
      <c r="R12" s="20">
        <f>AVERAGE(E12:P12)</f>
        <v>1.5</v>
      </c>
      <c r="S12" s="15"/>
      <c r="T12" s="21"/>
      <c r="U12" s="22">
        <f t="shared" si="2"/>
        <v>8.67741935483871</v>
      </c>
    </row>
    <row r="13" spans="1:27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>AVERAGE(E13:P13)</f>
        <v>#DIV/0!</v>
      </c>
      <c r="S13" s="15"/>
      <c r="T13" s="21"/>
      <c r="U13" s="22">
        <f t="shared" si="2"/>
        <v>0</v>
      </c>
    </row>
    <row r="14" spans="1:27" x14ac:dyDescent="0.25">
      <c r="A14" s="25"/>
      <c r="B14" s="15" t="s">
        <v>29</v>
      </c>
      <c r="C14" s="26">
        <f>SUM(C7:C13)</f>
        <v>93.756000000000014</v>
      </c>
      <c r="D14" s="27">
        <f t="shared" ref="D14:Q14" si="3">SUM(D7:D13)</f>
        <v>7.8130000000000006</v>
      </c>
      <c r="E14" s="28">
        <f t="shared" si="3"/>
        <v>10</v>
      </c>
      <c r="F14" s="28">
        <f t="shared" si="3"/>
        <v>10</v>
      </c>
      <c r="G14" s="28">
        <f t="shared" si="3"/>
        <v>10</v>
      </c>
      <c r="H14" s="28">
        <f t="shared" si="3"/>
        <v>10</v>
      </c>
      <c r="I14" s="28">
        <f t="shared" si="3"/>
        <v>10</v>
      </c>
      <c r="J14" s="28">
        <f t="shared" si="3"/>
        <v>10</v>
      </c>
      <c r="K14" s="28">
        <f t="shared" si="3"/>
        <v>11</v>
      </c>
      <c r="L14" s="28">
        <f t="shared" si="3"/>
        <v>11</v>
      </c>
      <c r="M14" s="28">
        <f t="shared" si="3"/>
        <v>11</v>
      </c>
      <c r="N14" s="28">
        <f t="shared" si="3"/>
        <v>11</v>
      </c>
      <c r="O14" s="28">
        <f t="shared" si="3"/>
        <v>11</v>
      </c>
      <c r="P14" s="28">
        <f t="shared" si="3"/>
        <v>11</v>
      </c>
      <c r="Q14" s="28">
        <f t="shared" si="3"/>
        <v>126</v>
      </c>
      <c r="R14" s="29">
        <f>AVERAGE(E14:P14)</f>
        <v>10.5</v>
      </c>
      <c r="T14" s="30"/>
      <c r="U14" s="31">
        <f>IFERROR((Q14-C14)/C14,0)</f>
        <v>0.3439139895046715</v>
      </c>
    </row>
    <row r="15" spans="1:27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7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X16"/>
      <c r="Y16"/>
      <c r="Z16"/>
      <c r="AA16"/>
    </row>
    <row r="17" spans="1:27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X17"/>
      <c r="Y17"/>
      <c r="Z17"/>
      <c r="AA17"/>
    </row>
    <row r="18" spans="1:27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4"/>
        <v/>
      </c>
      <c r="X18"/>
      <c r="Y18"/>
      <c r="Z18"/>
      <c r="AA18"/>
    </row>
    <row r="19" spans="1:27" s="44" customFormat="1" x14ac:dyDescent="0.25">
      <c r="B19" s="15" t="s">
        <v>34</v>
      </c>
      <c r="C19" s="40"/>
      <c r="D19" s="41"/>
      <c r="E19" s="42">
        <v>180</v>
      </c>
      <c r="F19" s="42">
        <v>180</v>
      </c>
      <c r="G19" s="42">
        <v>180</v>
      </c>
      <c r="H19" s="42">
        <v>180</v>
      </c>
      <c r="I19" s="42">
        <v>180</v>
      </c>
      <c r="J19" s="42">
        <v>180</v>
      </c>
      <c r="K19" s="42">
        <v>180</v>
      </c>
      <c r="L19" s="42">
        <v>180</v>
      </c>
      <c r="M19" s="42">
        <v>180</v>
      </c>
      <c r="N19" s="42">
        <v>180</v>
      </c>
      <c r="O19" s="42">
        <v>180</v>
      </c>
      <c r="P19" s="42">
        <v>180</v>
      </c>
      <c r="Q19" s="42">
        <f>AVERAGE(E19:P19)</f>
        <v>180</v>
      </c>
      <c r="R19" s="43">
        <f t="shared" si="1"/>
        <v>180</v>
      </c>
      <c r="S19" s="15"/>
      <c r="T19" s="21"/>
      <c r="U19" s="22" t="str">
        <f t="shared" si="4"/>
        <v/>
      </c>
      <c r="X19"/>
      <c r="Y19"/>
      <c r="Z19"/>
      <c r="AA19"/>
    </row>
    <row r="20" spans="1:27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4"/>
        <v/>
      </c>
      <c r="X20"/>
      <c r="Y20"/>
      <c r="Z20"/>
      <c r="AA20"/>
    </row>
    <row r="21" spans="1:27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4"/>
        <v/>
      </c>
      <c r="X21"/>
      <c r="Y21"/>
      <c r="Z21"/>
      <c r="AA21"/>
    </row>
    <row r="22" spans="1:27" s="44" customFormat="1" x14ac:dyDescent="0.25">
      <c r="B22" s="15"/>
      <c r="C22" s="46"/>
      <c r="D22" s="47"/>
      <c r="E22" s="42"/>
      <c r="R22" s="48"/>
      <c r="S22" s="49"/>
      <c r="T22" s="50"/>
      <c r="U22" s="50"/>
      <c r="X22"/>
      <c r="Y22"/>
      <c r="Z22"/>
      <c r="AA22"/>
    </row>
    <row r="23" spans="1:27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7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15"/>
    </row>
    <row r="25" spans="1:27" x14ac:dyDescent="0.25">
      <c r="A25" s="25"/>
      <c r="B25" s="15" t="s">
        <v>39</v>
      </c>
      <c r="C25" s="56">
        <v>0</v>
      </c>
      <c r="D25" s="57">
        <f t="shared" ref="D25:D29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6"/>
        <v>0</v>
      </c>
      <c r="V25" s="15"/>
    </row>
    <row r="26" spans="1:27" x14ac:dyDescent="0.25">
      <c r="A26" s="25"/>
      <c r="B26" s="15" t="s">
        <v>40</v>
      </c>
      <c r="C26" s="56">
        <v>280040.82</v>
      </c>
      <c r="D26" s="57">
        <f t="shared" si="7"/>
        <v>23336.735000000001</v>
      </c>
      <c r="E26" s="58">
        <f>(((E9*E18)*21.75)+(((E10*E19)*13.08)+(((E11*E20)*4.33))))</f>
        <v>29530.799999999999</v>
      </c>
      <c r="F26" s="58">
        <f t="shared" ref="F26:O26" si="8">(((F9*F18)*21.75)+(((F10*F19)*13.08)+(((F11*F20)*4.33))))</f>
        <v>29530.799999999999</v>
      </c>
      <c r="G26" s="58">
        <f t="shared" si="8"/>
        <v>29530.799999999999</v>
      </c>
      <c r="H26" s="58">
        <f t="shared" si="8"/>
        <v>29530.799999999999</v>
      </c>
      <c r="I26" s="58">
        <f t="shared" si="8"/>
        <v>29530.799999999999</v>
      </c>
      <c r="J26" s="58">
        <f t="shared" si="8"/>
        <v>29530.799999999999</v>
      </c>
      <c r="K26" s="58">
        <f t="shared" si="8"/>
        <v>29530.799999999999</v>
      </c>
      <c r="L26" s="58">
        <f t="shared" si="8"/>
        <v>29530.799999999999</v>
      </c>
      <c r="M26" s="58">
        <f t="shared" si="8"/>
        <v>29530.799999999999</v>
      </c>
      <c r="N26" s="58">
        <f t="shared" si="8"/>
        <v>29530.799999999999</v>
      </c>
      <c r="O26" s="58">
        <f t="shared" si="8"/>
        <v>29530.799999999999</v>
      </c>
      <c r="P26" s="58">
        <f>(((P9*P18)*21.75)+(((P10*P19)*13.08)+(((P11*P20)*4.33))))</f>
        <v>29530.799999999999</v>
      </c>
      <c r="Q26" s="59">
        <f>SUM(E26:P26)</f>
        <v>354369.59999999992</v>
      </c>
      <c r="R26" s="60">
        <f>AVERAGE(E26:P26)</f>
        <v>29530.799999999992</v>
      </c>
      <c r="S26" s="15"/>
      <c r="T26" s="61"/>
      <c r="U26" s="62">
        <f t="shared" si="6"/>
        <v>0.26542123394725065</v>
      </c>
      <c r="V26" s="15"/>
    </row>
    <row r="27" spans="1:27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>AVERAGE(E27:P27)</f>
        <v>0</v>
      </c>
      <c r="S27" s="15"/>
      <c r="T27" s="61"/>
      <c r="U27" s="62">
        <f t="shared" si="6"/>
        <v>0</v>
      </c>
      <c r="V27" s="15"/>
    </row>
    <row r="28" spans="1:27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9"/>
        <v>0</v>
      </c>
      <c r="L28" s="58">
        <f t="shared" si="9"/>
        <v>0</v>
      </c>
      <c r="M28" s="58">
        <f t="shared" si="9"/>
        <v>0</v>
      </c>
      <c r="N28" s="58">
        <f t="shared" si="9"/>
        <v>0</v>
      </c>
      <c r="O28" s="58">
        <f t="shared" si="9"/>
        <v>0</v>
      </c>
      <c r="P28" s="58">
        <f t="shared" si="9"/>
        <v>0</v>
      </c>
      <c r="Q28" s="59">
        <f>SUM(E28:P28)</f>
        <v>0</v>
      </c>
      <c r="R28" s="60">
        <f>AVERAGE(E28:P28)</f>
        <v>0</v>
      </c>
      <c r="S28" s="15"/>
      <c r="T28" s="61"/>
      <c r="U28" s="62">
        <f t="shared" si="6"/>
        <v>0</v>
      </c>
      <c r="V28" s="15"/>
    </row>
    <row r="29" spans="1:27" x14ac:dyDescent="0.25">
      <c r="A29" s="63" t="s">
        <v>43</v>
      </c>
      <c r="B29" s="15"/>
      <c r="C29" s="64">
        <f>SUM(C24:C28)</f>
        <v>280040.82</v>
      </c>
      <c r="D29" s="57">
        <f t="shared" si="7"/>
        <v>23336.735000000001</v>
      </c>
      <c r="E29" s="66">
        <f t="shared" ref="E29:Q29" si="10">SUM(E24:E28)</f>
        <v>29530.799999999999</v>
      </c>
      <c r="F29" s="66">
        <f t="shared" si="10"/>
        <v>29530.799999999999</v>
      </c>
      <c r="G29" s="66">
        <f t="shared" si="10"/>
        <v>29530.799999999999</v>
      </c>
      <c r="H29" s="66">
        <f t="shared" si="10"/>
        <v>29530.799999999999</v>
      </c>
      <c r="I29" s="66">
        <f t="shared" si="10"/>
        <v>29530.799999999999</v>
      </c>
      <c r="J29" s="66">
        <f t="shared" si="10"/>
        <v>29530.799999999999</v>
      </c>
      <c r="K29" s="66">
        <f t="shared" si="10"/>
        <v>29530.799999999999</v>
      </c>
      <c r="L29" s="66">
        <f t="shared" si="10"/>
        <v>29530.799999999999</v>
      </c>
      <c r="M29" s="66">
        <f t="shared" si="10"/>
        <v>29530.799999999999</v>
      </c>
      <c r="N29" s="66">
        <f t="shared" si="10"/>
        <v>29530.799999999999</v>
      </c>
      <c r="O29" s="66">
        <f t="shared" si="10"/>
        <v>29530.799999999999</v>
      </c>
      <c r="P29" s="66">
        <f t="shared" si="10"/>
        <v>29530.799999999999</v>
      </c>
      <c r="Q29" s="66">
        <f t="shared" si="10"/>
        <v>354369.59999999992</v>
      </c>
      <c r="R29" s="67">
        <f>AVERAGE(E29:P29)</f>
        <v>29530.799999999992</v>
      </c>
      <c r="T29" s="68"/>
      <c r="U29" s="69">
        <f t="shared" si="6"/>
        <v>0.26542123394725065</v>
      </c>
    </row>
    <row r="30" spans="1:27" x14ac:dyDescent="0.25">
      <c r="A30" s="15" t="s">
        <v>44</v>
      </c>
      <c r="B30" s="15"/>
      <c r="C30" s="64"/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T30" s="69"/>
      <c r="U30" s="69"/>
    </row>
    <row r="31" spans="1:27" x14ac:dyDescent="0.25">
      <c r="A31" s="63"/>
      <c r="B31" s="15" t="s">
        <v>45</v>
      </c>
      <c r="C31" s="56">
        <v>-212949.04</v>
      </c>
      <c r="D31" s="57">
        <f>C31/12</f>
        <v>-17745.753333333334</v>
      </c>
      <c r="E31" s="58">
        <f t="shared" ref="E31:P31" si="11">-E26*0.7</f>
        <v>-20671.559999999998</v>
      </c>
      <c r="F31" s="58">
        <f t="shared" si="11"/>
        <v>-20671.559999999998</v>
      </c>
      <c r="G31" s="58">
        <f t="shared" si="11"/>
        <v>-20671.559999999998</v>
      </c>
      <c r="H31" s="58">
        <f t="shared" si="11"/>
        <v>-20671.559999999998</v>
      </c>
      <c r="I31" s="58">
        <f t="shared" si="11"/>
        <v>-20671.559999999998</v>
      </c>
      <c r="J31" s="58">
        <f t="shared" si="11"/>
        <v>-20671.559999999998</v>
      </c>
      <c r="K31" s="58">
        <f t="shared" si="11"/>
        <v>-20671.559999999998</v>
      </c>
      <c r="L31" s="58">
        <f t="shared" si="11"/>
        <v>-20671.559999999998</v>
      </c>
      <c r="M31" s="58">
        <f t="shared" si="11"/>
        <v>-20671.559999999998</v>
      </c>
      <c r="N31" s="58">
        <f t="shared" si="11"/>
        <v>-20671.559999999998</v>
      </c>
      <c r="O31" s="58">
        <f t="shared" si="11"/>
        <v>-20671.559999999998</v>
      </c>
      <c r="P31" s="58">
        <f t="shared" si="11"/>
        <v>-20671.559999999998</v>
      </c>
      <c r="Q31" s="59">
        <f>SUM(E31:P31)</f>
        <v>-248058.71999999997</v>
      </c>
      <c r="R31" s="60">
        <f>AVERAGE(E31:P31)</f>
        <v>-20671.559999999998</v>
      </c>
      <c r="S31" s="15"/>
      <c r="T31" s="61"/>
      <c r="U31" s="62">
        <f t="shared" si="6"/>
        <v>0.16487362422483784</v>
      </c>
    </row>
    <row r="32" spans="1:27" x14ac:dyDescent="0.25">
      <c r="A32" s="63" t="s">
        <v>46</v>
      </c>
      <c r="B32" s="15"/>
      <c r="C32" s="64">
        <f t="shared" ref="C32:D32" si="12">SUM(C31)</f>
        <v>-212949.04</v>
      </c>
      <c r="D32" s="65">
        <f t="shared" si="12"/>
        <v>-17745.753333333334</v>
      </c>
      <c r="E32" s="66">
        <f>SUM(E31)</f>
        <v>-20671.559999999998</v>
      </c>
      <c r="F32" s="66">
        <f>SUM(F31)</f>
        <v>-20671.559999999998</v>
      </c>
      <c r="G32" s="66">
        <f t="shared" ref="G32:P32" si="13">SUM(G31)</f>
        <v>-20671.559999999998</v>
      </c>
      <c r="H32" s="66">
        <f t="shared" si="13"/>
        <v>-20671.559999999998</v>
      </c>
      <c r="I32" s="66">
        <f t="shared" si="13"/>
        <v>-20671.559999999998</v>
      </c>
      <c r="J32" s="66">
        <f t="shared" si="13"/>
        <v>-20671.559999999998</v>
      </c>
      <c r="K32" s="66">
        <f t="shared" si="13"/>
        <v>-20671.559999999998</v>
      </c>
      <c r="L32" s="66">
        <f t="shared" si="13"/>
        <v>-20671.559999999998</v>
      </c>
      <c r="M32" s="66">
        <f t="shared" si="13"/>
        <v>-20671.559999999998</v>
      </c>
      <c r="N32" s="66">
        <f t="shared" si="13"/>
        <v>-20671.559999999998</v>
      </c>
      <c r="O32" s="66">
        <f t="shared" si="13"/>
        <v>-20671.559999999998</v>
      </c>
      <c r="P32" s="66">
        <f t="shared" si="13"/>
        <v>-20671.559999999998</v>
      </c>
      <c r="Q32" s="66">
        <f>SUM(Q31)</f>
        <v>-248058.71999999997</v>
      </c>
      <c r="R32" s="67">
        <f>AVERAGE(E32:P32)</f>
        <v>-20671.559999999998</v>
      </c>
      <c r="T32" s="68"/>
      <c r="U32" s="69">
        <f t="shared" si="6"/>
        <v>0.16487362422483784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4">C29+C32</f>
        <v>67091.78</v>
      </c>
      <c r="D33" s="352">
        <f t="shared" si="14"/>
        <v>5590.9816666666666</v>
      </c>
      <c r="E33" s="353">
        <f>E29+E32</f>
        <v>8859.2400000000016</v>
      </c>
      <c r="F33" s="353">
        <f>F29+F32</f>
        <v>8859.2400000000016</v>
      </c>
      <c r="G33" s="353">
        <f t="shared" ref="G33:Q33" si="15">G29+G32</f>
        <v>8859.2400000000016</v>
      </c>
      <c r="H33" s="353">
        <f t="shared" si="15"/>
        <v>8859.2400000000016</v>
      </c>
      <c r="I33" s="353">
        <f t="shared" si="15"/>
        <v>8859.2400000000016</v>
      </c>
      <c r="J33" s="353">
        <f t="shared" si="15"/>
        <v>8859.2400000000016</v>
      </c>
      <c r="K33" s="353">
        <f t="shared" si="15"/>
        <v>8859.2400000000016</v>
      </c>
      <c r="L33" s="353">
        <f t="shared" si="15"/>
        <v>8859.2400000000016</v>
      </c>
      <c r="M33" s="353">
        <f t="shared" si="15"/>
        <v>8859.2400000000016</v>
      </c>
      <c r="N33" s="353">
        <f t="shared" si="15"/>
        <v>8859.2400000000016</v>
      </c>
      <c r="O33" s="353">
        <f t="shared" si="15"/>
        <v>8859.2400000000016</v>
      </c>
      <c r="P33" s="353">
        <f t="shared" si="15"/>
        <v>8859.2400000000016</v>
      </c>
      <c r="Q33" s="353">
        <f t="shared" si="15"/>
        <v>106310.87999999995</v>
      </c>
      <c r="R33" s="354">
        <f>AVERAGE(E33:P33)</f>
        <v>8859.2400000000034</v>
      </c>
      <c r="T33" s="75"/>
      <c r="U33" s="76">
        <f t="shared" si="6"/>
        <v>0.58455894298824607</v>
      </c>
    </row>
    <row r="34" spans="1:21" x14ac:dyDescent="0.25">
      <c r="A34" s="78" t="s">
        <v>49</v>
      </c>
      <c r="B34" t="s">
        <v>48</v>
      </c>
      <c r="C34" s="79">
        <f t="shared" ref="C34:D34" si="16">C33</f>
        <v>67091.78</v>
      </c>
      <c r="D34" s="80">
        <f t="shared" si="16"/>
        <v>5590.9816666666666</v>
      </c>
      <c r="E34" s="81">
        <f>E33</f>
        <v>8859.2400000000016</v>
      </c>
      <c r="F34" s="81">
        <f t="shared" ref="F34:Q34" si="17">F33</f>
        <v>8859.2400000000016</v>
      </c>
      <c r="G34" s="81">
        <f t="shared" si="17"/>
        <v>8859.2400000000016</v>
      </c>
      <c r="H34" s="81">
        <f t="shared" si="17"/>
        <v>8859.2400000000016</v>
      </c>
      <c r="I34" s="81">
        <f t="shared" si="17"/>
        <v>8859.2400000000016</v>
      </c>
      <c r="J34" s="81">
        <f t="shared" si="17"/>
        <v>8859.2400000000016</v>
      </c>
      <c r="K34" s="81">
        <f t="shared" si="17"/>
        <v>8859.2400000000016</v>
      </c>
      <c r="L34" s="81">
        <f t="shared" si="17"/>
        <v>8859.2400000000016</v>
      </c>
      <c r="M34" s="81">
        <f t="shared" si="17"/>
        <v>8859.2400000000016</v>
      </c>
      <c r="N34" s="81">
        <f t="shared" si="17"/>
        <v>8859.2400000000016</v>
      </c>
      <c r="O34" s="81">
        <f t="shared" si="17"/>
        <v>8859.2400000000016</v>
      </c>
      <c r="P34" s="81">
        <f t="shared" si="17"/>
        <v>8859.2400000000016</v>
      </c>
      <c r="Q34" s="81">
        <f t="shared" si="17"/>
        <v>106310.87999999995</v>
      </c>
      <c r="R34" s="82">
        <f t="shared" si="1"/>
        <v>8859.2400000000034</v>
      </c>
      <c r="T34" s="30"/>
      <c r="U34" s="31">
        <f t="shared" si="6"/>
        <v>0.58455894298824607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>AVERAGE(E37:P37)</f>
        <v>#DIV/0!</v>
      </c>
      <c r="S37" s="15"/>
      <c r="T37" s="62">
        <f>Q37/$Q$34</f>
        <v>0</v>
      </c>
      <c r="U37" s="62">
        <f t="shared" si="6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8">SUM(E38:P38)</f>
        <v>0</v>
      </c>
      <c r="R38" s="89" t="e">
        <f t="shared" si="1"/>
        <v>#DIV/0!</v>
      </c>
      <c r="S38" s="15"/>
      <c r="T38" s="62">
        <f t="shared" ref="T38:T102" si="19">Q38/$Q$34</f>
        <v>0</v>
      </c>
      <c r="U38" s="62">
        <f t="shared" si="6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8"/>
        <v>0</v>
      </c>
      <c r="R39" s="89" t="e">
        <f t="shared" si="1"/>
        <v>#DIV/0!</v>
      </c>
      <c r="S39" s="15"/>
      <c r="T39" s="62">
        <f t="shared" si="19"/>
        <v>0</v>
      </c>
      <c r="U39" s="62">
        <f t="shared" si="6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8"/>
        <v>0</v>
      </c>
      <c r="R40" s="89" t="e">
        <f t="shared" si="1"/>
        <v>#DIV/0!</v>
      </c>
      <c r="S40" s="15"/>
      <c r="T40" s="62">
        <f t="shared" si="19"/>
        <v>0</v>
      </c>
      <c r="U40" s="62">
        <f t="shared" si="6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8"/>
        <v>0</v>
      </c>
      <c r="R41" s="89" t="e">
        <f t="shared" si="1"/>
        <v>#DIV/0!</v>
      </c>
      <c r="S41" s="15"/>
      <c r="T41" s="62">
        <f t="shared" si="19"/>
        <v>0</v>
      </c>
      <c r="U41" s="62">
        <f t="shared" si="6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8"/>
        <v>0</v>
      </c>
      <c r="R42" s="89" t="e">
        <f t="shared" si="1"/>
        <v>#DIV/0!</v>
      </c>
      <c r="S42" s="15"/>
      <c r="T42" s="62">
        <f t="shared" si="19"/>
        <v>0</v>
      </c>
      <c r="U42" s="62">
        <f t="shared" si="6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8"/>
        <v>0</v>
      </c>
      <c r="R43" s="89" t="e">
        <f t="shared" si="1"/>
        <v>#DIV/0!</v>
      </c>
      <c r="S43" s="15"/>
      <c r="T43" s="62">
        <f t="shared" si="19"/>
        <v>0</v>
      </c>
      <c r="U43" s="62">
        <f t="shared" si="6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8"/>
        <v>0</v>
      </c>
      <c r="R44" s="89" t="e">
        <f t="shared" si="1"/>
        <v>#DIV/0!</v>
      </c>
      <c r="S44" s="15"/>
      <c r="T44" s="62">
        <f t="shared" si="19"/>
        <v>0</v>
      </c>
      <c r="U44" s="62">
        <f t="shared" si="6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8"/>
        <v>0</v>
      </c>
      <c r="R45" s="89" t="e">
        <f t="shared" si="1"/>
        <v>#DIV/0!</v>
      </c>
      <c r="S45" s="15"/>
      <c r="T45" s="62">
        <f t="shared" si="19"/>
        <v>0</v>
      </c>
      <c r="U45" s="62">
        <f t="shared" si="6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8"/>
        <v>0</v>
      </c>
      <c r="R46" s="89" t="e">
        <f t="shared" si="1"/>
        <v>#DIV/0!</v>
      </c>
      <c r="S46" s="15"/>
      <c r="T46" s="62">
        <f t="shared" si="19"/>
        <v>0</v>
      </c>
      <c r="U46" s="62">
        <f t="shared" si="6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8"/>
        <v>0</v>
      </c>
      <c r="R47" s="89" t="e">
        <f t="shared" si="1"/>
        <v>#DIV/0!</v>
      </c>
      <c r="S47" s="15"/>
      <c r="T47" s="62">
        <f t="shared" si="19"/>
        <v>0</v>
      </c>
      <c r="U47" s="62">
        <f t="shared" si="6"/>
        <v>0</v>
      </c>
    </row>
    <row r="48" spans="1:21" x14ac:dyDescent="0.25">
      <c r="A48" s="63" t="s">
        <v>63</v>
      </c>
      <c r="B48" t="s">
        <v>48</v>
      </c>
      <c r="C48" s="91">
        <f t="shared" ref="C48:Q48" si="20">SUM(C37:C47)</f>
        <v>0</v>
      </c>
      <c r="D48" s="92">
        <f t="shared" si="20"/>
        <v>0</v>
      </c>
      <c r="E48" s="93">
        <f t="shared" si="20"/>
        <v>0</v>
      </c>
      <c r="F48" s="93">
        <f t="shared" si="20"/>
        <v>0</v>
      </c>
      <c r="G48" s="93">
        <f t="shared" si="20"/>
        <v>0</v>
      </c>
      <c r="H48" s="93">
        <f t="shared" si="20"/>
        <v>0</v>
      </c>
      <c r="I48" s="93">
        <f t="shared" si="20"/>
        <v>0</v>
      </c>
      <c r="J48" s="93">
        <f t="shared" si="20"/>
        <v>0</v>
      </c>
      <c r="K48" s="93">
        <f t="shared" si="20"/>
        <v>0</v>
      </c>
      <c r="L48" s="93">
        <f t="shared" si="20"/>
        <v>0</v>
      </c>
      <c r="M48" s="93">
        <f t="shared" si="20"/>
        <v>0</v>
      </c>
      <c r="N48" s="93">
        <f t="shared" si="20"/>
        <v>0</v>
      </c>
      <c r="O48" s="93">
        <f t="shared" si="20"/>
        <v>0</v>
      </c>
      <c r="P48" s="93">
        <f t="shared" si="20"/>
        <v>0</v>
      </c>
      <c r="Q48" s="93">
        <f t="shared" si="20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1">SUM(E50:P50)</f>
        <v>0</v>
      </c>
      <c r="R50" s="89" t="e">
        <f t="shared" si="1"/>
        <v>#DIV/0!</v>
      </c>
      <c r="S50" s="15"/>
      <c r="T50" s="62">
        <f t="shared" si="19"/>
        <v>0</v>
      </c>
      <c r="U50" s="62">
        <f t="shared" si="6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1"/>
        <v>0</v>
      </c>
      <c r="R51" s="89" t="e">
        <f t="shared" si="1"/>
        <v>#DIV/0!</v>
      </c>
      <c r="S51" s="15"/>
      <c r="T51" s="62">
        <f t="shared" si="19"/>
        <v>0</v>
      </c>
      <c r="U51" s="62">
        <f t="shared" si="6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1"/>
        <v>0</v>
      </c>
      <c r="R52" s="89" t="e">
        <f t="shared" si="1"/>
        <v>#DIV/0!</v>
      </c>
      <c r="S52" s="15"/>
      <c r="T52" s="62">
        <f t="shared" si="19"/>
        <v>0</v>
      </c>
      <c r="U52" s="62">
        <f t="shared" si="6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1"/>
        <v>0</v>
      </c>
      <c r="R53" s="89" t="e">
        <f t="shared" si="1"/>
        <v>#DIV/0!</v>
      </c>
      <c r="S53" s="15"/>
      <c r="T53" s="62">
        <f t="shared" si="19"/>
        <v>0</v>
      </c>
      <c r="U53" s="62">
        <f t="shared" si="6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1"/>
        <v>0</v>
      </c>
      <c r="R54" s="89" t="e">
        <f t="shared" si="1"/>
        <v>#DIV/0!</v>
      </c>
      <c r="S54" s="15"/>
      <c r="T54" s="62">
        <f t="shared" si="19"/>
        <v>0</v>
      </c>
      <c r="U54" s="62">
        <f t="shared" si="6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1"/>
        <v>0</v>
      </c>
      <c r="R55" s="89" t="e">
        <f t="shared" si="1"/>
        <v>#DIV/0!</v>
      </c>
      <c r="S55" s="15"/>
      <c r="T55" s="62">
        <f t="shared" si="19"/>
        <v>0</v>
      </c>
      <c r="U55" s="62">
        <f t="shared" si="6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ref="Q56:Q57" si="22">SUM(E56:P56)</f>
        <v>0</v>
      </c>
      <c r="R56" s="89" t="e">
        <f t="shared" si="1"/>
        <v>#DIV/0!</v>
      </c>
      <c r="S56" s="15"/>
      <c r="T56" s="62">
        <f t="shared" si="19"/>
        <v>0</v>
      </c>
      <c r="U56" s="62">
        <f t="shared" si="6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2"/>
        <v>0</v>
      </c>
      <c r="R57" s="89" t="e">
        <f t="shared" si="1"/>
        <v>#DIV/0!</v>
      </c>
      <c r="S57" s="15"/>
      <c r="T57" s="62">
        <f t="shared" si="19"/>
        <v>0</v>
      </c>
      <c r="U57" s="62">
        <f t="shared" si="6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1"/>
        <v>0</v>
      </c>
      <c r="R58" s="89" t="e">
        <f t="shared" si="1"/>
        <v>#DIV/0!</v>
      </c>
      <c r="S58" s="15"/>
      <c r="T58" s="62">
        <f t="shared" si="19"/>
        <v>0</v>
      </c>
      <c r="U58" s="62">
        <f t="shared" si="6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1"/>
        <v>0</v>
      </c>
      <c r="R59" s="89" t="e">
        <f t="shared" si="1"/>
        <v>#DIV/0!</v>
      </c>
      <c r="S59" s="15"/>
      <c r="T59" s="62">
        <f t="shared" si="19"/>
        <v>0</v>
      </c>
      <c r="U59" s="62">
        <f t="shared" si="6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1"/>
        <v>0</v>
      </c>
      <c r="R60" s="89" t="e">
        <f t="shared" si="1"/>
        <v>#DIV/0!</v>
      </c>
      <c r="S60" s="15"/>
      <c r="T60" s="62">
        <f t="shared" si="19"/>
        <v>0</v>
      </c>
      <c r="U60" s="62">
        <f t="shared" si="6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1"/>
        <v>0</v>
      </c>
      <c r="R61" s="89" t="e">
        <f t="shared" si="1"/>
        <v>#DIV/0!</v>
      </c>
      <c r="S61" s="15"/>
      <c r="T61" s="62">
        <f t="shared" si="19"/>
        <v>0</v>
      </c>
      <c r="U61" s="62">
        <f t="shared" si="6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19"/>
        <v>0</v>
      </c>
      <c r="U64" s="62">
        <f t="shared" si="6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19"/>
        <v>0</v>
      </c>
      <c r="U65" s="62">
        <f t="shared" si="6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19"/>
        <v>0</v>
      </c>
      <c r="U66" s="62">
        <f t="shared" si="6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5">SUM(E67:P67)</f>
        <v>0</v>
      </c>
      <c r="R67" s="89" t="e">
        <f t="shared" si="1"/>
        <v>#DIV/0!</v>
      </c>
      <c r="S67" s="15"/>
      <c r="T67" s="62">
        <f t="shared" si="19"/>
        <v>0</v>
      </c>
      <c r="U67" s="62">
        <f t="shared" si="6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5"/>
        <v>0</v>
      </c>
      <c r="R68" s="89" t="e">
        <f t="shared" si="1"/>
        <v>#DIV/0!</v>
      </c>
      <c r="S68" s="15"/>
      <c r="T68" s="62">
        <f t="shared" si="19"/>
        <v>0</v>
      </c>
      <c r="U68" s="62">
        <f t="shared" si="6"/>
        <v>0</v>
      </c>
    </row>
    <row r="69" spans="1:21" ht="23.25" x14ac:dyDescent="0.25">
      <c r="A69" s="25"/>
      <c r="B69" s="15" t="s">
        <v>84</v>
      </c>
      <c r="C69" s="56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5"/>
        <v>0</v>
      </c>
      <c r="R69" s="89" t="e">
        <f t="shared" si="1"/>
        <v>#DIV/0!</v>
      </c>
      <c r="S69" s="15"/>
      <c r="T69" s="62">
        <f t="shared" si="19"/>
        <v>0</v>
      </c>
      <c r="U69" s="62">
        <f t="shared" si="6"/>
        <v>0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5"/>
        <v>0</v>
      </c>
      <c r="R70" s="89" t="e">
        <f t="shared" si="1"/>
        <v>#DIV/0!</v>
      </c>
      <c r="S70" s="15"/>
      <c r="T70" s="62">
        <f t="shared" si="19"/>
        <v>0</v>
      </c>
      <c r="U70" s="62">
        <f t="shared" si="6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5"/>
        <v>0</v>
      </c>
      <c r="R71" s="89" t="e">
        <f t="shared" si="1"/>
        <v>#DIV/0!</v>
      </c>
      <c r="S71" s="15"/>
      <c r="T71" s="62">
        <f t="shared" si="19"/>
        <v>0</v>
      </c>
      <c r="U71" s="62">
        <f t="shared" si="6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5"/>
        <v>0</v>
      </c>
      <c r="R72" s="89" t="e">
        <f t="shared" si="1"/>
        <v>#DIV/0!</v>
      </c>
      <c r="S72" s="15"/>
      <c r="T72" s="62">
        <f t="shared" si="19"/>
        <v>0</v>
      </c>
      <c r="U72" s="62">
        <f t="shared" si="6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6">SUM(C64:C72)</f>
        <v>0</v>
      </c>
      <c r="D73" s="92">
        <f t="shared" si="26"/>
        <v>0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19"/>
        <v>0</v>
      </c>
      <c r="U73" s="96">
        <f t="shared" si="6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19"/>
        <v>0</v>
      </c>
      <c r="U75" s="62">
        <f t="shared" si="6"/>
        <v>0</v>
      </c>
    </row>
    <row r="76" spans="1:21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/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19"/>
        <v>0</v>
      </c>
      <c r="U78" s="62">
        <f t="shared" si="6"/>
        <v>0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 t="shared" si="1"/>
        <v>#DIV/0!</v>
      </c>
      <c r="S79" s="15"/>
      <c r="T79" s="62">
        <f t="shared" si="19"/>
        <v>0</v>
      </c>
      <c r="U79" s="62">
        <f t="shared" si="6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19"/>
        <v>0</v>
      </c>
      <c r="U80" s="62">
        <f t="shared" si="6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19"/>
        <v>0</v>
      </c>
      <c r="U81" s="62">
        <f t="shared" si="6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29">SUM(C78:C81)</f>
        <v>0</v>
      </c>
      <c r="D82" s="92">
        <f t="shared" si="29"/>
        <v>0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19"/>
        <v>0</v>
      </c>
      <c r="U82" s="96">
        <f t="shared" si="6"/>
        <v>0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/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1">SUM(E84:P84)</f>
        <v>0</v>
      </c>
      <c r="R84" s="89" t="e">
        <f t="shared" si="1"/>
        <v>#DIV/0!</v>
      </c>
      <c r="S84" s="15"/>
      <c r="T84" s="62">
        <f t="shared" si="19"/>
        <v>0</v>
      </c>
      <c r="U84" s="62">
        <f t="shared" si="6"/>
        <v>0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1"/>
        <v>0</v>
      </c>
      <c r="R85" s="89" t="e">
        <f t="shared" si="1"/>
        <v>#DIV/0!</v>
      </c>
      <c r="S85" s="15"/>
      <c r="T85" s="62">
        <f t="shared" si="19"/>
        <v>0</v>
      </c>
      <c r="U85" s="62">
        <f t="shared" si="6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1"/>
        <v>0</v>
      </c>
      <c r="R86" s="89" t="e">
        <f t="shared" si="1"/>
        <v>#DIV/0!</v>
      </c>
      <c r="S86" s="15"/>
      <c r="T86" s="62">
        <f t="shared" si="19"/>
        <v>0</v>
      </c>
      <c r="U86" s="62">
        <f t="shared" si="6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1"/>
        <v>0</v>
      </c>
      <c r="R87" s="89" t="e">
        <f t="shared" si="1"/>
        <v>#DIV/0!</v>
      </c>
      <c r="S87" s="15"/>
      <c r="T87" s="62">
        <f t="shared" si="19"/>
        <v>0</v>
      </c>
      <c r="U87" s="62">
        <f t="shared" si="6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1"/>
        <v>0</v>
      </c>
      <c r="R88" s="89" t="e">
        <f t="shared" ref="R88:R130" si="32">AVERAGE(E88:P88)</f>
        <v>#DIV/0!</v>
      </c>
      <c r="S88" s="15"/>
      <c r="T88" s="62">
        <f t="shared" si="19"/>
        <v>0</v>
      </c>
      <c r="U88" s="62">
        <f t="shared" si="6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1"/>
        <v>0</v>
      </c>
      <c r="R89" s="89" t="e">
        <f t="shared" si="32"/>
        <v>#DIV/0!</v>
      </c>
      <c r="S89" s="15"/>
      <c r="T89" s="62">
        <f t="shared" si="19"/>
        <v>0</v>
      </c>
      <c r="U89" s="62">
        <f t="shared" ref="U89:U137" si="33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4">SUM(C84:C89)</f>
        <v>0</v>
      </c>
      <c r="D90" s="92">
        <f t="shared" si="34"/>
        <v>0</v>
      </c>
      <c r="E90" s="93">
        <f t="shared" ref="E90:Q90" si="35">SUM(E84:E89)</f>
        <v>0</v>
      </c>
      <c r="F90" s="93">
        <f t="shared" si="35"/>
        <v>0</v>
      </c>
      <c r="G90" s="93">
        <f t="shared" si="35"/>
        <v>0</v>
      </c>
      <c r="H90" s="93">
        <f t="shared" si="35"/>
        <v>0</v>
      </c>
      <c r="I90" s="93">
        <f t="shared" si="35"/>
        <v>0</v>
      </c>
      <c r="J90" s="93">
        <f t="shared" si="35"/>
        <v>0</v>
      </c>
      <c r="K90" s="93">
        <f t="shared" si="35"/>
        <v>0</v>
      </c>
      <c r="L90" s="93">
        <f t="shared" si="35"/>
        <v>0</v>
      </c>
      <c r="M90" s="93">
        <f t="shared" si="35"/>
        <v>0</v>
      </c>
      <c r="N90" s="93">
        <f t="shared" si="35"/>
        <v>0</v>
      </c>
      <c r="O90" s="93">
        <f t="shared" si="35"/>
        <v>0</v>
      </c>
      <c r="P90" s="93">
        <f t="shared" si="35"/>
        <v>0</v>
      </c>
      <c r="Q90" s="93">
        <f t="shared" si="35"/>
        <v>0</v>
      </c>
      <c r="R90" s="94">
        <f>AVERAGE(E90:P90)</f>
        <v>0</v>
      </c>
      <c r="T90" s="96">
        <f t="shared" si="19"/>
        <v>0</v>
      </c>
      <c r="U90" s="96">
        <f t="shared" si="33"/>
        <v>0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19"/>
        <v>0</v>
      </c>
      <c r="U92" s="62">
        <f t="shared" si="33"/>
        <v>0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2"/>
        <v>#DIV/0!</v>
      </c>
      <c r="S93" s="15"/>
      <c r="T93" s="62">
        <f t="shared" si="19"/>
        <v>0</v>
      </c>
      <c r="U93" s="62">
        <f t="shared" si="33"/>
        <v>0</v>
      </c>
    </row>
    <row r="94" spans="1:21" x14ac:dyDescent="0.25">
      <c r="A94" s="25"/>
      <c r="B94" s="15" t="s">
        <v>109</v>
      </c>
      <c r="C94" s="56"/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2"/>
        <v>#DIV/0!</v>
      </c>
      <c r="S94" s="15"/>
      <c r="T94" s="62">
        <f t="shared" si="19"/>
        <v>0</v>
      </c>
      <c r="U94" s="62">
        <f t="shared" si="33"/>
        <v>0</v>
      </c>
    </row>
    <row r="95" spans="1:21" x14ac:dyDescent="0.25">
      <c r="A95" s="63" t="s">
        <v>110</v>
      </c>
      <c r="B95" s="15"/>
      <c r="C95" s="91">
        <f t="shared" ref="C95:Q95" si="36">SUM(C92:C94)</f>
        <v>0</v>
      </c>
      <c r="D95" s="92">
        <f t="shared" si="36"/>
        <v>0</v>
      </c>
      <c r="E95" s="93">
        <f t="shared" si="36"/>
        <v>0</v>
      </c>
      <c r="F95" s="93">
        <f t="shared" si="36"/>
        <v>0</v>
      </c>
      <c r="G95" s="93">
        <f t="shared" si="36"/>
        <v>0</v>
      </c>
      <c r="H95" s="93">
        <f t="shared" si="36"/>
        <v>0</v>
      </c>
      <c r="I95" s="93">
        <f t="shared" si="36"/>
        <v>0</v>
      </c>
      <c r="J95" s="93">
        <f t="shared" si="36"/>
        <v>0</v>
      </c>
      <c r="K95" s="93">
        <f t="shared" si="36"/>
        <v>0</v>
      </c>
      <c r="L95" s="93">
        <f t="shared" si="36"/>
        <v>0</v>
      </c>
      <c r="M95" s="93">
        <f t="shared" si="36"/>
        <v>0</v>
      </c>
      <c r="N95" s="93">
        <f t="shared" si="36"/>
        <v>0</v>
      </c>
      <c r="O95" s="93">
        <f t="shared" si="36"/>
        <v>0</v>
      </c>
      <c r="P95" s="93">
        <f t="shared" si="36"/>
        <v>0</v>
      </c>
      <c r="Q95" s="93">
        <f t="shared" si="36"/>
        <v>0</v>
      </c>
      <c r="R95" s="94">
        <f t="shared" si="32"/>
        <v>0</v>
      </c>
      <c r="T95" s="96">
        <f t="shared" si="19"/>
        <v>0</v>
      </c>
      <c r="U95" s="96">
        <f t="shared" si="33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20" si="37">SUM(E97:P97)</f>
        <v>0</v>
      </c>
      <c r="R97" s="89" t="e">
        <f t="shared" si="32"/>
        <v>#DIV/0!</v>
      </c>
      <c r="S97" s="15"/>
      <c r="T97" s="62">
        <f t="shared" si="19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7"/>
        <v>0</v>
      </c>
      <c r="R98" s="89" t="e">
        <f t="shared" si="32"/>
        <v>#DIV/0!</v>
      </c>
      <c r="S98" s="15"/>
      <c r="T98" s="62">
        <f t="shared" si="19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7"/>
        <v>0</v>
      </c>
      <c r="R99" s="89" t="e">
        <f t="shared" si="32"/>
        <v>#DIV/0!</v>
      </c>
      <c r="S99" s="15"/>
      <c r="T99" s="62">
        <f t="shared" si="19"/>
        <v>0</v>
      </c>
      <c r="U99" s="62">
        <f t="shared" si="33"/>
        <v>0</v>
      </c>
    </row>
    <row r="100" spans="1:21" x14ac:dyDescent="0.25">
      <c r="A100" s="25"/>
      <c r="B100" s="15" t="s">
        <v>115</v>
      </c>
      <c r="C100" s="56"/>
      <c r="D100" s="57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37"/>
        <v>0</v>
      </c>
      <c r="R100" s="89" t="e">
        <f t="shared" si="32"/>
        <v>#DIV/0!</v>
      </c>
      <c r="S100" s="15"/>
      <c r="T100" s="62">
        <f t="shared" si="19"/>
        <v>0</v>
      </c>
      <c r="U100" s="62">
        <f t="shared" si="33"/>
        <v>0</v>
      </c>
    </row>
    <row r="101" spans="1:21" x14ac:dyDescent="0.25">
      <c r="A101" s="25"/>
      <c r="B101" s="15" t="s">
        <v>116</v>
      </c>
      <c r="C101" s="56">
        <f>640/10*12</f>
        <v>768</v>
      </c>
      <c r="D101" s="57">
        <f>C101/12</f>
        <v>64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7"/>
        <v>0</v>
      </c>
      <c r="R101" s="89" t="e">
        <f t="shared" si="32"/>
        <v>#DIV/0!</v>
      </c>
      <c r="S101" s="15"/>
      <c r="T101" s="62">
        <f t="shared" si="19"/>
        <v>0</v>
      </c>
      <c r="U101" s="62">
        <f t="shared" si="33"/>
        <v>-1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7"/>
        <v>0</v>
      </c>
      <c r="R102" s="89" t="e">
        <f t="shared" si="32"/>
        <v>#DIV/0!</v>
      </c>
      <c r="S102" s="15"/>
      <c r="T102" s="62">
        <f t="shared" si="19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/>
      <c r="D103" s="57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7"/>
        <v>0</v>
      </c>
      <c r="R103" s="89" t="e">
        <f t="shared" si="32"/>
        <v>#DIV/0!</v>
      </c>
      <c r="S103" s="15"/>
      <c r="T103" s="62">
        <f t="shared" ref="T103:T135" si="38">Q103/$Q$34</f>
        <v>0</v>
      </c>
      <c r="U103" s="62">
        <f t="shared" si="33"/>
        <v>0</v>
      </c>
    </row>
    <row r="104" spans="1:21" x14ac:dyDescent="0.25">
      <c r="A104" s="25"/>
      <c r="B104" s="15" t="s">
        <v>119</v>
      </c>
      <c r="C104" s="56">
        <v>5699.29</v>
      </c>
      <c r="D104" s="57">
        <f>C104/7</f>
        <v>814.18428571428569</v>
      </c>
      <c r="E104" s="58">
        <f>(50*(E7+E8))+(25*(E9+E10))+(10*(E11+E12))+(15*E13)</f>
        <v>235</v>
      </c>
      <c r="F104" s="58">
        <f t="shared" ref="F104:P104" si="39">(50*(F7+F8))+(25*(F9+F10))+(10*(F11+F12))+(15*F13)</f>
        <v>235</v>
      </c>
      <c r="G104" s="58">
        <f t="shared" si="39"/>
        <v>235</v>
      </c>
      <c r="H104" s="58">
        <f t="shared" si="39"/>
        <v>235</v>
      </c>
      <c r="I104" s="58">
        <f t="shared" si="39"/>
        <v>235</v>
      </c>
      <c r="J104" s="58">
        <f t="shared" si="39"/>
        <v>235</v>
      </c>
      <c r="K104" s="58">
        <f t="shared" si="39"/>
        <v>245</v>
      </c>
      <c r="L104" s="58">
        <f>(50*(L7+L8))+(25*(L9+L10))+(10*(L11+L12))+(15*L13)</f>
        <v>245</v>
      </c>
      <c r="M104" s="58">
        <f t="shared" si="39"/>
        <v>245</v>
      </c>
      <c r="N104" s="58">
        <f t="shared" si="39"/>
        <v>245</v>
      </c>
      <c r="O104" s="58">
        <f t="shared" si="39"/>
        <v>245</v>
      </c>
      <c r="P104" s="58">
        <f t="shared" si="39"/>
        <v>245</v>
      </c>
      <c r="Q104" s="58">
        <f t="shared" si="37"/>
        <v>2880</v>
      </c>
      <c r="R104" s="89">
        <f t="shared" si="32"/>
        <v>240</v>
      </c>
      <c r="S104" s="15"/>
      <c r="T104" s="62">
        <f t="shared" si="38"/>
        <v>2.7090359895431224E-2</v>
      </c>
      <c r="U104" s="62">
        <f t="shared" si="33"/>
        <v>-0.49467389797676553</v>
      </c>
    </row>
    <row r="105" spans="1:21" x14ac:dyDescent="0.25">
      <c r="A105" s="25"/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7"/>
        <v>0</v>
      </c>
      <c r="R105" s="89" t="e">
        <f t="shared" si="32"/>
        <v>#DIV/0!</v>
      </c>
      <c r="S105" s="15"/>
      <c r="T105" s="62">
        <f t="shared" si="38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ref="Q106:Q114" si="40">SUM(E106:P106)</f>
        <v>0</v>
      </c>
      <c r="R106" s="89" t="e">
        <f t="shared" si="32"/>
        <v>#DIV/0!</v>
      </c>
      <c r="S106" s="15"/>
      <c r="T106" s="62">
        <f t="shared" si="38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40"/>
        <v>0</v>
      </c>
      <c r="R107" s="89" t="e">
        <f t="shared" si="32"/>
        <v>#DIV/0!</v>
      </c>
      <c r="S107" s="15"/>
      <c r="T107" s="62">
        <f t="shared" si="38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40"/>
        <v>0</v>
      </c>
      <c r="R108" s="89" t="e">
        <f t="shared" si="32"/>
        <v>#DIV/0!</v>
      </c>
      <c r="S108" s="15"/>
      <c r="T108" s="62">
        <f t="shared" si="38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40"/>
        <v>0</v>
      </c>
      <c r="R109" s="89" t="e">
        <f t="shared" si="32"/>
        <v>#DIV/0!</v>
      </c>
      <c r="S109" s="15"/>
      <c r="T109" s="62">
        <f t="shared" si="38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40"/>
        <v>0</v>
      </c>
      <c r="R110" s="89" t="e">
        <f t="shared" si="32"/>
        <v>#DIV/0!</v>
      </c>
      <c r="S110" s="15"/>
      <c r="T110" s="62">
        <f t="shared" si="38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40"/>
        <v>0</v>
      </c>
      <c r="R111" s="89" t="e">
        <f t="shared" si="32"/>
        <v>#DIV/0!</v>
      </c>
      <c r="S111" s="15"/>
      <c r="T111" s="62">
        <f t="shared" si="38"/>
        <v>0</v>
      </c>
      <c r="U111" s="62">
        <f t="shared" si="33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40"/>
        <v>0</v>
      </c>
      <c r="R112" s="89" t="e">
        <f t="shared" si="32"/>
        <v>#DIV/0!</v>
      </c>
      <c r="S112" s="15"/>
      <c r="T112" s="62">
        <f t="shared" si="38"/>
        <v>0</v>
      </c>
      <c r="U112" s="62">
        <f t="shared" si="33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40"/>
        <v>0</v>
      </c>
      <c r="R113" s="89" t="e">
        <f t="shared" si="32"/>
        <v>#DIV/0!</v>
      </c>
      <c r="S113" s="15"/>
      <c r="T113" s="62">
        <f t="shared" si="38"/>
        <v>0</v>
      </c>
      <c r="U113" s="62">
        <f t="shared" si="33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40"/>
        <v>0</v>
      </c>
      <c r="R114" s="89" t="e">
        <f t="shared" si="32"/>
        <v>#DIV/0!</v>
      </c>
      <c r="S114" s="15"/>
      <c r="T114" s="62">
        <f t="shared" si="38"/>
        <v>0</v>
      </c>
      <c r="U114" s="62">
        <f t="shared" si="33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7"/>
        <v>0</v>
      </c>
      <c r="R115" s="89" t="e">
        <f t="shared" si="32"/>
        <v>#DIV/0!</v>
      </c>
      <c r="S115" s="15"/>
      <c r="T115" s="62">
        <f t="shared" si="38"/>
        <v>0</v>
      </c>
      <c r="U115" s="62">
        <f t="shared" si="33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7"/>
        <v>0</v>
      </c>
      <c r="R116" s="89" t="e">
        <f t="shared" si="32"/>
        <v>#DIV/0!</v>
      </c>
      <c r="S116" s="15"/>
      <c r="T116" s="62">
        <f t="shared" si="38"/>
        <v>0</v>
      </c>
      <c r="U116" s="62">
        <f t="shared" si="33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7"/>
        <v>0</v>
      </c>
      <c r="R117" s="89" t="e">
        <f t="shared" si="32"/>
        <v>#DIV/0!</v>
      </c>
      <c r="S117" s="15"/>
      <c r="T117" s="62">
        <f t="shared" si="38"/>
        <v>0</v>
      </c>
      <c r="U117" s="62">
        <f t="shared" si="33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7"/>
        <v>0</v>
      </c>
      <c r="R118" s="89" t="e">
        <f t="shared" si="32"/>
        <v>#DIV/0!</v>
      </c>
      <c r="S118" s="15"/>
      <c r="T118" s="62">
        <f t="shared" si="38"/>
        <v>0</v>
      </c>
      <c r="U118" s="62">
        <f t="shared" si="33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>SUM(E119:P119)</f>
        <v>0</v>
      </c>
      <c r="R119" s="89" t="e">
        <f>AVERAGE(E119:P119)</f>
        <v>#DIV/0!</v>
      </c>
      <c r="S119" s="15"/>
      <c r="T119" s="62">
        <f t="shared" si="38"/>
        <v>0</v>
      </c>
      <c r="U119" s="62">
        <f t="shared" si="33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37"/>
        <v>0</v>
      </c>
      <c r="R120" s="89" t="e">
        <f t="shared" si="32"/>
        <v>#DIV/0!</v>
      </c>
      <c r="S120" s="15"/>
      <c r="T120" s="62">
        <f t="shared" si="38"/>
        <v>0</v>
      </c>
      <c r="U120" s="62">
        <f t="shared" si="33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41">SUM(C97:C120)</f>
        <v>6467.29</v>
      </c>
      <c r="D121" s="92">
        <f t="shared" si="41"/>
        <v>878.18428571428569</v>
      </c>
      <c r="E121" s="93">
        <f t="shared" si="41"/>
        <v>235</v>
      </c>
      <c r="F121" s="93">
        <f t="shared" si="41"/>
        <v>235</v>
      </c>
      <c r="G121" s="93">
        <f t="shared" si="41"/>
        <v>235</v>
      </c>
      <c r="H121" s="93">
        <f t="shared" si="41"/>
        <v>235</v>
      </c>
      <c r="I121" s="93">
        <f t="shared" si="41"/>
        <v>235</v>
      </c>
      <c r="J121" s="93">
        <f t="shared" si="41"/>
        <v>235</v>
      </c>
      <c r="K121" s="93">
        <f t="shared" si="41"/>
        <v>245</v>
      </c>
      <c r="L121" s="93">
        <f t="shared" si="41"/>
        <v>245</v>
      </c>
      <c r="M121" s="93">
        <f t="shared" si="41"/>
        <v>245</v>
      </c>
      <c r="N121" s="93">
        <f t="shared" si="41"/>
        <v>245</v>
      </c>
      <c r="O121" s="93">
        <f t="shared" si="41"/>
        <v>245</v>
      </c>
      <c r="P121" s="93">
        <f t="shared" si="41"/>
        <v>245</v>
      </c>
      <c r="Q121" s="93">
        <f t="shared" si="41"/>
        <v>2880</v>
      </c>
      <c r="R121" s="94">
        <f>AVERAGE(E121:P121)</f>
        <v>240</v>
      </c>
      <c r="T121" s="96">
        <f t="shared" si="38"/>
        <v>2.7090359895431224E-2</v>
      </c>
      <c r="U121" s="96">
        <f t="shared" si="33"/>
        <v>-0.55468210023054476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>SUM(E123:P123)</f>
        <v>0</v>
      </c>
      <c r="R123" s="89" t="e">
        <f t="shared" si="32"/>
        <v>#DIV/0!</v>
      </c>
      <c r="S123" s="15"/>
      <c r="T123" s="62">
        <f t="shared" si="38"/>
        <v>0</v>
      </c>
      <c r="U123" s="62">
        <f t="shared" si="33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2">SUM(C123:C123)</f>
        <v>0</v>
      </c>
      <c r="D124" s="92">
        <f t="shared" si="42"/>
        <v>0</v>
      </c>
      <c r="E124" s="93">
        <f t="shared" si="42"/>
        <v>0</v>
      </c>
      <c r="F124" s="93">
        <f t="shared" si="42"/>
        <v>0</v>
      </c>
      <c r="G124" s="93">
        <f t="shared" si="42"/>
        <v>0</v>
      </c>
      <c r="H124" s="93">
        <f t="shared" si="42"/>
        <v>0</v>
      </c>
      <c r="I124" s="93">
        <f t="shared" si="42"/>
        <v>0</v>
      </c>
      <c r="J124" s="93">
        <f t="shared" si="42"/>
        <v>0</v>
      </c>
      <c r="K124" s="93">
        <f t="shared" si="42"/>
        <v>0</v>
      </c>
      <c r="L124" s="93">
        <f t="shared" si="42"/>
        <v>0</v>
      </c>
      <c r="M124" s="93">
        <f t="shared" si="42"/>
        <v>0</v>
      </c>
      <c r="N124" s="93">
        <f t="shared" si="42"/>
        <v>0</v>
      </c>
      <c r="O124" s="93">
        <f t="shared" si="42"/>
        <v>0</v>
      </c>
      <c r="P124" s="93">
        <f t="shared" si="42"/>
        <v>0</v>
      </c>
      <c r="Q124" s="93">
        <f t="shared" si="42"/>
        <v>0</v>
      </c>
      <c r="R124" s="94">
        <f t="shared" si="32"/>
        <v>0</v>
      </c>
      <c r="T124" s="96">
        <f t="shared" si="38"/>
        <v>0</v>
      </c>
      <c r="U124" s="96">
        <f t="shared" si="33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f>3112.48/10*12</f>
        <v>3734.9759999999997</v>
      </c>
      <c r="D126" s="57">
        <f>C126/12</f>
        <v>311.24799999999999</v>
      </c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2"/>
        <v>#DIV/0!</v>
      </c>
      <c r="S126" s="15"/>
      <c r="T126" s="62">
        <f t="shared" si="38"/>
        <v>0</v>
      </c>
      <c r="U126" s="62">
        <f t="shared" si="33"/>
        <v>-1</v>
      </c>
    </row>
    <row r="127" spans="1:21" x14ac:dyDescent="0.25">
      <c r="A127" s="63" t="s">
        <v>142</v>
      </c>
      <c r="B127" s="15"/>
      <c r="C127" s="137">
        <f t="shared" ref="C127:Q127" si="43">SUM(C126:C126)</f>
        <v>3734.9759999999997</v>
      </c>
      <c r="D127" s="138">
        <f t="shared" si="43"/>
        <v>311.24799999999999</v>
      </c>
      <c r="E127" s="139">
        <f t="shared" si="43"/>
        <v>0</v>
      </c>
      <c r="F127" s="139">
        <f t="shared" si="43"/>
        <v>0</v>
      </c>
      <c r="G127" s="139">
        <f t="shared" si="43"/>
        <v>0</v>
      </c>
      <c r="H127" s="139">
        <f t="shared" si="43"/>
        <v>0</v>
      </c>
      <c r="I127" s="139">
        <f t="shared" si="43"/>
        <v>0</v>
      </c>
      <c r="J127" s="139">
        <f t="shared" si="43"/>
        <v>0</v>
      </c>
      <c r="K127" s="139">
        <f t="shared" si="43"/>
        <v>0</v>
      </c>
      <c r="L127" s="139">
        <f t="shared" si="43"/>
        <v>0</v>
      </c>
      <c r="M127" s="139">
        <f t="shared" si="43"/>
        <v>0</v>
      </c>
      <c r="N127" s="139">
        <f t="shared" si="43"/>
        <v>0</v>
      </c>
      <c r="O127" s="139">
        <f t="shared" si="43"/>
        <v>0</v>
      </c>
      <c r="P127" s="139">
        <f t="shared" si="43"/>
        <v>0</v>
      </c>
      <c r="Q127" s="139">
        <f t="shared" si="43"/>
        <v>0</v>
      </c>
      <c r="R127" s="140">
        <f t="shared" si="32"/>
        <v>0</v>
      </c>
      <c r="T127" s="141">
        <f t="shared" si="38"/>
        <v>0</v>
      </c>
      <c r="U127" s="141">
        <f t="shared" si="33"/>
        <v>-1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4">C124+C121+C90+C82+C73+C62+C48+C95+C76+C127</f>
        <v>10202.266</v>
      </c>
      <c r="D128" s="72">
        <f t="shared" si="44"/>
        <v>1189.4322857142856</v>
      </c>
      <c r="E128" s="73">
        <f t="shared" si="44"/>
        <v>235</v>
      </c>
      <c r="F128" s="73">
        <f t="shared" si="44"/>
        <v>235</v>
      </c>
      <c r="G128" s="73">
        <f t="shared" si="44"/>
        <v>235</v>
      </c>
      <c r="H128" s="73">
        <f t="shared" si="44"/>
        <v>235</v>
      </c>
      <c r="I128" s="73">
        <f t="shared" si="44"/>
        <v>235</v>
      </c>
      <c r="J128" s="73">
        <f t="shared" si="44"/>
        <v>235</v>
      </c>
      <c r="K128" s="73">
        <f t="shared" si="44"/>
        <v>245</v>
      </c>
      <c r="L128" s="73">
        <f t="shared" si="44"/>
        <v>245</v>
      </c>
      <c r="M128" s="73">
        <f t="shared" si="44"/>
        <v>245</v>
      </c>
      <c r="N128" s="73">
        <f t="shared" si="44"/>
        <v>245</v>
      </c>
      <c r="O128" s="73">
        <f t="shared" si="44"/>
        <v>245</v>
      </c>
      <c r="P128" s="73">
        <f t="shared" si="44"/>
        <v>245</v>
      </c>
      <c r="Q128" s="73">
        <f t="shared" si="44"/>
        <v>2880</v>
      </c>
      <c r="R128" s="74">
        <f t="shared" si="32"/>
        <v>240</v>
      </c>
      <c r="T128" s="76">
        <f t="shared" si="38"/>
        <v>2.7090359895431224E-2</v>
      </c>
      <c r="U128" s="76">
        <f t="shared" si="33"/>
        <v>-0.71770977153506876</v>
      </c>
    </row>
    <row r="129" spans="1:21" x14ac:dyDescent="0.25">
      <c r="A129" s="78" t="s">
        <v>144</v>
      </c>
      <c r="B129" t="s">
        <v>48</v>
      </c>
      <c r="C129" s="79">
        <f t="shared" ref="C129:Q129" si="45">C34-C128</f>
        <v>56889.513999999996</v>
      </c>
      <c r="D129" s="80">
        <f t="shared" si="45"/>
        <v>4401.5493809523814</v>
      </c>
      <c r="E129" s="81">
        <f t="shared" si="45"/>
        <v>8624.2400000000016</v>
      </c>
      <c r="F129" s="81">
        <f t="shared" si="45"/>
        <v>8624.2400000000016</v>
      </c>
      <c r="G129" s="81">
        <f t="shared" si="45"/>
        <v>8624.2400000000016</v>
      </c>
      <c r="H129" s="81">
        <f t="shared" si="45"/>
        <v>8624.2400000000016</v>
      </c>
      <c r="I129" s="81">
        <f t="shared" si="45"/>
        <v>8624.2400000000016</v>
      </c>
      <c r="J129" s="81">
        <f t="shared" si="45"/>
        <v>8624.2400000000016</v>
      </c>
      <c r="K129" s="81">
        <f t="shared" si="45"/>
        <v>8614.2400000000016</v>
      </c>
      <c r="L129" s="81">
        <f t="shared" si="45"/>
        <v>8614.2400000000016</v>
      </c>
      <c r="M129" s="81">
        <f t="shared" si="45"/>
        <v>8614.2400000000016</v>
      </c>
      <c r="N129" s="81">
        <f t="shared" si="45"/>
        <v>8614.2400000000016</v>
      </c>
      <c r="O129" s="81">
        <f t="shared" si="45"/>
        <v>8614.2400000000016</v>
      </c>
      <c r="P129" s="81">
        <f t="shared" si="45"/>
        <v>8614.2400000000016</v>
      </c>
      <c r="Q129" s="81">
        <f t="shared" si="45"/>
        <v>103430.87999999995</v>
      </c>
      <c r="R129" s="82">
        <f t="shared" si="32"/>
        <v>8619.2400000000034</v>
      </c>
      <c r="T129" s="31">
        <f t="shared" si="38"/>
        <v>0.97290964010456882</v>
      </c>
      <c r="U129" s="31">
        <f t="shared" si="33"/>
        <v>0.81810095969531316</v>
      </c>
    </row>
    <row r="130" spans="1:21" x14ac:dyDescent="0.25">
      <c r="A130" s="78" t="s">
        <v>145</v>
      </c>
      <c r="B130" t="s">
        <v>48</v>
      </c>
      <c r="C130" s="339">
        <f t="shared" ref="C130:Q130" si="46">IFERROR(C129/C34,0)</f>
        <v>0.84793567855853569</v>
      </c>
      <c r="D130" s="340">
        <f t="shared" si="46"/>
        <v>0.78725877553745893</v>
      </c>
      <c r="E130" s="341">
        <f t="shared" si="46"/>
        <v>0.97347402260239024</v>
      </c>
      <c r="F130" s="341">
        <f t="shared" si="46"/>
        <v>0.97347402260239024</v>
      </c>
      <c r="G130" s="341">
        <f t="shared" si="46"/>
        <v>0.97347402260239024</v>
      </c>
      <c r="H130" s="341">
        <f t="shared" si="46"/>
        <v>0.97347402260239024</v>
      </c>
      <c r="I130" s="341">
        <f t="shared" si="46"/>
        <v>0.97347402260239024</v>
      </c>
      <c r="J130" s="341">
        <f t="shared" si="46"/>
        <v>0.97347402260239024</v>
      </c>
      <c r="K130" s="341">
        <f t="shared" si="46"/>
        <v>0.97234525760674728</v>
      </c>
      <c r="L130" s="341">
        <f t="shared" si="46"/>
        <v>0.97234525760674728</v>
      </c>
      <c r="M130" s="341">
        <f t="shared" si="46"/>
        <v>0.97234525760674728</v>
      </c>
      <c r="N130" s="341">
        <f t="shared" si="46"/>
        <v>0.97234525760674728</v>
      </c>
      <c r="O130" s="341">
        <f t="shared" si="46"/>
        <v>0.97234525760674728</v>
      </c>
      <c r="P130" s="341">
        <f t="shared" si="46"/>
        <v>0.97234525760674728</v>
      </c>
      <c r="Q130" s="341">
        <f t="shared" si="46"/>
        <v>0.97290964010456882</v>
      </c>
      <c r="R130" s="342">
        <f t="shared" si="32"/>
        <v>0.97290964010456882</v>
      </c>
      <c r="T130" s="31"/>
      <c r="U130" s="31">
        <f>IFERROR((Q130-C130)/C130,0)</f>
        <v>0.14738613400309442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7">AVERAGE(E132:P132)</f>
        <v>#DIV/0!</v>
      </c>
      <c r="S132" s="15"/>
      <c r="T132" s="62">
        <f t="shared" si="38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7"/>
        <v>#DIV/0!</v>
      </c>
      <c r="S133" s="15"/>
      <c r="T133" s="62">
        <f t="shared" si="38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8">SUM(C132:C133)</f>
        <v>0</v>
      </c>
      <c r="D134" s="138">
        <f t="shared" si="48"/>
        <v>0</v>
      </c>
      <c r="E134" s="139">
        <f>SUM(E132:E133)</f>
        <v>0</v>
      </c>
      <c r="F134" s="139">
        <f t="shared" ref="F134:Q134" si="49">SUM(F132:F133)</f>
        <v>0</v>
      </c>
      <c r="G134" s="139">
        <f t="shared" si="49"/>
        <v>0</v>
      </c>
      <c r="H134" s="139">
        <f t="shared" si="49"/>
        <v>0</v>
      </c>
      <c r="I134" s="139">
        <f t="shared" si="49"/>
        <v>0</v>
      </c>
      <c r="J134" s="139">
        <f t="shared" si="49"/>
        <v>0</v>
      </c>
      <c r="K134" s="139">
        <f t="shared" si="49"/>
        <v>0</v>
      </c>
      <c r="L134" s="139">
        <f t="shared" si="49"/>
        <v>0</v>
      </c>
      <c r="M134" s="139">
        <f t="shared" si="49"/>
        <v>0</v>
      </c>
      <c r="N134" s="139">
        <f t="shared" si="49"/>
        <v>0</v>
      </c>
      <c r="O134" s="139">
        <f t="shared" si="49"/>
        <v>0</v>
      </c>
      <c r="P134" s="139">
        <f t="shared" si="49"/>
        <v>0</v>
      </c>
      <c r="Q134" s="139">
        <f t="shared" si="49"/>
        <v>0</v>
      </c>
      <c r="R134" s="140">
        <f>AVERAGE(E134:P134)</f>
        <v>0</v>
      </c>
      <c r="T134" s="141">
        <f t="shared" si="38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50">C134+C128</f>
        <v>10202.266</v>
      </c>
      <c r="D135" s="72">
        <f t="shared" si="50"/>
        <v>1189.4322857142856</v>
      </c>
      <c r="E135" s="73">
        <f>E134+E128</f>
        <v>235</v>
      </c>
      <c r="F135" s="73">
        <f t="shared" ref="F135:P135" si="51">F134+F128</f>
        <v>235</v>
      </c>
      <c r="G135" s="73">
        <f t="shared" si="51"/>
        <v>235</v>
      </c>
      <c r="H135" s="73">
        <f t="shared" si="51"/>
        <v>235</v>
      </c>
      <c r="I135" s="73">
        <f t="shared" si="51"/>
        <v>235</v>
      </c>
      <c r="J135" s="73">
        <f t="shared" si="51"/>
        <v>235</v>
      </c>
      <c r="K135" s="73">
        <f t="shared" si="51"/>
        <v>245</v>
      </c>
      <c r="L135" s="73">
        <f t="shared" si="51"/>
        <v>245</v>
      </c>
      <c r="M135" s="73">
        <f t="shared" si="51"/>
        <v>245</v>
      </c>
      <c r="N135" s="73">
        <f t="shared" si="51"/>
        <v>245</v>
      </c>
      <c r="O135" s="73">
        <f t="shared" si="51"/>
        <v>245</v>
      </c>
      <c r="P135" s="73">
        <f t="shared" si="51"/>
        <v>245</v>
      </c>
      <c r="Q135" s="73">
        <f>Q134+Q128</f>
        <v>2880</v>
      </c>
      <c r="R135" s="74">
        <f t="shared" si="47"/>
        <v>240</v>
      </c>
      <c r="T135" s="76">
        <f t="shared" si="38"/>
        <v>2.7090359895431224E-2</v>
      </c>
      <c r="U135" s="76">
        <f t="shared" si="33"/>
        <v>-0.71770977153506876</v>
      </c>
    </row>
    <row r="136" spans="1:21" x14ac:dyDescent="0.25">
      <c r="A136" s="78" t="s">
        <v>151</v>
      </c>
      <c r="C136" s="79">
        <f t="shared" ref="C136:Q136" si="52">C34-C135</f>
        <v>56889.513999999996</v>
      </c>
      <c r="D136" s="80">
        <f t="shared" si="52"/>
        <v>4401.5493809523814</v>
      </c>
      <c r="E136" s="81">
        <f t="shared" si="52"/>
        <v>8624.2400000000016</v>
      </c>
      <c r="F136" s="81">
        <f t="shared" si="52"/>
        <v>8624.2400000000016</v>
      </c>
      <c r="G136" s="81">
        <f t="shared" si="52"/>
        <v>8624.2400000000016</v>
      </c>
      <c r="H136" s="81">
        <f t="shared" si="52"/>
        <v>8624.2400000000016</v>
      </c>
      <c r="I136" s="81">
        <f t="shared" si="52"/>
        <v>8624.2400000000016</v>
      </c>
      <c r="J136" s="81">
        <f t="shared" si="52"/>
        <v>8624.2400000000016</v>
      </c>
      <c r="K136" s="81">
        <f t="shared" si="52"/>
        <v>8614.2400000000016</v>
      </c>
      <c r="L136" s="81">
        <f t="shared" si="52"/>
        <v>8614.2400000000016</v>
      </c>
      <c r="M136" s="81">
        <f t="shared" si="52"/>
        <v>8614.2400000000016</v>
      </c>
      <c r="N136" s="81">
        <f t="shared" si="52"/>
        <v>8614.2400000000016</v>
      </c>
      <c r="O136" s="81">
        <f t="shared" si="52"/>
        <v>8614.2400000000016</v>
      </c>
      <c r="P136" s="81">
        <f t="shared" si="52"/>
        <v>8614.2400000000016</v>
      </c>
      <c r="Q136" s="81">
        <f t="shared" si="52"/>
        <v>103430.87999999995</v>
      </c>
      <c r="R136" s="82">
        <f>AVERAGE(E136:P136)</f>
        <v>8619.2400000000034</v>
      </c>
      <c r="T136" s="31">
        <f>Q136/$Q$34</f>
        <v>0.97290964010456882</v>
      </c>
      <c r="U136" s="31">
        <f t="shared" si="33"/>
        <v>0.81810095969531316</v>
      </c>
    </row>
    <row r="137" spans="1:21" ht="15.75" thickBot="1" x14ac:dyDescent="0.3">
      <c r="A137" s="78" t="s">
        <v>152</v>
      </c>
      <c r="C137" s="344">
        <f>IFERROR(C136/C34,"")</f>
        <v>0.84793567855853569</v>
      </c>
      <c r="D137" s="345">
        <f>IFERROR(D136/D34,"")</f>
        <v>0.78725877553745893</v>
      </c>
      <c r="E137" s="341">
        <f t="shared" ref="E137:Q137" si="53">E136/E34</f>
        <v>0.97347402260239024</v>
      </c>
      <c r="F137" s="341">
        <f t="shared" si="53"/>
        <v>0.97347402260239024</v>
      </c>
      <c r="G137" s="341">
        <f t="shared" si="53"/>
        <v>0.97347402260239024</v>
      </c>
      <c r="H137" s="341">
        <f t="shared" si="53"/>
        <v>0.97347402260239024</v>
      </c>
      <c r="I137" s="341">
        <f t="shared" si="53"/>
        <v>0.97347402260239024</v>
      </c>
      <c r="J137" s="341">
        <f t="shared" si="53"/>
        <v>0.97347402260239024</v>
      </c>
      <c r="K137" s="341">
        <f t="shared" si="53"/>
        <v>0.97234525760674728</v>
      </c>
      <c r="L137" s="341">
        <f t="shared" si="53"/>
        <v>0.97234525760674728</v>
      </c>
      <c r="M137" s="341">
        <f t="shared" si="53"/>
        <v>0.97234525760674728</v>
      </c>
      <c r="N137" s="341">
        <f t="shared" si="53"/>
        <v>0.97234525760674728</v>
      </c>
      <c r="O137" s="341">
        <f t="shared" si="53"/>
        <v>0.97234525760674728</v>
      </c>
      <c r="P137" s="341">
        <f t="shared" si="53"/>
        <v>0.97234525760674728</v>
      </c>
      <c r="Q137" s="341">
        <f t="shared" si="53"/>
        <v>0.97290964010456882</v>
      </c>
      <c r="R137" s="346">
        <f t="shared" si="47"/>
        <v>0.97290964010456882</v>
      </c>
      <c r="T137" s="181"/>
      <c r="U137" s="181">
        <f t="shared" si="33"/>
        <v>0.14738613400309442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9604-3BA1-4F99-804F-42EB74C37892}">
  <dimension ref="A1:AA137"/>
  <sheetViews>
    <sheetView topLeftCell="C1" workbookViewId="0">
      <selection activeCell="X7" sqref="X7:AA21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1.42578125" customWidth="1"/>
    <col min="20" max="20" width="10" bestFit="1" customWidth="1"/>
    <col min="21" max="21" width="11.85546875" customWidth="1"/>
    <col min="24" max="24" width="18.5703125" customWidth="1"/>
    <col min="25" max="25" width="17.140625" customWidth="1"/>
    <col min="26" max="26" width="16.85546875" customWidth="1"/>
    <col min="27" max="27" width="16.28515625" customWidth="1"/>
  </cols>
  <sheetData>
    <row r="1" spans="1:27" ht="18" x14ac:dyDescent="0.25">
      <c r="A1" s="401" t="s">
        <v>377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7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7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7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7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7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7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7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7" x14ac:dyDescent="0.25">
      <c r="A9" s="25"/>
      <c r="B9" s="15" t="s">
        <v>24</v>
      </c>
      <c r="C9" s="16">
        <v>0.98399999999999987</v>
      </c>
      <c r="D9" s="17">
        <v>8.199999999999999E-2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9">
        <f t="shared" si="0"/>
        <v>12</v>
      </c>
      <c r="R9" s="20">
        <f t="shared" si="1"/>
        <v>1</v>
      </c>
      <c r="S9" s="15"/>
      <c r="T9" s="21"/>
      <c r="U9" s="22">
        <f t="shared" si="2"/>
        <v>11.195121951219514</v>
      </c>
    </row>
    <row r="10" spans="1:27" x14ac:dyDescent="0.25">
      <c r="A10" s="15"/>
      <c r="B10" s="15" t="s">
        <v>25</v>
      </c>
      <c r="C10" s="16">
        <v>37.728000000000002</v>
      </c>
      <c r="D10" s="17">
        <v>3.1440000000000001</v>
      </c>
      <c r="E10" s="18">
        <v>5</v>
      </c>
      <c r="F10" s="18">
        <v>5</v>
      </c>
      <c r="G10" s="1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5</v>
      </c>
      <c r="M10" s="18">
        <v>5</v>
      </c>
      <c r="N10" s="18">
        <v>5</v>
      </c>
      <c r="O10" s="18">
        <v>5</v>
      </c>
      <c r="P10" s="18">
        <v>5</v>
      </c>
      <c r="Q10" s="19">
        <f t="shared" si="0"/>
        <v>60</v>
      </c>
      <c r="R10" s="20">
        <f t="shared" si="1"/>
        <v>5</v>
      </c>
      <c r="S10" s="15"/>
      <c r="T10" s="21"/>
      <c r="U10" s="22">
        <f t="shared" si="2"/>
        <v>0.59033078880407119</v>
      </c>
    </row>
    <row r="11" spans="1:27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 t="shared" si="1"/>
        <v>#DIV/0!</v>
      </c>
      <c r="S11" s="15"/>
      <c r="T11" s="21"/>
      <c r="U11" s="22">
        <f t="shared" si="2"/>
        <v>0</v>
      </c>
    </row>
    <row r="12" spans="1:27" x14ac:dyDescent="0.25">
      <c r="A12" s="15"/>
      <c r="B12" s="15" t="s">
        <v>27</v>
      </c>
      <c r="C12" s="16">
        <v>0</v>
      </c>
      <c r="D12" s="17">
        <v>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>
        <f>SUM(E12:P12)</f>
        <v>0</v>
      </c>
      <c r="R12" s="335" t="e">
        <f>AVERAGE(E12:P12)</f>
        <v>#DIV/0!</v>
      </c>
      <c r="S12" s="15"/>
      <c r="T12" s="21"/>
      <c r="U12" s="22">
        <f t="shared" si="2"/>
        <v>0</v>
      </c>
    </row>
    <row r="13" spans="1:27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 t="shared" si="1"/>
        <v>#DIV/0!</v>
      </c>
      <c r="S13" s="15"/>
      <c r="T13" s="21"/>
      <c r="U13" s="22">
        <f t="shared" si="2"/>
        <v>0</v>
      </c>
    </row>
    <row r="14" spans="1:27" x14ac:dyDescent="0.25">
      <c r="A14" s="25"/>
      <c r="B14" s="15" t="s">
        <v>29</v>
      </c>
      <c r="C14" s="26">
        <f>SUM(C7:C13)</f>
        <v>38.712000000000003</v>
      </c>
      <c r="D14" s="27">
        <f t="shared" ref="D14:Q14" si="3">SUM(D7:D13)</f>
        <v>3.226</v>
      </c>
      <c r="E14" s="28">
        <f t="shared" si="3"/>
        <v>6</v>
      </c>
      <c r="F14" s="28">
        <f t="shared" si="3"/>
        <v>6</v>
      </c>
      <c r="G14" s="28">
        <f t="shared" si="3"/>
        <v>6</v>
      </c>
      <c r="H14" s="28">
        <f t="shared" si="3"/>
        <v>6</v>
      </c>
      <c r="I14" s="28">
        <f t="shared" si="3"/>
        <v>6</v>
      </c>
      <c r="J14" s="28">
        <f t="shared" si="3"/>
        <v>6</v>
      </c>
      <c r="K14" s="28">
        <f t="shared" si="3"/>
        <v>6</v>
      </c>
      <c r="L14" s="28">
        <f t="shared" si="3"/>
        <v>6</v>
      </c>
      <c r="M14" s="28">
        <f t="shared" si="3"/>
        <v>6</v>
      </c>
      <c r="N14" s="28">
        <f t="shared" si="3"/>
        <v>6</v>
      </c>
      <c r="O14" s="28">
        <f t="shared" si="3"/>
        <v>6</v>
      </c>
      <c r="P14" s="28">
        <f t="shared" si="3"/>
        <v>6</v>
      </c>
      <c r="Q14" s="28">
        <f t="shared" si="3"/>
        <v>72</v>
      </c>
      <c r="R14" s="29">
        <f t="shared" si="1"/>
        <v>6</v>
      </c>
      <c r="T14" s="30"/>
      <c r="U14" s="31">
        <f>IFERROR((Q14-C14)/C14,0)</f>
        <v>0.85988840669559807</v>
      </c>
    </row>
    <row r="15" spans="1:27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7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X16"/>
      <c r="Y16"/>
      <c r="Z16"/>
      <c r="AA16"/>
    </row>
    <row r="17" spans="1:27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X17"/>
      <c r="Y17"/>
      <c r="Z17"/>
      <c r="AA17"/>
    </row>
    <row r="18" spans="1:27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4"/>
        <v/>
      </c>
      <c r="X18"/>
      <c r="Y18"/>
      <c r="Z18"/>
      <c r="AA18"/>
    </row>
    <row r="19" spans="1:27" s="44" customFormat="1" x14ac:dyDescent="0.25">
      <c r="B19" s="15" t="s">
        <v>34</v>
      </c>
      <c r="C19" s="40"/>
      <c r="D19" s="41"/>
      <c r="E19" s="42">
        <v>185</v>
      </c>
      <c r="F19" s="42">
        <v>185</v>
      </c>
      <c r="G19" s="42">
        <v>185</v>
      </c>
      <c r="H19" s="42">
        <v>185</v>
      </c>
      <c r="I19" s="42">
        <v>185</v>
      </c>
      <c r="J19" s="42">
        <v>185</v>
      </c>
      <c r="K19" s="42">
        <v>185</v>
      </c>
      <c r="L19" s="42">
        <v>185</v>
      </c>
      <c r="M19" s="42">
        <v>185</v>
      </c>
      <c r="N19" s="42">
        <v>185</v>
      </c>
      <c r="O19" s="42">
        <v>185</v>
      </c>
      <c r="P19" s="42">
        <v>185</v>
      </c>
      <c r="Q19" s="42">
        <f>AVERAGE(E19:P19)</f>
        <v>185</v>
      </c>
      <c r="R19" s="43">
        <f t="shared" si="1"/>
        <v>185</v>
      </c>
      <c r="S19" s="15"/>
      <c r="T19" s="21"/>
      <c r="U19" s="22" t="str">
        <f t="shared" si="4"/>
        <v/>
      </c>
      <c r="X19"/>
      <c r="Y19"/>
      <c r="Z19"/>
      <c r="AA19"/>
    </row>
    <row r="20" spans="1:27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4"/>
        <v/>
      </c>
      <c r="X20"/>
      <c r="Y20"/>
      <c r="Z20"/>
      <c r="AA20"/>
    </row>
    <row r="21" spans="1:27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4"/>
        <v/>
      </c>
      <c r="X21"/>
      <c r="Y21"/>
      <c r="Z21"/>
      <c r="AA21"/>
    </row>
    <row r="22" spans="1:27" s="44" customFormat="1" ht="12" x14ac:dyDescent="0.2">
      <c r="B22" s="15"/>
      <c r="C22" s="46"/>
      <c r="D22" s="47"/>
      <c r="E22" s="42"/>
      <c r="R22" s="48"/>
      <c r="S22" s="49"/>
      <c r="T22" s="50"/>
      <c r="U22" s="50"/>
    </row>
    <row r="23" spans="1:27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7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15"/>
    </row>
    <row r="25" spans="1:27" x14ac:dyDescent="0.25">
      <c r="A25" s="25"/>
      <c r="B25" s="15" t="s">
        <v>39</v>
      </c>
      <c r="C25" s="56">
        <v>0</v>
      </c>
      <c r="D25" s="57">
        <f t="shared" ref="D25:D29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6"/>
        <v>0</v>
      </c>
      <c r="V25" s="15"/>
    </row>
    <row r="26" spans="1:27" x14ac:dyDescent="0.25">
      <c r="A26" s="25"/>
      <c r="B26" s="15" t="s">
        <v>40</v>
      </c>
      <c r="C26" s="56">
        <v>52426.8</v>
      </c>
      <c r="D26" s="57">
        <f t="shared" si="7"/>
        <v>4368.9000000000005</v>
      </c>
      <c r="E26" s="58">
        <f>(((E9*E18)*21.75)+(((E10*E19)*13.08)+(((E11*E20)*4.33))))</f>
        <v>18624</v>
      </c>
      <c r="F26" s="58">
        <f t="shared" ref="F26:O26" si="8">(((F9*F18)*21.75)+(((F10*F19)*13.08)+(((F11*F20)*4.33))))</f>
        <v>18624</v>
      </c>
      <c r="G26" s="58">
        <f t="shared" si="8"/>
        <v>18624</v>
      </c>
      <c r="H26" s="58">
        <f t="shared" si="8"/>
        <v>18624</v>
      </c>
      <c r="I26" s="58">
        <f t="shared" si="8"/>
        <v>18624</v>
      </c>
      <c r="J26" s="58">
        <f t="shared" si="8"/>
        <v>18624</v>
      </c>
      <c r="K26" s="58">
        <f t="shared" si="8"/>
        <v>18624</v>
      </c>
      <c r="L26" s="58">
        <f t="shared" si="8"/>
        <v>18624</v>
      </c>
      <c r="M26" s="58">
        <f t="shared" si="8"/>
        <v>18624</v>
      </c>
      <c r="N26" s="58">
        <f t="shared" si="8"/>
        <v>18624</v>
      </c>
      <c r="O26" s="58">
        <f t="shared" si="8"/>
        <v>18624</v>
      </c>
      <c r="P26" s="58">
        <f>(((P9*P18)*21.75)+(((P10*P19)*13.08)+(((P11*P20)*4.33))))</f>
        <v>18624</v>
      </c>
      <c r="Q26" s="59">
        <f>SUM(E26:P26)</f>
        <v>223488</v>
      </c>
      <c r="R26" s="60">
        <f t="shared" si="1"/>
        <v>18624</v>
      </c>
      <c r="S26" s="15"/>
      <c r="T26" s="61"/>
      <c r="U26" s="62">
        <f t="shared" si="6"/>
        <v>3.2628579276248026</v>
      </c>
      <c r="V26" s="15"/>
    </row>
    <row r="27" spans="1:27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 t="shared" si="1"/>
        <v>0</v>
      </c>
      <c r="S27" s="15"/>
      <c r="T27" s="61"/>
      <c r="U27" s="62">
        <f t="shared" si="6"/>
        <v>0</v>
      </c>
      <c r="V27" s="15"/>
    </row>
    <row r="28" spans="1:27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9"/>
        <v>0</v>
      </c>
      <c r="L28" s="58">
        <f t="shared" si="9"/>
        <v>0</v>
      </c>
      <c r="M28" s="58">
        <f t="shared" si="9"/>
        <v>0</v>
      </c>
      <c r="N28" s="58">
        <f t="shared" si="9"/>
        <v>0</v>
      </c>
      <c r="O28" s="58">
        <f t="shared" si="9"/>
        <v>0</v>
      </c>
      <c r="P28" s="58">
        <f t="shared" si="9"/>
        <v>0</v>
      </c>
      <c r="Q28" s="59">
        <f>SUM(E28:P28)</f>
        <v>0</v>
      </c>
      <c r="R28" s="60">
        <f t="shared" si="1"/>
        <v>0</v>
      </c>
      <c r="S28" s="15"/>
      <c r="T28" s="61"/>
      <c r="U28" s="62">
        <f t="shared" si="6"/>
        <v>0</v>
      </c>
      <c r="V28" s="15"/>
    </row>
    <row r="29" spans="1:27" x14ac:dyDescent="0.25">
      <c r="A29" s="63" t="s">
        <v>43</v>
      </c>
      <c r="B29" s="15"/>
      <c r="C29" s="347">
        <f>SUM(C24:C28)</f>
        <v>52426.8</v>
      </c>
      <c r="D29" s="57">
        <f t="shared" si="7"/>
        <v>4368.9000000000005</v>
      </c>
      <c r="E29" s="348">
        <f t="shared" ref="E29:Q29" si="10">SUM(E24:E28)</f>
        <v>18624</v>
      </c>
      <c r="F29" s="348">
        <f t="shared" si="10"/>
        <v>18624</v>
      </c>
      <c r="G29" s="348">
        <f t="shared" si="10"/>
        <v>18624</v>
      </c>
      <c r="H29" s="348">
        <f t="shared" si="10"/>
        <v>18624</v>
      </c>
      <c r="I29" s="348">
        <f t="shared" si="10"/>
        <v>18624</v>
      </c>
      <c r="J29" s="348">
        <f t="shared" si="10"/>
        <v>18624</v>
      </c>
      <c r="K29" s="348">
        <f t="shared" si="10"/>
        <v>18624</v>
      </c>
      <c r="L29" s="348">
        <f t="shared" si="10"/>
        <v>18624</v>
      </c>
      <c r="M29" s="348">
        <f t="shared" si="10"/>
        <v>18624</v>
      </c>
      <c r="N29" s="348">
        <f t="shared" si="10"/>
        <v>18624</v>
      </c>
      <c r="O29" s="348">
        <f t="shared" si="10"/>
        <v>18624</v>
      </c>
      <c r="P29" s="348">
        <f t="shared" si="10"/>
        <v>18624</v>
      </c>
      <c r="Q29" s="348">
        <f t="shared" si="10"/>
        <v>223488</v>
      </c>
      <c r="R29" s="349">
        <f>AVERAGE(E29:P29)</f>
        <v>18624</v>
      </c>
      <c r="T29" s="68"/>
      <c r="U29" s="69">
        <f t="shared" si="6"/>
        <v>3.2628579276248026</v>
      </c>
    </row>
    <row r="30" spans="1:27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7" x14ac:dyDescent="0.25">
      <c r="A31" s="63"/>
      <c r="B31" s="15" t="s">
        <v>45</v>
      </c>
      <c r="C31" s="56">
        <v>-28560.720000000001</v>
      </c>
      <c r="D31" s="57">
        <f>C31/7</f>
        <v>-4080.1028571428574</v>
      </c>
      <c r="E31" s="58">
        <f t="shared" ref="E31:P31" si="11">-E26*0.7</f>
        <v>-13036.8</v>
      </c>
      <c r="F31" s="58">
        <f t="shared" si="11"/>
        <v>-13036.8</v>
      </c>
      <c r="G31" s="58">
        <f t="shared" si="11"/>
        <v>-13036.8</v>
      </c>
      <c r="H31" s="58">
        <f t="shared" si="11"/>
        <v>-13036.8</v>
      </c>
      <c r="I31" s="58">
        <f t="shared" si="11"/>
        <v>-13036.8</v>
      </c>
      <c r="J31" s="58">
        <f t="shared" si="11"/>
        <v>-13036.8</v>
      </c>
      <c r="K31" s="58">
        <f t="shared" si="11"/>
        <v>-13036.8</v>
      </c>
      <c r="L31" s="58">
        <f t="shared" si="11"/>
        <v>-13036.8</v>
      </c>
      <c r="M31" s="58">
        <f t="shared" si="11"/>
        <v>-13036.8</v>
      </c>
      <c r="N31" s="58">
        <f t="shared" si="11"/>
        <v>-13036.8</v>
      </c>
      <c r="O31" s="58">
        <f t="shared" si="11"/>
        <v>-13036.8</v>
      </c>
      <c r="P31" s="58">
        <f t="shared" si="11"/>
        <v>-13036.8</v>
      </c>
      <c r="Q31" s="59">
        <f>SUM(E31:P31)</f>
        <v>-156441.60000000001</v>
      </c>
      <c r="R31" s="60">
        <f>AVERAGE(E31:P31)</f>
        <v>-13036.800000000001</v>
      </c>
      <c r="S31" s="15"/>
      <c r="T31" s="61"/>
      <c r="U31" s="62">
        <f t="shared" si="6"/>
        <v>4.4775089703620914</v>
      </c>
    </row>
    <row r="32" spans="1:27" x14ac:dyDescent="0.25">
      <c r="A32" s="63" t="s">
        <v>46</v>
      </c>
      <c r="B32" s="15"/>
      <c r="C32" s="347">
        <f t="shared" ref="C32:D32" si="12">SUM(C31)</f>
        <v>-28560.720000000001</v>
      </c>
      <c r="D32" s="350">
        <f t="shared" si="12"/>
        <v>-4080.1028571428574</v>
      </c>
      <c r="E32" s="348">
        <f>SUM(E31)</f>
        <v>-13036.8</v>
      </c>
      <c r="F32" s="348">
        <f>SUM(F31)</f>
        <v>-13036.8</v>
      </c>
      <c r="G32" s="348">
        <f t="shared" ref="G32:P32" si="13">SUM(G31)</f>
        <v>-13036.8</v>
      </c>
      <c r="H32" s="348">
        <f t="shared" si="13"/>
        <v>-13036.8</v>
      </c>
      <c r="I32" s="348">
        <f t="shared" si="13"/>
        <v>-13036.8</v>
      </c>
      <c r="J32" s="348">
        <f t="shared" si="13"/>
        <v>-13036.8</v>
      </c>
      <c r="K32" s="348">
        <f t="shared" si="13"/>
        <v>-13036.8</v>
      </c>
      <c r="L32" s="348">
        <f t="shared" si="13"/>
        <v>-13036.8</v>
      </c>
      <c r="M32" s="348">
        <f t="shared" si="13"/>
        <v>-13036.8</v>
      </c>
      <c r="N32" s="348">
        <f t="shared" si="13"/>
        <v>-13036.8</v>
      </c>
      <c r="O32" s="348">
        <f t="shared" si="13"/>
        <v>-13036.8</v>
      </c>
      <c r="P32" s="348">
        <f t="shared" si="13"/>
        <v>-13036.8</v>
      </c>
      <c r="Q32" s="348">
        <f>SUM(Q31)</f>
        <v>-156441.60000000001</v>
      </c>
      <c r="R32" s="349">
        <f>AVERAGE(E32:P32)</f>
        <v>-13036.800000000001</v>
      </c>
      <c r="T32" s="68"/>
      <c r="U32" s="69">
        <f t="shared" si="6"/>
        <v>4.4775089703620914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4">C29+C32</f>
        <v>23866.080000000002</v>
      </c>
      <c r="D33" s="352">
        <f t="shared" si="14"/>
        <v>288.79714285714317</v>
      </c>
      <c r="E33" s="353">
        <f>E29+E32</f>
        <v>5587.2000000000007</v>
      </c>
      <c r="F33" s="353">
        <f>F29+F32</f>
        <v>5587.2000000000007</v>
      </c>
      <c r="G33" s="353">
        <f t="shared" ref="G33:Q33" si="15">G29+G32</f>
        <v>5587.2000000000007</v>
      </c>
      <c r="H33" s="353">
        <f t="shared" si="15"/>
        <v>5587.2000000000007</v>
      </c>
      <c r="I33" s="353">
        <f t="shared" si="15"/>
        <v>5587.2000000000007</v>
      </c>
      <c r="J33" s="353">
        <f t="shared" si="15"/>
        <v>5587.2000000000007</v>
      </c>
      <c r="K33" s="353">
        <f t="shared" si="15"/>
        <v>5587.2000000000007</v>
      </c>
      <c r="L33" s="353">
        <f t="shared" si="15"/>
        <v>5587.2000000000007</v>
      </c>
      <c r="M33" s="353">
        <f t="shared" si="15"/>
        <v>5587.2000000000007</v>
      </c>
      <c r="N33" s="353">
        <f t="shared" si="15"/>
        <v>5587.2000000000007</v>
      </c>
      <c r="O33" s="353">
        <f t="shared" si="15"/>
        <v>5587.2000000000007</v>
      </c>
      <c r="P33" s="353">
        <f t="shared" si="15"/>
        <v>5587.2000000000007</v>
      </c>
      <c r="Q33" s="353">
        <f t="shared" si="15"/>
        <v>67046.399999999994</v>
      </c>
      <c r="R33" s="354">
        <f>AVERAGE(E33:P33)</f>
        <v>5587.2</v>
      </c>
      <c r="T33" s="75"/>
      <c r="U33" s="76">
        <f t="shared" si="6"/>
        <v>1.8092757587337338</v>
      </c>
    </row>
    <row r="34" spans="1:21" x14ac:dyDescent="0.25">
      <c r="A34" s="78" t="s">
        <v>49</v>
      </c>
      <c r="B34" t="s">
        <v>48</v>
      </c>
      <c r="C34" s="355">
        <f t="shared" ref="C34:D34" si="16">C33</f>
        <v>23866.080000000002</v>
      </c>
      <c r="D34" s="356">
        <f t="shared" si="16"/>
        <v>288.79714285714317</v>
      </c>
      <c r="E34" s="357">
        <f>E33</f>
        <v>5587.2000000000007</v>
      </c>
      <c r="F34" s="357">
        <f t="shared" ref="F34:Q34" si="17">F33</f>
        <v>5587.2000000000007</v>
      </c>
      <c r="G34" s="357">
        <f t="shared" si="17"/>
        <v>5587.2000000000007</v>
      </c>
      <c r="H34" s="357">
        <f t="shared" si="17"/>
        <v>5587.2000000000007</v>
      </c>
      <c r="I34" s="357">
        <f t="shared" si="17"/>
        <v>5587.2000000000007</v>
      </c>
      <c r="J34" s="357">
        <f t="shared" si="17"/>
        <v>5587.2000000000007</v>
      </c>
      <c r="K34" s="357">
        <f t="shared" si="17"/>
        <v>5587.2000000000007</v>
      </c>
      <c r="L34" s="357">
        <f t="shared" si="17"/>
        <v>5587.2000000000007</v>
      </c>
      <c r="M34" s="357">
        <f t="shared" si="17"/>
        <v>5587.2000000000007</v>
      </c>
      <c r="N34" s="357">
        <f t="shared" si="17"/>
        <v>5587.2000000000007</v>
      </c>
      <c r="O34" s="357">
        <f t="shared" si="17"/>
        <v>5587.2000000000007</v>
      </c>
      <c r="P34" s="357">
        <f t="shared" si="17"/>
        <v>5587.2000000000007</v>
      </c>
      <c r="Q34" s="357">
        <f t="shared" si="17"/>
        <v>67046.399999999994</v>
      </c>
      <c r="R34" s="358">
        <f t="shared" si="1"/>
        <v>5587.2</v>
      </c>
      <c r="T34" s="30"/>
      <c r="U34" s="31">
        <f t="shared" si="6"/>
        <v>1.8092757587337338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>AVERAGE(E37:P37)</f>
        <v>#DIV/0!</v>
      </c>
      <c r="S37" s="15"/>
      <c r="T37" s="62">
        <f>Q37/$Q$34</f>
        <v>0</v>
      </c>
      <c r="U37" s="62">
        <f t="shared" si="6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8">SUM(E38:P38)</f>
        <v>0</v>
      </c>
      <c r="R38" s="89" t="e">
        <f t="shared" si="1"/>
        <v>#DIV/0!</v>
      </c>
      <c r="S38" s="15"/>
      <c r="T38" s="62">
        <f t="shared" ref="T38:T102" si="19">Q38/$Q$34</f>
        <v>0</v>
      </c>
      <c r="U38" s="62">
        <f t="shared" si="6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8"/>
        <v>0</v>
      </c>
      <c r="R39" s="89" t="e">
        <f t="shared" si="1"/>
        <v>#DIV/0!</v>
      </c>
      <c r="S39" s="15"/>
      <c r="T39" s="62">
        <f t="shared" si="19"/>
        <v>0</v>
      </c>
      <c r="U39" s="62">
        <f t="shared" si="6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8"/>
        <v>0</v>
      </c>
      <c r="R40" s="89" t="e">
        <f t="shared" si="1"/>
        <v>#DIV/0!</v>
      </c>
      <c r="S40" s="15"/>
      <c r="T40" s="62">
        <f t="shared" si="19"/>
        <v>0</v>
      </c>
      <c r="U40" s="62">
        <f t="shared" si="6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8"/>
        <v>0</v>
      </c>
      <c r="R41" s="89" t="e">
        <f t="shared" si="1"/>
        <v>#DIV/0!</v>
      </c>
      <c r="S41" s="15"/>
      <c r="T41" s="62">
        <f t="shared" si="19"/>
        <v>0</v>
      </c>
      <c r="U41" s="62">
        <f t="shared" si="6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8"/>
        <v>0</v>
      </c>
      <c r="R42" s="89" t="e">
        <f t="shared" si="1"/>
        <v>#DIV/0!</v>
      </c>
      <c r="S42" s="15"/>
      <c r="T42" s="62">
        <f t="shared" si="19"/>
        <v>0</v>
      </c>
      <c r="U42" s="62">
        <f t="shared" si="6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8"/>
        <v>0</v>
      </c>
      <c r="R43" s="89" t="e">
        <f t="shared" si="1"/>
        <v>#DIV/0!</v>
      </c>
      <c r="S43" s="15"/>
      <c r="T43" s="62">
        <f t="shared" si="19"/>
        <v>0</v>
      </c>
      <c r="U43" s="62">
        <f t="shared" si="6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8"/>
        <v>0</v>
      </c>
      <c r="R44" s="89" t="e">
        <f t="shared" si="1"/>
        <v>#DIV/0!</v>
      </c>
      <c r="S44" s="15"/>
      <c r="T44" s="62">
        <f t="shared" si="19"/>
        <v>0</v>
      </c>
      <c r="U44" s="62">
        <f t="shared" si="6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8"/>
        <v>0</v>
      </c>
      <c r="R45" s="89" t="e">
        <f t="shared" si="1"/>
        <v>#DIV/0!</v>
      </c>
      <c r="S45" s="15"/>
      <c r="T45" s="62">
        <f t="shared" si="19"/>
        <v>0</v>
      </c>
      <c r="U45" s="62">
        <f t="shared" si="6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8"/>
        <v>0</v>
      </c>
      <c r="R46" s="89" t="e">
        <f t="shared" si="1"/>
        <v>#DIV/0!</v>
      </c>
      <c r="S46" s="15"/>
      <c r="T46" s="62">
        <f t="shared" si="19"/>
        <v>0</v>
      </c>
      <c r="U46" s="62">
        <f t="shared" si="6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8"/>
        <v>0</v>
      </c>
      <c r="R47" s="89" t="e">
        <f t="shared" si="1"/>
        <v>#DIV/0!</v>
      </c>
      <c r="S47" s="15"/>
      <c r="T47" s="62">
        <f t="shared" si="19"/>
        <v>0</v>
      </c>
      <c r="U47" s="62">
        <f t="shared" si="6"/>
        <v>0</v>
      </c>
    </row>
    <row r="48" spans="1:21" x14ac:dyDescent="0.25">
      <c r="A48" s="63" t="s">
        <v>63</v>
      </c>
      <c r="B48" t="s">
        <v>48</v>
      </c>
      <c r="C48" s="91">
        <f t="shared" ref="C48:Q48" si="20">SUM(C37:C47)</f>
        <v>0</v>
      </c>
      <c r="D48" s="92">
        <f t="shared" si="20"/>
        <v>0</v>
      </c>
      <c r="E48" s="93">
        <f t="shared" si="20"/>
        <v>0</v>
      </c>
      <c r="F48" s="93">
        <f t="shared" si="20"/>
        <v>0</v>
      </c>
      <c r="G48" s="93">
        <f t="shared" si="20"/>
        <v>0</v>
      </c>
      <c r="H48" s="93">
        <f t="shared" si="20"/>
        <v>0</v>
      </c>
      <c r="I48" s="93">
        <f t="shared" si="20"/>
        <v>0</v>
      </c>
      <c r="J48" s="93">
        <f t="shared" si="20"/>
        <v>0</v>
      </c>
      <c r="K48" s="93">
        <f t="shared" si="20"/>
        <v>0</v>
      </c>
      <c r="L48" s="93">
        <f t="shared" si="20"/>
        <v>0</v>
      </c>
      <c r="M48" s="93">
        <f t="shared" si="20"/>
        <v>0</v>
      </c>
      <c r="N48" s="93">
        <f t="shared" si="20"/>
        <v>0</v>
      </c>
      <c r="O48" s="93">
        <f t="shared" si="20"/>
        <v>0</v>
      </c>
      <c r="P48" s="93">
        <f t="shared" si="20"/>
        <v>0</v>
      </c>
      <c r="Q48" s="93">
        <f t="shared" si="20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1">SUM(E50:P50)</f>
        <v>0</v>
      </c>
      <c r="R50" s="89" t="e">
        <f t="shared" si="1"/>
        <v>#DIV/0!</v>
      </c>
      <c r="S50" s="15"/>
      <c r="T50" s="62">
        <f t="shared" si="19"/>
        <v>0</v>
      </c>
      <c r="U50" s="62">
        <f t="shared" si="6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1"/>
        <v>0</v>
      </c>
      <c r="R51" s="89" t="e">
        <f t="shared" si="1"/>
        <v>#DIV/0!</v>
      </c>
      <c r="S51" s="15"/>
      <c r="T51" s="62">
        <f t="shared" si="19"/>
        <v>0</v>
      </c>
      <c r="U51" s="62">
        <f t="shared" si="6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1"/>
        <v>0</v>
      </c>
      <c r="R52" s="89" t="e">
        <f t="shared" si="1"/>
        <v>#DIV/0!</v>
      </c>
      <c r="S52" s="15"/>
      <c r="T52" s="62">
        <f t="shared" si="19"/>
        <v>0</v>
      </c>
      <c r="U52" s="62">
        <f t="shared" si="6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1"/>
        <v>0</v>
      </c>
      <c r="R53" s="89" t="e">
        <f t="shared" si="1"/>
        <v>#DIV/0!</v>
      </c>
      <c r="S53" s="15"/>
      <c r="T53" s="62">
        <f t="shared" si="19"/>
        <v>0</v>
      </c>
      <c r="U53" s="62">
        <f t="shared" si="6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1"/>
        <v>0</v>
      </c>
      <c r="R54" s="89" t="e">
        <f t="shared" si="1"/>
        <v>#DIV/0!</v>
      </c>
      <c r="S54" s="15"/>
      <c r="T54" s="62">
        <f t="shared" si="19"/>
        <v>0</v>
      </c>
      <c r="U54" s="62">
        <f t="shared" si="6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1"/>
        <v>0</v>
      </c>
      <c r="R55" s="89" t="e">
        <f t="shared" si="1"/>
        <v>#DIV/0!</v>
      </c>
      <c r="S55" s="15"/>
      <c r="T55" s="62">
        <f t="shared" si="19"/>
        <v>0</v>
      </c>
      <c r="U55" s="62">
        <f t="shared" si="6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ref="Q56:Q57" si="22">SUM(E56:P56)</f>
        <v>0</v>
      </c>
      <c r="R56" s="89" t="e">
        <f t="shared" si="1"/>
        <v>#DIV/0!</v>
      </c>
      <c r="S56" s="15"/>
      <c r="T56" s="62">
        <f t="shared" si="19"/>
        <v>0</v>
      </c>
      <c r="U56" s="62">
        <f t="shared" si="6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2"/>
        <v>0</v>
      </c>
      <c r="R57" s="89" t="e">
        <f t="shared" si="1"/>
        <v>#DIV/0!</v>
      </c>
      <c r="S57" s="15"/>
      <c r="T57" s="62">
        <f t="shared" si="19"/>
        <v>0</v>
      </c>
      <c r="U57" s="62">
        <f t="shared" si="6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1"/>
        <v>0</v>
      </c>
      <c r="R58" s="89" t="e">
        <f t="shared" si="1"/>
        <v>#DIV/0!</v>
      </c>
      <c r="S58" s="15"/>
      <c r="T58" s="62">
        <f t="shared" si="19"/>
        <v>0</v>
      </c>
      <c r="U58" s="62">
        <f t="shared" si="6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1"/>
        <v>0</v>
      </c>
      <c r="R59" s="89" t="e">
        <f t="shared" si="1"/>
        <v>#DIV/0!</v>
      </c>
      <c r="S59" s="15"/>
      <c r="T59" s="62">
        <f t="shared" si="19"/>
        <v>0</v>
      </c>
      <c r="U59" s="62">
        <f t="shared" si="6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1"/>
        <v>0</v>
      </c>
      <c r="R60" s="89" t="e">
        <f t="shared" si="1"/>
        <v>#DIV/0!</v>
      </c>
      <c r="S60" s="15"/>
      <c r="T60" s="62">
        <f t="shared" si="19"/>
        <v>0</v>
      </c>
      <c r="U60" s="62">
        <f t="shared" si="6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1"/>
        <v>0</v>
      </c>
      <c r="R61" s="89" t="e">
        <f t="shared" si="1"/>
        <v>#DIV/0!</v>
      </c>
      <c r="S61" s="15"/>
      <c r="T61" s="62">
        <f t="shared" si="19"/>
        <v>0</v>
      </c>
      <c r="U61" s="62">
        <f t="shared" si="6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19"/>
        <v>0</v>
      </c>
      <c r="U64" s="62">
        <f t="shared" si="6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19"/>
        <v>0</v>
      </c>
      <c r="U65" s="62">
        <f t="shared" si="6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19"/>
        <v>0</v>
      </c>
      <c r="U66" s="62">
        <f t="shared" si="6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5">SUM(E67:P67)</f>
        <v>0</v>
      </c>
      <c r="R67" s="89" t="e">
        <f t="shared" si="1"/>
        <v>#DIV/0!</v>
      </c>
      <c r="S67" s="15"/>
      <c r="T67" s="62">
        <f t="shared" si="19"/>
        <v>0</v>
      </c>
      <c r="U67" s="62">
        <f t="shared" si="6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5"/>
        <v>0</v>
      </c>
      <c r="R68" s="89" t="e">
        <f t="shared" si="1"/>
        <v>#DIV/0!</v>
      </c>
      <c r="S68" s="15"/>
      <c r="T68" s="62">
        <f t="shared" si="19"/>
        <v>0</v>
      </c>
      <c r="U68" s="62">
        <f t="shared" si="6"/>
        <v>0</v>
      </c>
    </row>
    <row r="69" spans="1:21" ht="23.25" x14ac:dyDescent="0.25">
      <c r="A69" s="25"/>
      <c r="B69" s="15" t="s">
        <v>84</v>
      </c>
      <c r="C69" s="56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5"/>
        <v>0</v>
      </c>
      <c r="R69" s="89" t="e">
        <f t="shared" si="1"/>
        <v>#DIV/0!</v>
      </c>
      <c r="S69" s="15"/>
      <c r="T69" s="62">
        <f t="shared" si="19"/>
        <v>0</v>
      </c>
      <c r="U69" s="62">
        <f t="shared" si="6"/>
        <v>0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5"/>
        <v>0</v>
      </c>
      <c r="R70" s="89" t="e">
        <f t="shared" si="1"/>
        <v>#DIV/0!</v>
      </c>
      <c r="S70" s="15"/>
      <c r="T70" s="62">
        <f t="shared" si="19"/>
        <v>0</v>
      </c>
      <c r="U70" s="62">
        <f t="shared" si="6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5"/>
        <v>0</v>
      </c>
      <c r="R71" s="89" t="e">
        <f t="shared" si="1"/>
        <v>#DIV/0!</v>
      </c>
      <c r="S71" s="15"/>
      <c r="T71" s="62">
        <f t="shared" si="19"/>
        <v>0</v>
      </c>
      <c r="U71" s="62">
        <f t="shared" si="6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5"/>
        <v>0</v>
      </c>
      <c r="R72" s="89" t="e">
        <f t="shared" si="1"/>
        <v>#DIV/0!</v>
      </c>
      <c r="S72" s="15"/>
      <c r="T72" s="62">
        <f t="shared" si="19"/>
        <v>0</v>
      </c>
      <c r="U72" s="62">
        <f t="shared" si="6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6">SUM(C64:C72)</f>
        <v>0</v>
      </c>
      <c r="D73" s="92">
        <f t="shared" si="26"/>
        <v>0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19"/>
        <v>0</v>
      </c>
      <c r="U73" s="96">
        <f t="shared" si="6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19"/>
        <v>0</v>
      </c>
      <c r="U75" s="62">
        <f t="shared" si="6"/>
        <v>0</v>
      </c>
    </row>
    <row r="76" spans="1:21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/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19"/>
        <v>0</v>
      </c>
      <c r="U78" s="62">
        <f t="shared" si="6"/>
        <v>0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 t="shared" si="1"/>
        <v>#DIV/0!</v>
      </c>
      <c r="S79" s="15"/>
      <c r="T79" s="62">
        <f t="shared" si="19"/>
        <v>0</v>
      </c>
      <c r="U79" s="62">
        <f t="shared" si="6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19"/>
        <v>0</v>
      </c>
      <c r="U80" s="62">
        <f t="shared" si="6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19"/>
        <v>0</v>
      </c>
      <c r="U81" s="62">
        <f t="shared" si="6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29">SUM(C78:C81)</f>
        <v>0</v>
      </c>
      <c r="D82" s="92">
        <f t="shared" si="29"/>
        <v>0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19"/>
        <v>0</v>
      </c>
      <c r="U82" s="96">
        <f t="shared" si="6"/>
        <v>0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/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1">SUM(E84:P84)</f>
        <v>0</v>
      </c>
      <c r="R84" s="89" t="e">
        <f t="shared" si="1"/>
        <v>#DIV/0!</v>
      </c>
      <c r="S84" s="15"/>
      <c r="T84" s="62">
        <f t="shared" si="19"/>
        <v>0</v>
      </c>
      <c r="U84" s="62">
        <f t="shared" si="6"/>
        <v>0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1"/>
        <v>0</v>
      </c>
      <c r="R85" s="89" t="e">
        <f t="shared" si="1"/>
        <v>#DIV/0!</v>
      </c>
      <c r="S85" s="15"/>
      <c r="T85" s="62">
        <f t="shared" si="19"/>
        <v>0</v>
      </c>
      <c r="U85" s="62">
        <f t="shared" si="6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1"/>
        <v>0</v>
      </c>
      <c r="R86" s="89" t="e">
        <f t="shared" si="1"/>
        <v>#DIV/0!</v>
      </c>
      <c r="S86" s="15"/>
      <c r="T86" s="62">
        <f t="shared" si="19"/>
        <v>0</v>
      </c>
      <c r="U86" s="62">
        <f t="shared" si="6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1"/>
        <v>0</v>
      </c>
      <c r="R87" s="89" t="e">
        <f t="shared" si="1"/>
        <v>#DIV/0!</v>
      </c>
      <c r="S87" s="15"/>
      <c r="T87" s="62">
        <f t="shared" si="19"/>
        <v>0</v>
      </c>
      <c r="U87" s="62">
        <f t="shared" si="6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1"/>
        <v>0</v>
      </c>
      <c r="R88" s="89" t="e">
        <f t="shared" ref="R88:R130" si="32">AVERAGE(E88:P88)</f>
        <v>#DIV/0!</v>
      </c>
      <c r="S88" s="15"/>
      <c r="T88" s="62">
        <f t="shared" si="19"/>
        <v>0</v>
      </c>
      <c r="U88" s="62">
        <f t="shared" si="6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1"/>
        <v>0</v>
      </c>
      <c r="R89" s="89" t="e">
        <f t="shared" si="32"/>
        <v>#DIV/0!</v>
      </c>
      <c r="S89" s="15"/>
      <c r="T89" s="62">
        <f t="shared" si="19"/>
        <v>0</v>
      </c>
      <c r="U89" s="62">
        <f t="shared" ref="U89:U137" si="33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Q90" si="34">SUM(C84:C89)</f>
        <v>0</v>
      </c>
      <c r="D90" s="92">
        <f t="shared" si="34"/>
        <v>0</v>
      </c>
      <c r="E90" s="93">
        <f t="shared" si="34"/>
        <v>0</v>
      </c>
      <c r="F90" s="93">
        <f t="shared" si="34"/>
        <v>0</v>
      </c>
      <c r="G90" s="93">
        <f t="shared" si="34"/>
        <v>0</v>
      </c>
      <c r="H90" s="93">
        <f t="shared" si="34"/>
        <v>0</v>
      </c>
      <c r="I90" s="93">
        <f t="shared" si="34"/>
        <v>0</v>
      </c>
      <c r="J90" s="93">
        <f t="shared" si="34"/>
        <v>0</v>
      </c>
      <c r="K90" s="93">
        <f t="shared" si="34"/>
        <v>0</v>
      </c>
      <c r="L90" s="93">
        <f t="shared" si="34"/>
        <v>0</v>
      </c>
      <c r="M90" s="93">
        <f t="shared" si="34"/>
        <v>0</v>
      </c>
      <c r="N90" s="93">
        <f t="shared" si="34"/>
        <v>0</v>
      </c>
      <c r="O90" s="93">
        <f t="shared" si="34"/>
        <v>0</v>
      </c>
      <c r="P90" s="93">
        <f t="shared" si="34"/>
        <v>0</v>
      </c>
      <c r="Q90" s="93">
        <f t="shared" si="34"/>
        <v>0</v>
      </c>
      <c r="R90" s="94">
        <f>AVERAGE(E90:P90)</f>
        <v>0</v>
      </c>
      <c r="T90" s="96">
        <f t="shared" si="19"/>
        <v>0</v>
      </c>
      <c r="U90" s="96">
        <f t="shared" si="33"/>
        <v>0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>
        <v>20</v>
      </c>
      <c r="D92" s="57">
        <f>C92/12</f>
        <v>1.6666666666666667</v>
      </c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19"/>
        <v>0</v>
      </c>
      <c r="U92" s="62">
        <f t="shared" si="33"/>
        <v>-1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2"/>
        <v>#DIV/0!</v>
      </c>
      <c r="S93" s="15"/>
      <c r="T93" s="62">
        <f t="shared" si="19"/>
        <v>0</v>
      </c>
      <c r="U93" s="62">
        <f t="shared" si="33"/>
        <v>0</v>
      </c>
    </row>
    <row r="94" spans="1:21" x14ac:dyDescent="0.25">
      <c r="A94" s="25"/>
      <c r="B94" s="15" t="s">
        <v>109</v>
      </c>
      <c r="C94" s="56"/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2"/>
        <v>#DIV/0!</v>
      </c>
      <c r="S94" s="15"/>
      <c r="T94" s="62">
        <f t="shared" si="19"/>
        <v>0</v>
      </c>
      <c r="U94" s="62">
        <f t="shared" si="33"/>
        <v>0</v>
      </c>
    </row>
    <row r="95" spans="1:21" x14ac:dyDescent="0.25">
      <c r="A95" s="63" t="s">
        <v>110</v>
      </c>
      <c r="B95" s="15"/>
      <c r="C95" s="91">
        <f t="shared" ref="C95:Q95" si="35">SUM(C92:C94)</f>
        <v>20</v>
      </c>
      <c r="D95" s="92">
        <f t="shared" si="35"/>
        <v>1.6666666666666667</v>
      </c>
      <c r="E95" s="93">
        <f t="shared" si="35"/>
        <v>0</v>
      </c>
      <c r="F95" s="93">
        <f t="shared" si="35"/>
        <v>0</v>
      </c>
      <c r="G95" s="93">
        <f t="shared" si="35"/>
        <v>0</v>
      </c>
      <c r="H95" s="93">
        <f t="shared" si="35"/>
        <v>0</v>
      </c>
      <c r="I95" s="93">
        <f t="shared" si="35"/>
        <v>0</v>
      </c>
      <c r="J95" s="93">
        <f t="shared" si="35"/>
        <v>0</v>
      </c>
      <c r="K95" s="93">
        <f t="shared" si="35"/>
        <v>0</v>
      </c>
      <c r="L95" s="93">
        <f t="shared" si="35"/>
        <v>0</v>
      </c>
      <c r="M95" s="93">
        <f t="shared" si="35"/>
        <v>0</v>
      </c>
      <c r="N95" s="93">
        <f t="shared" si="35"/>
        <v>0</v>
      </c>
      <c r="O95" s="93">
        <f t="shared" si="35"/>
        <v>0</v>
      </c>
      <c r="P95" s="93">
        <f t="shared" si="35"/>
        <v>0</v>
      </c>
      <c r="Q95" s="93">
        <f t="shared" si="35"/>
        <v>0</v>
      </c>
      <c r="R95" s="94">
        <f t="shared" si="32"/>
        <v>0</v>
      </c>
      <c r="T95" s="96">
        <f t="shared" si="19"/>
        <v>0</v>
      </c>
      <c r="U95" s="96">
        <f t="shared" si="33"/>
        <v>-1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20" si="36">SUM(E97:P97)</f>
        <v>0</v>
      </c>
      <c r="R97" s="89" t="e">
        <f t="shared" si="32"/>
        <v>#DIV/0!</v>
      </c>
      <c r="S97" s="15"/>
      <c r="T97" s="62">
        <f t="shared" si="19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6"/>
        <v>0</v>
      </c>
      <c r="R98" s="89" t="e">
        <f t="shared" si="32"/>
        <v>#DIV/0!</v>
      </c>
      <c r="S98" s="15"/>
      <c r="T98" s="62">
        <f t="shared" si="19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6"/>
        <v>0</v>
      </c>
      <c r="R99" s="89" t="e">
        <f t="shared" si="32"/>
        <v>#DIV/0!</v>
      </c>
      <c r="S99" s="15"/>
      <c r="T99" s="62">
        <f t="shared" si="19"/>
        <v>0</v>
      </c>
      <c r="U99" s="62">
        <f t="shared" si="33"/>
        <v>0</v>
      </c>
    </row>
    <row r="100" spans="1:21" x14ac:dyDescent="0.25">
      <c r="A100" s="25"/>
      <c r="B100" s="15" t="s">
        <v>115</v>
      </c>
      <c r="C100" s="56">
        <v>180</v>
      </c>
      <c r="D100" s="57">
        <f>C100/12</f>
        <v>15</v>
      </c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36"/>
        <v>0</v>
      </c>
      <c r="R100" s="89" t="e">
        <f t="shared" si="32"/>
        <v>#DIV/0!</v>
      </c>
      <c r="S100" s="15"/>
      <c r="T100" s="62">
        <f t="shared" si="19"/>
        <v>0</v>
      </c>
      <c r="U100" s="62">
        <f t="shared" si="33"/>
        <v>-1</v>
      </c>
    </row>
    <row r="101" spans="1:21" x14ac:dyDescent="0.25">
      <c r="A101" s="25"/>
      <c r="B101" s="15" t="s">
        <v>116</v>
      </c>
      <c r="C101" s="56"/>
      <c r="D101" s="57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6"/>
        <v>0</v>
      </c>
      <c r="R101" s="89" t="e">
        <f t="shared" si="32"/>
        <v>#DIV/0!</v>
      </c>
      <c r="S101" s="15"/>
      <c r="T101" s="62">
        <f t="shared" si="19"/>
        <v>0</v>
      </c>
      <c r="U101" s="62">
        <f t="shared" si="33"/>
        <v>0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6"/>
        <v>0</v>
      </c>
      <c r="R102" s="89" t="e">
        <f t="shared" si="32"/>
        <v>#DIV/0!</v>
      </c>
      <c r="S102" s="15"/>
      <c r="T102" s="62">
        <f t="shared" si="19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/>
      <c r="D103" s="57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6"/>
        <v>0</v>
      </c>
      <c r="R103" s="89" t="e">
        <f t="shared" si="32"/>
        <v>#DIV/0!</v>
      </c>
      <c r="S103" s="15"/>
      <c r="T103" s="62">
        <f t="shared" ref="T103:T135" si="37">Q103/$Q$34</f>
        <v>0</v>
      </c>
      <c r="U103" s="62">
        <f t="shared" si="33"/>
        <v>0</v>
      </c>
    </row>
    <row r="104" spans="1:21" x14ac:dyDescent="0.25">
      <c r="A104" s="25"/>
      <c r="B104" s="15" t="s">
        <v>119</v>
      </c>
      <c r="C104" s="56"/>
      <c r="D104" s="57"/>
      <c r="E104" s="58">
        <f>(50*(E7+E8))+(25*(E9+E10))+(10*(E11+E12))+(15*E13)</f>
        <v>150</v>
      </c>
      <c r="F104" s="58">
        <f t="shared" ref="F104:P104" si="38">(50*(F7+F8))+(25*(F9+F10))+(10*(F11+F12))+(15*F13)</f>
        <v>150</v>
      </c>
      <c r="G104" s="58">
        <f t="shared" si="38"/>
        <v>150</v>
      </c>
      <c r="H104" s="58">
        <f t="shared" si="38"/>
        <v>150</v>
      </c>
      <c r="I104" s="58">
        <f t="shared" si="38"/>
        <v>150</v>
      </c>
      <c r="J104" s="58">
        <f t="shared" si="38"/>
        <v>150</v>
      </c>
      <c r="K104" s="58">
        <f t="shared" si="38"/>
        <v>150</v>
      </c>
      <c r="L104" s="58">
        <f>(50*(L7+L8))+(25*(L9+L10))+(10*(L11+L12))+(15*L13)</f>
        <v>150</v>
      </c>
      <c r="M104" s="58">
        <f t="shared" si="38"/>
        <v>150</v>
      </c>
      <c r="N104" s="58">
        <f t="shared" si="38"/>
        <v>150</v>
      </c>
      <c r="O104" s="58">
        <f t="shared" si="38"/>
        <v>150</v>
      </c>
      <c r="P104" s="58">
        <f t="shared" si="38"/>
        <v>150</v>
      </c>
      <c r="Q104" s="58">
        <f t="shared" si="36"/>
        <v>1800</v>
      </c>
      <c r="R104" s="89">
        <f t="shared" si="32"/>
        <v>150</v>
      </c>
      <c r="S104" s="15"/>
      <c r="T104" s="62">
        <f t="shared" si="37"/>
        <v>2.6847079037800689E-2</v>
      </c>
      <c r="U104" s="62">
        <f t="shared" si="33"/>
        <v>0</v>
      </c>
    </row>
    <row r="105" spans="1:21" x14ac:dyDescent="0.25">
      <c r="A105" s="25"/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6"/>
        <v>0</v>
      </c>
      <c r="R105" s="89" t="e">
        <f t="shared" si="32"/>
        <v>#DIV/0!</v>
      </c>
      <c r="S105" s="15"/>
      <c r="T105" s="62">
        <f t="shared" si="37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36"/>
        <v>0</v>
      </c>
      <c r="R106" s="89" t="e">
        <f t="shared" si="32"/>
        <v>#DIV/0!</v>
      </c>
      <c r="S106" s="15"/>
      <c r="T106" s="62">
        <f t="shared" si="37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36"/>
        <v>0</v>
      </c>
      <c r="R107" s="89" t="e">
        <f t="shared" si="32"/>
        <v>#DIV/0!</v>
      </c>
      <c r="S107" s="15"/>
      <c r="T107" s="62">
        <f t="shared" si="37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36"/>
        <v>0</v>
      </c>
      <c r="R108" s="89" t="e">
        <f t="shared" si="32"/>
        <v>#DIV/0!</v>
      </c>
      <c r="S108" s="15"/>
      <c r="T108" s="62">
        <f t="shared" si="37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36"/>
        <v>0</v>
      </c>
      <c r="R109" s="89" t="e">
        <f t="shared" si="32"/>
        <v>#DIV/0!</v>
      </c>
      <c r="S109" s="15"/>
      <c r="T109" s="62">
        <f t="shared" si="37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36"/>
        <v>0</v>
      </c>
      <c r="R110" s="89" t="e">
        <f t="shared" si="32"/>
        <v>#DIV/0!</v>
      </c>
      <c r="S110" s="15"/>
      <c r="T110" s="62">
        <f t="shared" si="37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36"/>
        <v>0</v>
      </c>
      <c r="R111" s="89" t="e">
        <f t="shared" si="32"/>
        <v>#DIV/0!</v>
      </c>
      <c r="S111" s="15"/>
      <c r="T111" s="62">
        <f t="shared" si="37"/>
        <v>0</v>
      </c>
      <c r="U111" s="62">
        <f t="shared" si="33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36"/>
        <v>0</v>
      </c>
      <c r="R112" s="89" t="e">
        <f t="shared" si="32"/>
        <v>#DIV/0!</v>
      </c>
      <c r="S112" s="15"/>
      <c r="T112" s="62">
        <f t="shared" si="37"/>
        <v>0</v>
      </c>
      <c r="U112" s="62">
        <f t="shared" si="33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36"/>
        <v>0</v>
      </c>
      <c r="R113" s="89" t="e">
        <f t="shared" si="32"/>
        <v>#DIV/0!</v>
      </c>
      <c r="S113" s="15"/>
      <c r="T113" s="62">
        <f t="shared" si="37"/>
        <v>0</v>
      </c>
      <c r="U113" s="62">
        <f t="shared" si="33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36"/>
        <v>0</v>
      </c>
      <c r="R114" s="89" t="e">
        <f t="shared" si="32"/>
        <v>#DIV/0!</v>
      </c>
      <c r="S114" s="15"/>
      <c r="T114" s="62">
        <f t="shared" si="37"/>
        <v>0</v>
      </c>
      <c r="U114" s="62">
        <f t="shared" si="33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6"/>
        <v>0</v>
      </c>
      <c r="R115" s="89" t="e">
        <f t="shared" si="32"/>
        <v>#DIV/0!</v>
      </c>
      <c r="S115" s="15"/>
      <c r="T115" s="62">
        <f t="shared" si="37"/>
        <v>0</v>
      </c>
      <c r="U115" s="62">
        <f t="shared" si="33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6"/>
        <v>0</v>
      </c>
      <c r="R116" s="89" t="e">
        <f t="shared" si="32"/>
        <v>#DIV/0!</v>
      </c>
      <c r="S116" s="15"/>
      <c r="T116" s="62">
        <f t="shared" si="37"/>
        <v>0</v>
      </c>
      <c r="U116" s="62">
        <f t="shared" si="33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6"/>
        <v>0</v>
      </c>
      <c r="R117" s="89" t="e">
        <f t="shared" si="32"/>
        <v>#DIV/0!</v>
      </c>
      <c r="S117" s="15"/>
      <c r="T117" s="62">
        <f t="shared" si="37"/>
        <v>0</v>
      </c>
      <c r="U117" s="62">
        <f t="shared" si="33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6"/>
        <v>0</v>
      </c>
      <c r="R118" s="89" t="e">
        <f t="shared" si="32"/>
        <v>#DIV/0!</v>
      </c>
      <c r="S118" s="15"/>
      <c r="T118" s="62">
        <f t="shared" si="37"/>
        <v>0</v>
      </c>
      <c r="U118" s="62">
        <f t="shared" si="33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>SUM(E119:P119)</f>
        <v>0</v>
      </c>
      <c r="R119" s="89" t="e">
        <f>AVERAGE(E119:P119)</f>
        <v>#DIV/0!</v>
      </c>
      <c r="S119" s="15"/>
      <c r="T119" s="62">
        <f t="shared" si="37"/>
        <v>0</v>
      </c>
      <c r="U119" s="62">
        <f t="shared" si="33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36"/>
        <v>0</v>
      </c>
      <c r="R120" s="89" t="e">
        <f t="shared" si="32"/>
        <v>#DIV/0!</v>
      </c>
      <c r="S120" s="15"/>
      <c r="T120" s="62">
        <f t="shared" si="37"/>
        <v>0</v>
      </c>
      <c r="U120" s="62">
        <f t="shared" si="33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39">SUM(C97:C120)</f>
        <v>180</v>
      </c>
      <c r="D121" s="92">
        <f t="shared" si="39"/>
        <v>15</v>
      </c>
      <c r="E121" s="93">
        <f t="shared" si="39"/>
        <v>150</v>
      </c>
      <c r="F121" s="93">
        <f t="shared" si="39"/>
        <v>150</v>
      </c>
      <c r="G121" s="93">
        <f t="shared" si="39"/>
        <v>150</v>
      </c>
      <c r="H121" s="93">
        <f t="shared" si="39"/>
        <v>150</v>
      </c>
      <c r="I121" s="93">
        <f t="shared" si="39"/>
        <v>150</v>
      </c>
      <c r="J121" s="93">
        <f t="shared" si="39"/>
        <v>150</v>
      </c>
      <c r="K121" s="93">
        <f t="shared" si="39"/>
        <v>150</v>
      </c>
      <c r="L121" s="93">
        <f t="shared" si="39"/>
        <v>150</v>
      </c>
      <c r="M121" s="93">
        <f t="shared" si="39"/>
        <v>150</v>
      </c>
      <c r="N121" s="93">
        <f t="shared" si="39"/>
        <v>150</v>
      </c>
      <c r="O121" s="93">
        <f t="shared" si="39"/>
        <v>150</v>
      </c>
      <c r="P121" s="93">
        <f t="shared" si="39"/>
        <v>150</v>
      </c>
      <c r="Q121" s="93">
        <f t="shared" si="39"/>
        <v>1800</v>
      </c>
      <c r="R121" s="94">
        <f>AVERAGE(E121:P121)</f>
        <v>150</v>
      </c>
      <c r="T121" s="96">
        <f t="shared" si="37"/>
        <v>2.6847079037800689E-2</v>
      </c>
      <c r="U121" s="96">
        <f t="shared" si="33"/>
        <v>9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>SUM(E123:P123)</f>
        <v>0</v>
      </c>
      <c r="R123" s="89" t="e">
        <f t="shared" si="32"/>
        <v>#DIV/0!</v>
      </c>
      <c r="S123" s="15"/>
      <c r="T123" s="62">
        <f t="shared" si="37"/>
        <v>0</v>
      </c>
      <c r="U123" s="62">
        <f t="shared" si="33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0">SUM(C123:C123)</f>
        <v>0</v>
      </c>
      <c r="D124" s="92">
        <f t="shared" si="40"/>
        <v>0</v>
      </c>
      <c r="E124" s="93">
        <f t="shared" si="40"/>
        <v>0</v>
      </c>
      <c r="F124" s="93">
        <f t="shared" si="40"/>
        <v>0</v>
      </c>
      <c r="G124" s="93">
        <f t="shared" si="40"/>
        <v>0</v>
      </c>
      <c r="H124" s="93">
        <f t="shared" si="40"/>
        <v>0</v>
      </c>
      <c r="I124" s="93">
        <f t="shared" si="40"/>
        <v>0</v>
      </c>
      <c r="J124" s="93">
        <f t="shared" si="40"/>
        <v>0</v>
      </c>
      <c r="K124" s="93">
        <f t="shared" si="40"/>
        <v>0</v>
      </c>
      <c r="L124" s="93">
        <f t="shared" si="40"/>
        <v>0</v>
      </c>
      <c r="M124" s="93">
        <f t="shared" si="40"/>
        <v>0</v>
      </c>
      <c r="N124" s="93">
        <f t="shared" si="40"/>
        <v>0</v>
      </c>
      <c r="O124" s="93">
        <f t="shared" si="40"/>
        <v>0</v>
      </c>
      <c r="P124" s="93">
        <f t="shared" si="40"/>
        <v>0</v>
      </c>
      <c r="Q124" s="93">
        <f t="shared" si="40"/>
        <v>0</v>
      </c>
      <c r="R124" s="94">
        <f t="shared" si="32"/>
        <v>0</v>
      </c>
      <c r="T124" s="96">
        <f t="shared" si="37"/>
        <v>0</v>
      </c>
      <c r="U124" s="96">
        <f t="shared" si="33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/>
      <c r="D126" s="57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2"/>
        <v>#DIV/0!</v>
      </c>
      <c r="S126" s="15"/>
      <c r="T126" s="62">
        <f t="shared" si="37"/>
        <v>0</v>
      </c>
      <c r="U126" s="62">
        <f t="shared" si="33"/>
        <v>0</v>
      </c>
    </row>
    <row r="127" spans="1:21" x14ac:dyDescent="0.25">
      <c r="A127" s="63" t="s">
        <v>142</v>
      </c>
      <c r="B127" s="15"/>
      <c r="C127" s="137">
        <f t="shared" ref="C127:Q127" si="41">SUM(C126:C126)</f>
        <v>0</v>
      </c>
      <c r="D127" s="138">
        <f t="shared" si="41"/>
        <v>0</v>
      </c>
      <c r="E127" s="139">
        <f t="shared" si="41"/>
        <v>0</v>
      </c>
      <c r="F127" s="139">
        <f t="shared" si="41"/>
        <v>0</v>
      </c>
      <c r="G127" s="139">
        <f t="shared" si="41"/>
        <v>0</v>
      </c>
      <c r="H127" s="139">
        <f t="shared" si="41"/>
        <v>0</v>
      </c>
      <c r="I127" s="139">
        <f t="shared" si="41"/>
        <v>0</v>
      </c>
      <c r="J127" s="139">
        <f t="shared" si="41"/>
        <v>0</v>
      </c>
      <c r="K127" s="139">
        <f t="shared" si="41"/>
        <v>0</v>
      </c>
      <c r="L127" s="139">
        <f t="shared" si="41"/>
        <v>0</v>
      </c>
      <c r="M127" s="139">
        <f t="shared" si="41"/>
        <v>0</v>
      </c>
      <c r="N127" s="139">
        <f t="shared" si="41"/>
        <v>0</v>
      </c>
      <c r="O127" s="139">
        <f t="shared" si="41"/>
        <v>0</v>
      </c>
      <c r="P127" s="139">
        <f t="shared" si="41"/>
        <v>0</v>
      </c>
      <c r="Q127" s="139">
        <f t="shared" si="41"/>
        <v>0</v>
      </c>
      <c r="R127" s="140">
        <f t="shared" si="32"/>
        <v>0</v>
      </c>
      <c r="T127" s="141">
        <f t="shared" si="37"/>
        <v>0</v>
      </c>
      <c r="U127" s="141">
        <f t="shared" si="33"/>
        <v>0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2">C124+C121+C90+C82+C73+C62+C48+C95+C76+C127</f>
        <v>200</v>
      </c>
      <c r="D128" s="72">
        <f t="shared" si="42"/>
        <v>16.666666666666668</v>
      </c>
      <c r="E128" s="73">
        <f t="shared" si="42"/>
        <v>150</v>
      </c>
      <c r="F128" s="73">
        <f t="shared" si="42"/>
        <v>150</v>
      </c>
      <c r="G128" s="73">
        <f t="shared" si="42"/>
        <v>150</v>
      </c>
      <c r="H128" s="73">
        <f t="shared" si="42"/>
        <v>150</v>
      </c>
      <c r="I128" s="73">
        <f t="shared" si="42"/>
        <v>150</v>
      </c>
      <c r="J128" s="73">
        <f t="shared" si="42"/>
        <v>150</v>
      </c>
      <c r="K128" s="73">
        <f t="shared" si="42"/>
        <v>150</v>
      </c>
      <c r="L128" s="73">
        <f t="shared" si="42"/>
        <v>150</v>
      </c>
      <c r="M128" s="73">
        <f t="shared" si="42"/>
        <v>150</v>
      </c>
      <c r="N128" s="73">
        <f t="shared" si="42"/>
        <v>150</v>
      </c>
      <c r="O128" s="73">
        <f t="shared" si="42"/>
        <v>150</v>
      </c>
      <c r="P128" s="73">
        <f t="shared" si="42"/>
        <v>150</v>
      </c>
      <c r="Q128" s="73">
        <f t="shared" si="42"/>
        <v>1800</v>
      </c>
      <c r="R128" s="74">
        <f t="shared" si="32"/>
        <v>150</v>
      </c>
      <c r="T128" s="76">
        <f t="shared" si="37"/>
        <v>2.6847079037800689E-2</v>
      </c>
      <c r="U128" s="76">
        <f t="shared" si="33"/>
        <v>8</v>
      </c>
    </row>
    <row r="129" spans="1:21" x14ac:dyDescent="0.25">
      <c r="A129" s="78" t="s">
        <v>144</v>
      </c>
      <c r="B129" t="s">
        <v>48</v>
      </c>
      <c r="C129" s="79">
        <f t="shared" ref="C129:Q129" si="43">C34-C128</f>
        <v>23666.080000000002</v>
      </c>
      <c r="D129" s="80">
        <f t="shared" si="43"/>
        <v>272.13047619047649</v>
      </c>
      <c r="E129" s="81">
        <f t="shared" si="43"/>
        <v>5437.2000000000007</v>
      </c>
      <c r="F129" s="81">
        <f t="shared" si="43"/>
        <v>5437.2000000000007</v>
      </c>
      <c r="G129" s="81">
        <f t="shared" si="43"/>
        <v>5437.2000000000007</v>
      </c>
      <c r="H129" s="81">
        <f t="shared" si="43"/>
        <v>5437.2000000000007</v>
      </c>
      <c r="I129" s="81">
        <f t="shared" si="43"/>
        <v>5437.2000000000007</v>
      </c>
      <c r="J129" s="81">
        <f t="shared" si="43"/>
        <v>5437.2000000000007</v>
      </c>
      <c r="K129" s="81">
        <f t="shared" si="43"/>
        <v>5437.2000000000007</v>
      </c>
      <c r="L129" s="81">
        <f t="shared" si="43"/>
        <v>5437.2000000000007</v>
      </c>
      <c r="M129" s="81">
        <f t="shared" si="43"/>
        <v>5437.2000000000007</v>
      </c>
      <c r="N129" s="81">
        <f t="shared" si="43"/>
        <v>5437.2000000000007</v>
      </c>
      <c r="O129" s="81">
        <f t="shared" si="43"/>
        <v>5437.2000000000007</v>
      </c>
      <c r="P129" s="81">
        <f t="shared" si="43"/>
        <v>5437.2000000000007</v>
      </c>
      <c r="Q129" s="81">
        <f t="shared" si="43"/>
        <v>65246.399999999994</v>
      </c>
      <c r="R129" s="82">
        <f t="shared" si="32"/>
        <v>5437.2</v>
      </c>
      <c r="T129" s="31">
        <f t="shared" si="37"/>
        <v>0.9731529209621993</v>
      </c>
      <c r="U129" s="31">
        <f t="shared" si="33"/>
        <v>1.7569584823511113</v>
      </c>
    </row>
    <row r="130" spans="1:21" x14ac:dyDescent="0.25">
      <c r="A130" s="78" t="s">
        <v>145</v>
      </c>
      <c r="B130" t="s">
        <v>48</v>
      </c>
      <c r="C130" s="339">
        <f t="shared" ref="C130:Q130" si="44">IFERROR(C129/C34,0)</f>
        <v>0.9916199057406998</v>
      </c>
      <c r="D130" s="340">
        <f t="shared" si="44"/>
        <v>0.94228936442452604</v>
      </c>
      <c r="E130" s="341">
        <f t="shared" si="44"/>
        <v>0.9731529209621993</v>
      </c>
      <c r="F130" s="341">
        <f t="shared" si="44"/>
        <v>0.9731529209621993</v>
      </c>
      <c r="G130" s="341">
        <f t="shared" si="44"/>
        <v>0.9731529209621993</v>
      </c>
      <c r="H130" s="341">
        <f t="shared" si="44"/>
        <v>0.9731529209621993</v>
      </c>
      <c r="I130" s="341">
        <f t="shared" si="44"/>
        <v>0.9731529209621993</v>
      </c>
      <c r="J130" s="341">
        <f t="shared" si="44"/>
        <v>0.9731529209621993</v>
      </c>
      <c r="K130" s="341">
        <f t="shared" si="44"/>
        <v>0.9731529209621993</v>
      </c>
      <c r="L130" s="341">
        <f t="shared" si="44"/>
        <v>0.9731529209621993</v>
      </c>
      <c r="M130" s="341">
        <f t="shared" si="44"/>
        <v>0.9731529209621993</v>
      </c>
      <c r="N130" s="341">
        <f t="shared" si="44"/>
        <v>0.9731529209621993</v>
      </c>
      <c r="O130" s="341">
        <f t="shared" si="44"/>
        <v>0.9731529209621993</v>
      </c>
      <c r="P130" s="341">
        <f t="shared" si="44"/>
        <v>0.9731529209621993</v>
      </c>
      <c r="Q130" s="341">
        <f t="shared" si="44"/>
        <v>0.9731529209621993</v>
      </c>
      <c r="R130" s="342">
        <f t="shared" si="32"/>
        <v>0.97315292096219952</v>
      </c>
      <c r="T130" s="31"/>
      <c r="U130" s="31">
        <f>IFERROR((Q130-C130)/C130,0)</f>
        <v>-1.8623047673399031E-2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5">AVERAGE(E132:P132)</f>
        <v>#DIV/0!</v>
      </c>
      <c r="S132" s="15"/>
      <c r="T132" s="62">
        <f t="shared" si="37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5"/>
        <v>#DIV/0!</v>
      </c>
      <c r="S133" s="15"/>
      <c r="T133" s="62">
        <f t="shared" si="37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6">SUM(C132:C133)</f>
        <v>0</v>
      </c>
      <c r="D134" s="138">
        <f t="shared" si="46"/>
        <v>0</v>
      </c>
      <c r="E134" s="139">
        <f>SUM(E132:E133)</f>
        <v>0</v>
      </c>
      <c r="F134" s="139">
        <f t="shared" ref="F134:Q134" si="47">SUM(F132:F133)</f>
        <v>0</v>
      </c>
      <c r="G134" s="139">
        <f t="shared" si="47"/>
        <v>0</v>
      </c>
      <c r="H134" s="139">
        <f t="shared" si="47"/>
        <v>0</v>
      </c>
      <c r="I134" s="139">
        <f t="shared" si="47"/>
        <v>0</v>
      </c>
      <c r="J134" s="139">
        <f t="shared" si="47"/>
        <v>0</v>
      </c>
      <c r="K134" s="139">
        <f t="shared" si="47"/>
        <v>0</v>
      </c>
      <c r="L134" s="139">
        <f t="shared" si="47"/>
        <v>0</v>
      </c>
      <c r="M134" s="139">
        <f t="shared" si="47"/>
        <v>0</v>
      </c>
      <c r="N134" s="139">
        <f t="shared" si="47"/>
        <v>0</v>
      </c>
      <c r="O134" s="139">
        <f t="shared" si="47"/>
        <v>0</v>
      </c>
      <c r="P134" s="139">
        <f t="shared" si="47"/>
        <v>0</v>
      </c>
      <c r="Q134" s="139">
        <f t="shared" si="47"/>
        <v>0</v>
      </c>
      <c r="R134" s="140">
        <f>AVERAGE(E134:P134)</f>
        <v>0</v>
      </c>
      <c r="T134" s="141">
        <f t="shared" si="37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48">C134+C128</f>
        <v>200</v>
      </c>
      <c r="D135" s="72">
        <f t="shared" si="48"/>
        <v>16.666666666666668</v>
      </c>
      <c r="E135" s="73">
        <f>E134+E128</f>
        <v>150</v>
      </c>
      <c r="F135" s="73">
        <f t="shared" ref="F135:P135" si="49">F134+F128</f>
        <v>150</v>
      </c>
      <c r="G135" s="73">
        <f t="shared" si="49"/>
        <v>150</v>
      </c>
      <c r="H135" s="73">
        <f t="shared" si="49"/>
        <v>150</v>
      </c>
      <c r="I135" s="73">
        <f t="shared" si="49"/>
        <v>150</v>
      </c>
      <c r="J135" s="73">
        <f t="shared" si="49"/>
        <v>150</v>
      </c>
      <c r="K135" s="73">
        <f t="shared" si="49"/>
        <v>150</v>
      </c>
      <c r="L135" s="73">
        <f t="shared" si="49"/>
        <v>150</v>
      </c>
      <c r="M135" s="73">
        <f t="shared" si="49"/>
        <v>150</v>
      </c>
      <c r="N135" s="73">
        <f t="shared" si="49"/>
        <v>150</v>
      </c>
      <c r="O135" s="73">
        <f t="shared" si="49"/>
        <v>150</v>
      </c>
      <c r="P135" s="73">
        <f t="shared" si="49"/>
        <v>150</v>
      </c>
      <c r="Q135" s="73">
        <f>Q134+Q128</f>
        <v>1800</v>
      </c>
      <c r="R135" s="74">
        <f t="shared" si="45"/>
        <v>150</v>
      </c>
      <c r="T135" s="76">
        <f t="shared" si="37"/>
        <v>2.6847079037800689E-2</v>
      </c>
      <c r="U135" s="76">
        <f t="shared" si="33"/>
        <v>8</v>
      </c>
    </row>
    <row r="136" spans="1:21" x14ac:dyDescent="0.25">
      <c r="A136" s="78" t="s">
        <v>151</v>
      </c>
      <c r="C136" s="79">
        <f t="shared" ref="C136:Q136" si="50">C34-C135</f>
        <v>23666.080000000002</v>
      </c>
      <c r="D136" s="80">
        <f t="shared" si="50"/>
        <v>272.13047619047649</v>
      </c>
      <c r="E136" s="81">
        <f t="shared" si="50"/>
        <v>5437.2000000000007</v>
      </c>
      <c r="F136" s="81">
        <f t="shared" si="50"/>
        <v>5437.2000000000007</v>
      </c>
      <c r="G136" s="81">
        <f t="shared" si="50"/>
        <v>5437.2000000000007</v>
      </c>
      <c r="H136" s="81">
        <f t="shared" si="50"/>
        <v>5437.2000000000007</v>
      </c>
      <c r="I136" s="81">
        <f t="shared" si="50"/>
        <v>5437.2000000000007</v>
      </c>
      <c r="J136" s="81">
        <f t="shared" si="50"/>
        <v>5437.2000000000007</v>
      </c>
      <c r="K136" s="81">
        <f t="shared" si="50"/>
        <v>5437.2000000000007</v>
      </c>
      <c r="L136" s="81">
        <f t="shared" si="50"/>
        <v>5437.2000000000007</v>
      </c>
      <c r="M136" s="81">
        <f t="shared" si="50"/>
        <v>5437.2000000000007</v>
      </c>
      <c r="N136" s="81">
        <f t="shared" si="50"/>
        <v>5437.2000000000007</v>
      </c>
      <c r="O136" s="81">
        <f t="shared" si="50"/>
        <v>5437.2000000000007</v>
      </c>
      <c r="P136" s="81">
        <f t="shared" si="50"/>
        <v>5437.2000000000007</v>
      </c>
      <c r="Q136" s="81">
        <f t="shared" si="50"/>
        <v>65246.399999999994</v>
      </c>
      <c r="R136" s="82">
        <f>AVERAGE(E136:P136)</f>
        <v>5437.2</v>
      </c>
      <c r="T136" s="31">
        <f>Q136/$Q$34</f>
        <v>0.9731529209621993</v>
      </c>
      <c r="U136" s="31">
        <f t="shared" si="33"/>
        <v>1.7569584823511113</v>
      </c>
    </row>
    <row r="137" spans="1:21" ht="15.75" thickBot="1" x14ac:dyDescent="0.3">
      <c r="A137" s="78" t="s">
        <v>152</v>
      </c>
      <c r="C137" s="344">
        <f>IFERROR(C136/C34,"")</f>
        <v>0.9916199057406998</v>
      </c>
      <c r="D137" s="345">
        <f>IFERROR(D136/D34,"")</f>
        <v>0.94228936442452604</v>
      </c>
      <c r="E137" s="341">
        <f t="shared" ref="E137:Q137" si="51">E136/E34</f>
        <v>0.9731529209621993</v>
      </c>
      <c r="F137" s="341">
        <f t="shared" si="51"/>
        <v>0.9731529209621993</v>
      </c>
      <c r="G137" s="341">
        <f t="shared" si="51"/>
        <v>0.9731529209621993</v>
      </c>
      <c r="H137" s="341">
        <f t="shared" si="51"/>
        <v>0.9731529209621993</v>
      </c>
      <c r="I137" s="341">
        <f t="shared" si="51"/>
        <v>0.9731529209621993</v>
      </c>
      <c r="J137" s="341">
        <f t="shared" si="51"/>
        <v>0.9731529209621993</v>
      </c>
      <c r="K137" s="341">
        <f t="shared" si="51"/>
        <v>0.9731529209621993</v>
      </c>
      <c r="L137" s="341">
        <f t="shared" si="51"/>
        <v>0.9731529209621993</v>
      </c>
      <c r="M137" s="341">
        <f t="shared" si="51"/>
        <v>0.9731529209621993</v>
      </c>
      <c r="N137" s="341">
        <f t="shared" si="51"/>
        <v>0.9731529209621993</v>
      </c>
      <c r="O137" s="341">
        <f t="shared" si="51"/>
        <v>0.9731529209621993</v>
      </c>
      <c r="P137" s="341">
        <f t="shared" si="51"/>
        <v>0.9731529209621993</v>
      </c>
      <c r="Q137" s="341">
        <f t="shared" si="51"/>
        <v>0.9731529209621993</v>
      </c>
      <c r="R137" s="346">
        <f t="shared" si="45"/>
        <v>0.97315292096219952</v>
      </c>
      <c r="T137" s="181"/>
      <c r="U137" s="181">
        <f t="shared" si="33"/>
        <v>-1.8623047673399031E-2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9E24-2DA3-4A41-BFE4-6981F4C50424}">
  <dimension ref="A1:Z139"/>
  <sheetViews>
    <sheetView topLeftCell="B1" workbookViewId="0">
      <selection activeCell="Z23" sqref="Y23:Z23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35.85546875" customWidth="1"/>
    <col min="20" max="20" width="10" bestFit="1" customWidth="1"/>
    <col min="21" max="21" width="11.85546875" customWidth="1"/>
    <col min="23" max="23" width="12.140625" customWidth="1"/>
    <col min="24" max="24" width="15.5703125" customWidth="1"/>
    <col min="25" max="25" width="16.28515625" customWidth="1"/>
    <col min="26" max="26" width="14" customWidth="1"/>
  </cols>
  <sheetData>
    <row r="1" spans="1:26" ht="18" x14ac:dyDescent="0.25">
      <c r="A1" s="401" t="s">
        <v>378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6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6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6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6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6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6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6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6" x14ac:dyDescent="0.25">
      <c r="A9" s="25"/>
      <c r="B9" s="15" t="s">
        <v>24</v>
      </c>
      <c r="C9" s="16">
        <v>4.6680000000000001</v>
      </c>
      <c r="D9" s="17">
        <v>0.38900000000000001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9">
        <f t="shared" si="0"/>
        <v>12</v>
      </c>
      <c r="R9" s="20">
        <f t="shared" si="1"/>
        <v>1</v>
      </c>
      <c r="S9" s="15"/>
      <c r="T9" s="21"/>
      <c r="U9" s="22">
        <f t="shared" si="2"/>
        <v>1.5706940874035988</v>
      </c>
    </row>
    <row r="10" spans="1:26" x14ac:dyDescent="0.25">
      <c r="A10" s="15"/>
      <c r="B10" s="15" t="s">
        <v>25</v>
      </c>
      <c r="C10" s="16">
        <v>52.511999999999993</v>
      </c>
      <c r="D10" s="17">
        <v>4.3759999999999994</v>
      </c>
      <c r="E10" s="18">
        <v>5</v>
      </c>
      <c r="F10" s="18">
        <v>5</v>
      </c>
      <c r="G10" s="18">
        <v>5</v>
      </c>
      <c r="H10" s="18">
        <v>5</v>
      </c>
      <c r="I10" s="18">
        <v>5</v>
      </c>
      <c r="J10" s="18">
        <v>5</v>
      </c>
      <c r="K10" s="18">
        <v>5</v>
      </c>
      <c r="L10" s="18">
        <v>5</v>
      </c>
      <c r="M10" s="18">
        <v>5</v>
      </c>
      <c r="N10" s="18">
        <v>5</v>
      </c>
      <c r="O10" s="18">
        <v>5</v>
      </c>
      <c r="P10" s="18">
        <v>5</v>
      </c>
      <c r="Q10" s="19">
        <f t="shared" si="0"/>
        <v>60</v>
      </c>
      <c r="R10" s="20">
        <f t="shared" si="1"/>
        <v>5</v>
      </c>
      <c r="S10" s="15"/>
      <c r="T10" s="21"/>
      <c r="U10" s="22">
        <f t="shared" si="2"/>
        <v>0.14259597806215737</v>
      </c>
    </row>
    <row r="11" spans="1:26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>AVERAGE(E11:P11)</f>
        <v>#DIV/0!</v>
      </c>
      <c r="S11" s="15"/>
      <c r="T11" s="21"/>
      <c r="U11" s="22">
        <f t="shared" si="2"/>
        <v>0</v>
      </c>
    </row>
    <row r="12" spans="1:26" x14ac:dyDescent="0.25">
      <c r="A12" s="15"/>
      <c r="B12" s="15" t="s">
        <v>27</v>
      </c>
      <c r="C12" s="16">
        <v>0</v>
      </c>
      <c r="D12" s="17">
        <v>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>
        <f t="shared" si="0"/>
        <v>0</v>
      </c>
      <c r="R12" s="335" t="e">
        <f>AVERAGE(E12:P12)</f>
        <v>#DIV/0!</v>
      </c>
      <c r="S12" s="15"/>
      <c r="T12" s="21"/>
      <c r="U12" s="22">
        <f t="shared" si="2"/>
        <v>0</v>
      </c>
    </row>
    <row r="13" spans="1:26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>AVERAGE(E13:P13)</f>
        <v>#DIV/0!</v>
      </c>
      <c r="S13" s="15"/>
      <c r="T13" s="21"/>
      <c r="U13" s="22">
        <f t="shared" si="2"/>
        <v>0</v>
      </c>
    </row>
    <row r="14" spans="1:26" x14ac:dyDescent="0.25">
      <c r="A14" s="25"/>
      <c r="B14" s="15" t="s">
        <v>29</v>
      </c>
      <c r="C14" s="26">
        <f>SUM(C7:C13)</f>
        <v>57.179999999999993</v>
      </c>
      <c r="D14" s="27">
        <f t="shared" ref="D14:Q14" si="3">SUM(D7:D13)</f>
        <v>4.7649999999999997</v>
      </c>
      <c r="E14" s="28">
        <f t="shared" si="3"/>
        <v>6</v>
      </c>
      <c r="F14" s="28">
        <f t="shared" si="3"/>
        <v>6</v>
      </c>
      <c r="G14" s="28">
        <f t="shared" si="3"/>
        <v>6</v>
      </c>
      <c r="H14" s="28">
        <f t="shared" si="3"/>
        <v>6</v>
      </c>
      <c r="I14" s="28">
        <f t="shared" si="3"/>
        <v>6</v>
      </c>
      <c r="J14" s="28">
        <f t="shared" si="3"/>
        <v>6</v>
      </c>
      <c r="K14" s="28">
        <f t="shared" si="3"/>
        <v>6</v>
      </c>
      <c r="L14" s="28">
        <f t="shared" si="3"/>
        <v>6</v>
      </c>
      <c r="M14" s="28">
        <f t="shared" si="3"/>
        <v>6</v>
      </c>
      <c r="N14" s="28">
        <f t="shared" si="3"/>
        <v>6</v>
      </c>
      <c r="O14" s="28">
        <f t="shared" si="3"/>
        <v>6</v>
      </c>
      <c r="P14" s="28">
        <f t="shared" si="3"/>
        <v>6</v>
      </c>
      <c r="Q14" s="28">
        <f t="shared" si="3"/>
        <v>72</v>
      </c>
      <c r="R14" s="29">
        <f t="shared" si="1"/>
        <v>6</v>
      </c>
      <c r="T14" s="30"/>
      <c r="U14" s="31">
        <f>IFERROR((Q14-C14)/C14,0)</f>
        <v>0.25918153200419741</v>
      </c>
    </row>
    <row r="15" spans="1:26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6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W16"/>
      <c r="X16"/>
      <c r="Y16"/>
      <c r="Z16"/>
    </row>
    <row r="17" spans="1:26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W17"/>
      <c r="X17"/>
      <c r="Y17"/>
      <c r="Z17"/>
    </row>
    <row r="18" spans="1:26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4"/>
        <v/>
      </c>
      <c r="W18"/>
      <c r="X18"/>
      <c r="Y18"/>
      <c r="Z18"/>
    </row>
    <row r="19" spans="1:26" s="44" customFormat="1" x14ac:dyDescent="0.25">
      <c r="B19" s="15" t="s">
        <v>34</v>
      </c>
      <c r="C19" s="40"/>
      <c r="D19" s="41"/>
      <c r="E19" s="42">
        <v>185</v>
      </c>
      <c r="F19" s="42">
        <v>185</v>
      </c>
      <c r="G19" s="42">
        <v>185</v>
      </c>
      <c r="H19" s="42">
        <v>185</v>
      </c>
      <c r="I19" s="42">
        <v>185</v>
      </c>
      <c r="J19" s="42">
        <v>185</v>
      </c>
      <c r="K19" s="42">
        <v>185</v>
      </c>
      <c r="L19" s="42">
        <v>185</v>
      </c>
      <c r="M19" s="42">
        <v>185</v>
      </c>
      <c r="N19" s="42">
        <v>185</v>
      </c>
      <c r="O19" s="42">
        <v>185</v>
      </c>
      <c r="P19" s="42">
        <v>185</v>
      </c>
      <c r="Q19" s="42">
        <f>AVERAGE(E19:P19)</f>
        <v>185</v>
      </c>
      <c r="R19" s="43">
        <f t="shared" si="1"/>
        <v>185</v>
      </c>
      <c r="S19" s="15"/>
      <c r="T19" s="21"/>
      <c r="U19" s="22" t="str">
        <f t="shared" si="4"/>
        <v/>
      </c>
      <c r="W19"/>
      <c r="X19"/>
      <c r="Y19"/>
      <c r="Z19"/>
    </row>
    <row r="20" spans="1:26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4"/>
        <v/>
      </c>
      <c r="W20"/>
      <c r="X20"/>
      <c r="Y20"/>
      <c r="Z20"/>
    </row>
    <row r="21" spans="1:26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4"/>
        <v/>
      </c>
      <c r="W21"/>
      <c r="X21"/>
      <c r="Y21"/>
      <c r="Z21"/>
    </row>
    <row r="22" spans="1:26" s="44" customFormat="1" x14ac:dyDescent="0.25">
      <c r="B22" s="15"/>
      <c r="C22" s="46"/>
      <c r="D22" s="47"/>
      <c r="E22" s="42"/>
      <c r="R22" s="48"/>
      <c r="S22" s="49"/>
      <c r="T22" s="50"/>
      <c r="U22" s="50"/>
      <c r="W22"/>
      <c r="X22"/>
      <c r="Y22"/>
      <c r="Z22"/>
    </row>
    <row r="23" spans="1:26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6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15"/>
    </row>
    <row r="25" spans="1:26" x14ac:dyDescent="0.25">
      <c r="A25" s="25"/>
      <c r="B25" s="15" t="s">
        <v>39</v>
      </c>
      <c r="C25" s="56">
        <v>0</v>
      </c>
      <c r="D25" s="57">
        <f t="shared" ref="D25:D29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6"/>
        <v>0</v>
      </c>
      <c r="V25" s="15"/>
    </row>
    <row r="26" spans="1:26" x14ac:dyDescent="0.25">
      <c r="A26" s="25"/>
      <c r="B26" s="15" t="s">
        <v>40</v>
      </c>
      <c r="C26" s="56">
        <v>154165.79999999999</v>
      </c>
      <c r="D26" s="57">
        <f t="shared" si="7"/>
        <v>12847.15</v>
      </c>
      <c r="E26" s="58">
        <f>(((E9*E18)*21.75)+(((E10*E19)*13.08)+(((E11*E20)*4.33))))</f>
        <v>18624</v>
      </c>
      <c r="F26" s="58">
        <f t="shared" ref="F26:O26" si="8">(((F9*F18)*21.75)+(((F10*F19)*13.08)+(((F11*F20)*4.33))))</f>
        <v>18624</v>
      </c>
      <c r="G26" s="58">
        <f t="shared" si="8"/>
        <v>18624</v>
      </c>
      <c r="H26" s="58">
        <f t="shared" si="8"/>
        <v>18624</v>
      </c>
      <c r="I26" s="58">
        <f t="shared" si="8"/>
        <v>18624</v>
      </c>
      <c r="J26" s="58">
        <f t="shared" si="8"/>
        <v>18624</v>
      </c>
      <c r="K26" s="58">
        <f t="shared" si="8"/>
        <v>18624</v>
      </c>
      <c r="L26" s="58">
        <f t="shared" si="8"/>
        <v>18624</v>
      </c>
      <c r="M26" s="58">
        <f t="shared" si="8"/>
        <v>18624</v>
      </c>
      <c r="N26" s="58">
        <f t="shared" si="8"/>
        <v>18624</v>
      </c>
      <c r="O26" s="58">
        <f t="shared" si="8"/>
        <v>18624</v>
      </c>
      <c r="P26" s="58">
        <f>(((P9*P18)*21.75)+(((P10*P19)*13.08)+(((P11*P20)*4.33))))</f>
        <v>18624</v>
      </c>
      <c r="Q26" s="59">
        <f>SUM(E26:P26)</f>
        <v>223488</v>
      </c>
      <c r="R26" s="60">
        <f>AVERAGE(E26:P26)</f>
        <v>18624</v>
      </c>
      <c r="S26" s="15"/>
      <c r="T26" s="61"/>
      <c r="U26" s="62">
        <f t="shared" si="6"/>
        <v>0.44966004133212434</v>
      </c>
      <c r="V26" s="15"/>
    </row>
    <row r="27" spans="1:26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>AVERAGE(E27:P27)</f>
        <v>0</v>
      </c>
      <c r="S27" s="15"/>
      <c r="T27" s="61"/>
      <c r="U27" s="62">
        <f t="shared" si="6"/>
        <v>0</v>
      </c>
      <c r="V27" s="15"/>
    </row>
    <row r="28" spans="1:26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9"/>
        <v>0</v>
      </c>
      <c r="L28" s="58">
        <f t="shared" si="9"/>
        <v>0</v>
      </c>
      <c r="M28" s="58">
        <f t="shared" si="9"/>
        <v>0</v>
      </c>
      <c r="N28" s="58">
        <f t="shared" si="9"/>
        <v>0</v>
      </c>
      <c r="O28" s="58">
        <f t="shared" si="9"/>
        <v>0</v>
      </c>
      <c r="P28" s="58">
        <f t="shared" si="9"/>
        <v>0</v>
      </c>
      <c r="Q28" s="59">
        <f>SUM(E28:P28)</f>
        <v>0</v>
      </c>
      <c r="R28" s="60">
        <f>AVERAGE(E28:P28)</f>
        <v>0</v>
      </c>
      <c r="S28" s="15"/>
      <c r="T28" s="61"/>
      <c r="U28" s="62">
        <f t="shared" si="6"/>
        <v>0</v>
      </c>
      <c r="V28" s="15"/>
    </row>
    <row r="29" spans="1:26" x14ac:dyDescent="0.25">
      <c r="A29" s="63" t="s">
        <v>43</v>
      </c>
      <c r="B29" s="15"/>
      <c r="C29" s="347">
        <f>SUM(C24:C28)</f>
        <v>154165.79999999999</v>
      </c>
      <c r="D29" s="57">
        <f t="shared" si="7"/>
        <v>12847.15</v>
      </c>
      <c r="E29" s="348">
        <f t="shared" ref="E29:Q29" si="10">SUM(E24:E28)</f>
        <v>18624</v>
      </c>
      <c r="F29" s="348">
        <f t="shared" si="10"/>
        <v>18624</v>
      </c>
      <c r="G29" s="348">
        <f t="shared" si="10"/>
        <v>18624</v>
      </c>
      <c r="H29" s="348">
        <f t="shared" si="10"/>
        <v>18624</v>
      </c>
      <c r="I29" s="348">
        <f t="shared" si="10"/>
        <v>18624</v>
      </c>
      <c r="J29" s="348">
        <f t="shared" si="10"/>
        <v>18624</v>
      </c>
      <c r="K29" s="348">
        <f t="shared" si="10"/>
        <v>18624</v>
      </c>
      <c r="L29" s="348">
        <f t="shared" si="10"/>
        <v>18624</v>
      </c>
      <c r="M29" s="348">
        <f t="shared" si="10"/>
        <v>18624</v>
      </c>
      <c r="N29" s="348">
        <f t="shared" si="10"/>
        <v>18624</v>
      </c>
      <c r="O29" s="348">
        <f t="shared" si="10"/>
        <v>18624</v>
      </c>
      <c r="P29" s="348">
        <f t="shared" si="10"/>
        <v>18624</v>
      </c>
      <c r="Q29" s="348">
        <f t="shared" si="10"/>
        <v>223488</v>
      </c>
      <c r="R29" s="349">
        <f>AVERAGE(E29:P29)</f>
        <v>18624</v>
      </c>
      <c r="T29" s="68"/>
      <c r="U29" s="69">
        <f t="shared" si="6"/>
        <v>0.44966004133212434</v>
      </c>
    </row>
    <row r="30" spans="1:26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6" x14ac:dyDescent="0.25">
      <c r="A31" s="63"/>
      <c r="B31" s="15" t="s">
        <v>45</v>
      </c>
      <c r="C31" s="56">
        <v>-102850.51</v>
      </c>
      <c r="D31" s="57">
        <f>C31/12</f>
        <v>-8570.8758333333335</v>
      </c>
      <c r="E31" s="58">
        <f t="shared" ref="E31:P31" si="11">-E26*0.7</f>
        <v>-13036.8</v>
      </c>
      <c r="F31" s="58">
        <f t="shared" si="11"/>
        <v>-13036.8</v>
      </c>
      <c r="G31" s="58">
        <f t="shared" si="11"/>
        <v>-13036.8</v>
      </c>
      <c r="H31" s="58">
        <f t="shared" si="11"/>
        <v>-13036.8</v>
      </c>
      <c r="I31" s="58">
        <f t="shared" si="11"/>
        <v>-13036.8</v>
      </c>
      <c r="J31" s="58">
        <f t="shared" si="11"/>
        <v>-13036.8</v>
      </c>
      <c r="K31" s="58">
        <f t="shared" si="11"/>
        <v>-13036.8</v>
      </c>
      <c r="L31" s="58">
        <f t="shared" si="11"/>
        <v>-13036.8</v>
      </c>
      <c r="M31" s="58">
        <f t="shared" si="11"/>
        <v>-13036.8</v>
      </c>
      <c r="N31" s="58">
        <f t="shared" si="11"/>
        <v>-13036.8</v>
      </c>
      <c r="O31" s="58">
        <f t="shared" si="11"/>
        <v>-13036.8</v>
      </c>
      <c r="P31" s="58">
        <f t="shared" si="11"/>
        <v>-13036.8</v>
      </c>
      <c r="Q31" s="59">
        <f>SUM(E31:P31)</f>
        <v>-156441.60000000001</v>
      </c>
      <c r="R31" s="60">
        <f>AVERAGE(E31:P31)</f>
        <v>-13036.800000000001</v>
      </c>
      <c r="S31" s="15"/>
      <c r="T31" s="61"/>
      <c r="U31" s="62">
        <f t="shared" si="6"/>
        <v>0.5210580871208127</v>
      </c>
    </row>
    <row r="32" spans="1:26" x14ac:dyDescent="0.25">
      <c r="A32" s="63" t="s">
        <v>46</v>
      </c>
      <c r="B32" s="15"/>
      <c r="C32" s="347">
        <f t="shared" ref="C32:D32" si="12">SUM(C31)</f>
        <v>-102850.51</v>
      </c>
      <c r="D32" s="350">
        <f t="shared" si="12"/>
        <v>-8570.8758333333335</v>
      </c>
      <c r="E32" s="348">
        <f>SUM(E31)</f>
        <v>-13036.8</v>
      </c>
      <c r="F32" s="348">
        <f>SUM(F31)</f>
        <v>-13036.8</v>
      </c>
      <c r="G32" s="348">
        <f t="shared" ref="G32:P32" si="13">SUM(G31)</f>
        <v>-13036.8</v>
      </c>
      <c r="H32" s="348">
        <f t="shared" si="13"/>
        <v>-13036.8</v>
      </c>
      <c r="I32" s="348">
        <f t="shared" si="13"/>
        <v>-13036.8</v>
      </c>
      <c r="J32" s="348">
        <f t="shared" si="13"/>
        <v>-13036.8</v>
      </c>
      <c r="K32" s="348">
        <f t="shared" si="13"/>
        <v>-13036.8</v>
      </c>
      <c r="L32" s="348">
        <f t="shared" si="13"/>
        <v>-13036.8</v>
      </c>
      <c r="M32" s="348">
        <f t="shared" si="13"/>
        <v>-13036.8</v>
      </c>
      <c r="N32" s="348">
        <f t="shared" si="13"/>
        <v>-13036.8</v>
      </c>
      <c r="O32" s="348">
        <f t="shared" si="13"/>
        <v>-13036.8</v>
      </c>
      <c r="P32" s="348">
        <f t="shared" si="13"/>
        <v>-13036.8</v>
      </c>
      <c r="Q32" s="348">
        <f>SUM(Q31)</f>
        <v>-156441.60000000001</v>
      </c>
      <c r="R32" s="349">
        <f>AVERAGE(E32:P32)</f>
        <v>-13036.800000000001</v>
      </c>
      <c r="T32" s="68"/>
      <c r="U32" s="69">
        <f t="shared" si="6"/>
        <v>0.5210580871208127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4">C29+C32</f>
        <v>51315.289999999994</v>
      </c>
      <c r="D33" s="352">
        <f t="shared" si="14"/>
        <v>4276.2741666666661</v>
      </c>
      <c r="E33" s="353">
        <f>E29+E32</f>
        <v>5587.2000000000007</v>
      </c>
      <c r="F33" s="353">
        <f>F29+F32</f>
        <v>5587.2000000000007</v>
      </c>
      <c r="G33" s="353">
        <f t="shared" ref="G33:Q33" si="15">G29+G32</f>
        <v>5587.2000000000007</v>
      </c>
      <c r="H33" s="353">
        <f t="shared" si="15"/>
        <v>5587.2000000000007</v>
      </c>
      <c r="I33" s="353">
        <f t="shared" si="15"/>
        <v>5587.2000000000007</v>
      </c>
      <c r="J33" s="353">
        <f t="shared" si="15"/>
        <v>5587.2000000000007</v>
      </c>
      <c r="K33" s="353">
        <f t="shared" si="15"/>
        <v>5587.2000000000007</v>
      </c>
      <c r="L33" s="353">
        <f t="shared" si="15"/>
        <v>5587.2000000000007</v>
      </c>
      <c r="M33" s="353">
        <f t="shared" si="15"/>
        <v>5587.2000000000007</v>
      </c>
      <c r="N33" s="353">
        <f t="shared" si="15"/>
        <v>5587.2000000000007</v>
      </c>
      <c r="O33" s="353">
        <f t="shared" si="15"/>
        <v>5587.2000000000007</v>
      </c>
      <c r="P33" s="353">
        <f t="shared" si="15"/>
        <v>5587.2000000000007</v>
      </c>
      <c r="Q33" s="353">
        <f t="shared" si="15"/>
        <v>67046.399999999994</v>
      </c>
      <c r="R33" s="354">
        <f>AVERAGE(E33:P33)</f>
        <v>5587.2</v>
      </c>
      <c r="T33" s="75"/>
      <c r="U33" s="76">
        <f t="shared" si="6"/>
        <v>0.30655794793325736</v>
      </c>
    </row>
    <row r="34" spans="1:21" x14ac:dyDescent="0.25">
      <c r="A34" s="78" t="s">
        <v>49</v>
      </c>
      <c r="B34" t="s">
        <v>48</v>
      </c>
      <c r="C34" s="355">
        <f t="shared" ref="C34:D34" si="16">C33</f>
        <v>51315.289999999994</v>
      </c>
      <c r="D34" s="356">
        <f t="shared" si="16"/>
        <v>4276.2741666666661</v>
      </c>
      <c r="E34" s="357">
        <f>E33</f>
        <v>5587.2000000000007</v>
      </c>
      <c r="F34" s="357">
        <f t="shared" ref="F34:Q34" si="17">F33</f>
        <v>5587.2000000000007</v>
      </c>
      <c r="G34" s="357">
        <f t="shared" si="17"/>
        <v>5587.2000000000007</v>
      </c>
      <c r="H34" s="357">
        <f t="shared" si="17"/>
        <v>5587.2000000000007</v>
      </c>
      <c r="I34" s="357">
        <f t="shared" si="17"/>
        <v>5587.2000000000007</v>
      </c>
      <c r="J34" s="357">
        <f t="shared" si="17"/>
        <v>5587.2000000000007</v>
      </c>
      <c r="K34" s="357">
        <f t="shared" si="17"/>
        <v>5587.2000000000007</v>
      </c>
      <c r="L34" s="357">
        <f t="shared" si="17"/>
        <v>5587.2000000000007</v>
      </c>
      <c r="M34" s="357">
        <f t="shared" si="17"/>
        <v>5587.2000000000007</v>
      </c>
      <c r="N34" s="357">
        <f t="shared" si="17"/>
        <v>5587.2000000000007</v>
      </c>
      <c r="O34" s="357">
        <f t="shared" si="17"/>
        <v>5587.2000000000007</v>
      </c>
      <c r="P34" s="357">
        <f t="shared" si="17"/>
        <v>5587.2000000000007</v>
      </c>
      <c r="Q34" s="357">
        <f t="shared" si="17"/>
        <v>67046.399999999994</v>
      </c>
      <c r="R34" s="358">
        <f t="shared" si="1"/>
        <v>5587.2</v>
      </c>
      <c r="T34" s="30"/>
      <c r="U34" s="31">
        <f t="shared" si="6"/>
        <v>0.30655794793325736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>AVERAGE(E37:P37)</f>
        <v>#DIV/0!</v>
      </c>
      <c r="S37" s="15"/>
      <c r="T37" s="62">
        <f>Q37/$Q$34</f>
        <v>0</v>
      </c>
      <c r="U37" s="62">
        <f t="shared" si="6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8">SUM(E38:P38)</f>
        <v>0</v>
      </c>
      <c r="R38" s="89" t="e">
        <f t="shared" si="1"/>
        <v>#DIV/0!</v>
      </c>
      <c r="S38" s="15"/>
      <c r="T38" s="62">
        <f t="shared" ref="T38:T102" si="19">Q38/$Q$34</f>
        <v>0</v>
      </c>
      <c r="U38" s="62">
        <f t="shared" si="6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8"/>
        <v>0</v>
      </c>
      <c r="R39" s="89" t="e">
        <f t="shared" si="1"/>
        <v>#DIV/0!</v>
      </c>
      <c r="S39" s="15"/>
      <c r="T39" s="62">
        <f t="shared" si="19"/>
        <v>0</v>
      </c>
      <c r="U39" s="62">
        <f t="shared" si="6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8"/>
        <v>0</v>
      </c>
      <c r="R40" s="89" t="e">
        <f t="shared" si="1"/>
        <v>#DIV/0!</v>
      </c>
      <c r="S40" s="15"/>
      <c r="T40" s="62">
        <f t="shared" si="19"/>
        <v>0</v>
      </c>
      <c r="U40" s="62">
        <f t="shared" si="6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8"/>
        <v>0</v>
      </c>
      <c r="R41" s="89" t="e">
        <f t="shared" si="1"/>
        <v>#DIV/0!</v>
      </c>
      <c r="S41" s="15"/>
      <c r="T41" s="62">
        <f t="shared" si="19"/>
        <v>0</v>
      </c>
      <c r="U41" s="62">
        <f t="shared" si="6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8"/>
        <v>0</v>
      </c>
      <c r="R42" s="89" t="e">
        <f t="shared" si="1"/>
        <v>#DIV/0!</v>
      </c>
      <c r="S42" s="15"/>
      <c r="T42" s="62">
        <f t="shared" si="19"/>
        <v>0</v>
      </c>
      <c r="U42" s="62">
        <f t="shared" si="6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8"/>
        <v>0</v>
      </c>
      <c r="R43" s="89" t="e">
        <f t="shared" si="1"/>
        <v>#DIV/0!</v>
      </c>
      <c r="S43" s="15"/>
      <c r="T43" s="62">
        <f t="shared" si="19"/>
        <v>0</v>
      </c>
      <c r="U43" s="62">
        <f t="shared" si="6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8"/>
        <v>0</v>
      </c>
      <c r="R44" s="89" t="e">
        <f t="shared" si="1"/>
        <v>#DIV/0!</v>
      </c>
      <c r="S44" s="15"/>
      <c r="T44" s="62">
        <f t="shared" si="19"/>
        <v>0</v>
      </c>
      <c r="U44" s="62">
        <f t="shared" si="6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8"/>
        <v>0</v>
      </c>
      <c r="R45" s="89" t="e">
        <f t="shared" si="1"/>
        <v>#DIV/0!</v>
      </c>
      <c r="S45" s="15"/>
      <c r="T45" s="62">
        <f t="shared" si="19"/>
        <v>0</v>
      </c>
      <c r="U45" s="62">
        <f t="shared" si="6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8"/>
        <v>0</v>
      </c>
      <c r="R46" s="89" t="e">
        <f t="shared" si="1"/>
        <v>#DIV/0!</v>
      </c>
      <c r="S46" s="15"/>
      <c r="T46" s="62">
        <f t="shared" si="19"/>
        <v>0</v>
      </c>
      <c r="U46" s="62">
        <f t="shared" si="6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8"/>
        <v>0</v>
      </c>
      <c r="R47" s="89" t="e">
        <f t="shared" si="1"/>
        <v>#DIV/0!</v>
      </c>
      <c r="S47" s="15"/>
      <c r="T47" s="62">
        <f t="shared" si="19"/>
        <v>0</v>
      </c>
      <c r="U47" s="62">
        <f t="shared" si="6"/>
        <v>0</v>
      </c>
    </row>
    <row r="48" spans="1:21" x14ac:dyDescent="0.25">
      <c r="A48" s="63" t="s">
        <v>63</v>
      </c>
      <c r="B48" t="s">
        <v>48</v>
      </c>
      <c r="C48" s="91">
        <f t="shared" ref="C48:Q48" si="20">SUM(C37:C47)</f>
        <v>0</v>
      </c>
      <c r="D48" s="92">
        <f t="shared" si="20"/>
        <v>0</v>
      </c>
      <c r="E48" s="93">
        <f t="shared" si="20"/>
        <v>0</v>
      </c>
      <c r="F48" s="93">
        <f t="shared" si="20"/>
        <v>0</v>
      </c>
      <c r="G48" s="93">
        <f t="shared" si="20"/>
        <v>0</v>
      </c>
      <c r="H48" s="93">
        <f t="shared" si="20"/>
        <v>0</v>
      </c>
      <c r="I48" s="93">
        <f t="shared" si="20"/>
        <v>0</v>
      </c>
      <c r="J48" s="93">
        <f t="shared" si="20"/>
        <v>0</v>
      </c>
      <c r="K48" s="93">
        <f t="shared" si="20"/>
        <v>0</v>
      </c>
      <c r="L48" s="93">
        <f t="shared" si="20"/>
        <v>0</v>
      </c>
      <c r="M48" s="93">
        <f t="shared" si="20"/>
        <v>0</v>
      </c>
      <c r="N48" s="93">
        <f t="shared" si="20"/>
        <v>0</v>
      </c>
      <c r="O48" s="93">
        <f t="shared" si="20"/>
        <v>0</v>
      </c>
      <c r="P48" s="93">
        <f t="shared" si="20"/>
        <v>0</v>
      </c>
      <c r="Q48" s="93">
        <f t="shared" si="20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1">SUM(E50:P50)</f>
        <v>0</v>
      </c>
      <c r="R50" s="89" t="e">
        <f t="shared" si="1"/>
        <v>#DIV/0!</v>
      </c>
      <c r="S50" s="15"/>
      <c r="T50" s="62">
        <f t="shared" si="19"/>
        <v>0</v>
      </c>
      <c r="U50" s="62">
        <f t="shared" si="6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1"/>
        <v>0</v>
      </c>
      <c r="R51" s="89" t="e">
        <f t="shared" si="1"/>
        <v>#DIV/0!</v>
      </c>
      <c r="S51" s="15"/>
      <c r="T51" s="62">
        <f t="shared" si="19"/>
        <v>0</v>
      </c>
      <c r="U51" s="62">
        <f t="shared" si="6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1"/>
        <v>0</v>
      </c>
      <c r="R52" s="89" t="e">
        <f t="shared" si="1"/>
        <v>#DIV/0!</v>
      </c>
      <c r="S52" s="15"/>
      <c r="T52" s="62">
        <f t="shared" si="19"/>
        <v>0</v>
      </c>
      <c r="U52" s="62">
        <f t="shared" si="6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1"/>
        <v>0</v>
      </c>
      <c r="R53" s="89" t="e">
        <f t="shared" si="1"/>
        <v>#DIV/0!</v>
      </c>
      <c r="S53" s="15"/>
      <c r="T53" s="62">
        <f t="shared" si="19"/>
        <v>0</v>
      </c>
      <c r="U53" s="62">
        <f t="shared" si="6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1"/>
        <v>0</v>
      </c>
      <c r="R54" s="89" t="e">
        <f t="shared" si="1"/>
        <v>#DIV/0!</v>
      </c>
      <c r="S54" s="15"/>
      <c r="T54" s="62">
        <f t="shared" si="19"/>
        <v>0</v>
      </c>
      <c r="U54" s="62">
        <f t="shared" si="6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1"/>
        <v>0</v>
      </c>
      <c r="R55" s="89" t="e">
        <f t="shared" si="1"/>
        <v>#DIV/0!</v>
      </c>
      <c r="S55" s="15"/>
      <c r="T55" s="62">
        <f t="shared" si="19"/>
        <v>0</v>
      </c>
      <c r="U55" s="62">
        <f t="shared" si="6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ref="Q56:Q57" si="22">SUM(E56:P56)</f>
        <v>0</v>
      </c>
      <c r="R56" s="89" t="e">
        <f t="shared" si="1"/>
        <v>#DIV/0!</v>
      </c>
      <c r="S56" s="15"/>
      <c r="T56" s="62">
        <f t="shared" si="19"/>
        <v>0</v>
      </c>
      <c r="U56" s="62">
        <f t="shared" si="6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2"/>
        <v>0</v>
      </c>
      <c r="R57" s="89" t="e">
        <f t="shared" si="1"/>
        <v>#DIV/0!</v>
      </c>
      <c r="S57" s="15"/>
      <c r="T57" s="62">
        <f t="shared" si="19"/>
        <v>0</v>
      </c>
      <c r="U57" s="62">
        <f t="shared" si="6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1"/>
        <v>0</v>
      </c>
      <c r="R58" s="89" t="e">
        <f t="shared" si="1"/>
        <v>#DIV/0!</v>
      </c>
      <c r="S58" s="15"/>
      <c r="T58" s="62">
        <f t="shared" si="19"/>
        <v>0</v>
      </c>
      <c r="U58" s="62">
        <f t="shared" si="6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1"/>
        <v>0</v>
      </c>
      <c r="R59" s="89" t="e">
        <f t="shared" si="1"/>
        <v>#DIV/0!</v>
      </c>
      <c r="S59" s="15"/>
      <c r="T59" s="62">
        <f t="shared" si="19"/>
        <v>0</v>
      </c>
      <c r="U59" s="62">
        <f t="shared" si="6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1"/>
        <v>0</v>
      </c>
      <c r="R60" s="89" t="e">
        <f t="shared" si="1"/>
        <v>#DIV/0!</v>
      </c>
      <c r="S60" s="15"/>
      <c r="T60" s="62">
        <f t="shared" si="19"/>
        <v>0</v>
      </c>
      <c r="U60" s="62">
        <f t="shared" si="6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1"/>
        <v>0</v>
      </c>
      <c r="R61" s="89" t="e">
        <f t="shared" si="1"/>
        <v>#DIV/0!</v>
      </c>
      <c r="S61" s="15"/>
      <c r="T61" s="62">
        <f t="shared" si="19"/>
        <v>0</v>
      </c>
      <c r="U61" s="62">
        <f t="shared" si="6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19"/>
        <v>0</v>
      </c>
      <c r="U64" s="62">
        <f t="shared" si="6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19"/>
        <v>0</v>
      </c>
      <c r="U65" s="62">
        <f t="shared" si="6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19"/>
        <v>0</v>
      </c>
      <c r="U66" s="62">
        <f t="shared" si="6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5">SUM(E67:P67)</f>
        <v>0</v>
      </c>
      <c r="R67" s="89" t="e">
        <f t="shared" si="1"/>
        <v>#DIV/0!</v>
      </c>
      <c r="S67" s="15"/>
      <c r="T67" s="62">
        <f t="shared" si="19"/>
        <v>0</v>
      </c>
      <c r="U67" s="62">
        <f t="shared" si="6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5"/>
        <v>0</v>
      </c>
      <c r="R68" s="89" t="e">
        <f t="shared" si="1"/>
        <v>#DIV/0!</v>
      </c>
      <c r="S68" s="15"/>
      <c r="T68" s="62">
        <f t="shared" si="19"/>
        <v>0</v>
      </c>
      <c r="U68" s="62">
        <f t="shared" si="6"/>
        <v>0</v>
      </c>
    </row>
    <row r="69" spans="1:21" ht="23.25" x14ac:dyDescent="0.25">
      <c r="A69" s="25"/>
      <c r="B69" s="15" t="s">
        <v>84</v>
      </c>
      <c r="C69" s="56">
        <f>6.26</f>
        <v>6.26</v>
      </c>
      <c r="D69" s="57">
        <f>C69/12</f>
        <v>0.52166666666666661</v>
      </c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5"/>
        <v>0</v>
      </c>
      <c r="R69" s="89" t="e">
        <f t="shared" si="1"/>
        <v>#DIV/0!</v>
      </c>
      <c r="S69" s="15"/>
      <c r="T69" s="62">
        <f t="shared" si="19"/>
        <v>0</v>
      </c>
      <c r="U69" s="62">
        <f t="shared" si="6"/>
        <v>-1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5"/>
        <v>0</v>
      </c>
      <c r="R70" s="89" t="e">
        <f t="shared" si="1"/>
        <v>#DIV/0!</v>
      </c>
      <c r="S70" s="15"/>
      <c r="T70" s="62">
        <f t="shared" si="19"/>
        <v>0</v>
      </c>
      <c r="U70" s="62">
        <f t="shared" si="6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5"/>
        <v>0</v>
      </c>
      <c r="R71" s="89" t="e">
        <f t="shared" si="1"/>
        <v>#DIV/0!</v>
      </c>
      <c r="S71" s="15"/>
      <c r="T71" s="62">
        <f t="shared" si="19"/>
        <v>0</v>
      </c>
      <c r="U71" s="62">
        <f t="shared" si="6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5"/>
        <v>0</v>
      </c>
      <c r="R72" s="89" t="e">
        <f t="shared" si="1"/>
        <v>#DIV/0!</v>
      </c>
      <c r="S72" s="15"/>
      <c r="T72" s="62">
        <f t="shared" si="19"/>
        <v>0</v>
      </c>
      <c r="U72" s="62">
        <f t="shared" si="6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6">SUM(C64:C72)</f>
        <v>6.26</v>
      </c>
      <c r="D73" s="92">
        <f t="shared" si="26"/>
        <v>0.52166666666666661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19"/>
        <v>0</v>
      </c>
      <c r="U73" s="96">
        <f t="shared" si="6"/>
        <v>-1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19"/>
        <v>0</v>
      </c>
      <c r="U75" s="62">
        <f t="shared" si="6"/>
        <v>0</v>
      </c>
    </row>
    <row r="76" spans="1:21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/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19"/>
        <v>0</v>
      </c>
      <c r="U78" s="62">
        <f t="shared" si="6"/>
        <v>0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>AVERAGE(E79:P79)</f>
        <v>#DIV/0!</v>
      </c>
      <c r="S79" s="15"/>
      <c r="T79" s="62">
        <f t="shared" si="19"/>
        <v>0</v>
      </c>
      <c r="U79" s="62">
        <f t="shared" si="6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19"/>
        <v>0</v>
      </c>
      <c r="U80" s="62">
        <f t="shared" si="6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19"/>
        <v>0</v>
      </c>
      <c r="U81" s="62">
        <f t="shared" si="6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29">SUM(C78:C81)</f>
        <v>0</v>
      </c>
      <c r="D82" s="92">
        <f t="shared" si="29"/>
        <v>0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19"/>
        <v>0</v>
      </c>
      <c r="U82" s="96">
        <f t="shared" si="6"/>
        <v>0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/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1">SUM(E84:P84)</f>
        <v>0</v>
      </c>
      <c r="R84" s="89" t="e">
        <f t="shared" si="1"/>
        <v>#DIV/0!</v>
      </c>
      <c r="S84" s="15"/>
      <c r="T84" s="62">
        <f t="shared" si="19"/>
        <v>0</v>
      </c>
      <c r="U84" s="62">
        <f t="shared" si="6"/>
        <v>0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1"/>
        <v>0</v>
      </c>
      <c r="R85" s="89" t="e">
        <f t="shared" si="1"/>
        <v>#DIV/0!</v>
      </c>
      <c r="S85" s="15"/>
      <c r="T85" s="62">
        <f t="shared" si="19"/>
        <v>0</v>
      </c>
      <c r="U85" s="62">
        <f t="shared" si="6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1"/>
        <v>0</v>
      </c>
      <c r="R86" s="89" t="e">
        <f t="shared" si="1"/>
        <v>#DIV/0!</v>
      </c>
      <c r="S86" s="15"/>
      <c r="T86" s="62">
        <f t="shared" si="19"/>
        <v>0</v>
      </c>
      <c r="U86" s="62">
        <f t="shared" si="6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1"/>
        <v>0</v>
      </c>
      <c r="R87" s="89" t="e">
        <f t="shared" si="1"/>
        <v>#DIV/0!</v>
      </c>
      <c r="S87" s="15"/>
      <c r="T87" s="62">
        <f t="shared" si="19"/>
        <v>0</v>
      </c>
      <c r="U87" s="62">
        <f t="shared" si="6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1"/>
        <v>0</v>
      </c>
      <c r="R88" s="89" t="e">
        <f t="shared" ref="R88:R130" si="32">AVERAGE(E88:P88)</f>
        <v>#DIV/0!</v>
      </c>
      <c r="S88" s="15"/>
      <c r="T88" s="62">
        <f t="shared" si="19"/>
        <v>0</v>
      </c>
      <c r="U88" s="62">
        <f t="shared" si="6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1"/>
        <v>0</v>
      </c>
      <c r="R89" s="89" t="e">
        <f t="shared" si="32"/>
        <v>#DIV/0!</v>
      </c>
      <c r="S89" s="15"/>
      <c r="T89" s="62">
        <f t="shared" si="19"/>
        <v>0</v>
      </c>
      <c r="U89" s="62">
        <f t="shared" ref="U89:U137" si="33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4">SUM(C84:C89)</f>
        <v>0</v>
      </c>
      <c r="D90" s="92">
        <f t="shared" si="34"/>
        <v>0</v>
      </c>
      <c r="E90" s="93">
        <f t="shared" ref="E90:Q90" si="35">SUM(E84:E89)</f>
        <v>0</v>
      </c>
      <c r="F90" s="93">
        <f t="shared" si="35"/>
        <v>0</v>
      </c>
      <c r="G90" s="93">
        <f t="shared" si="35"/>
        <v>0</v>
      </c>
      <c r="H90" s="93">
        <f t="shared" si="35"/>
        <v>0</v>
      </c>
      <c r="I90" s="93">
        <f t="shared" si="35"/>
        <v>0</v>
      </c>
      <c r="J90" s="93">
        <f t="shared" si="35"/>
        <v>0</v>
      </c>
      <c r="K90" s="93">
        <f t="shared" si="35"/>
        <v>0</v>
      </c>
      <c r="L90" s="93">
        <f t="shared" si="35"/>
        <v>0</v>
      </c>
      <c r="M90" s="93">
        <f t="shared" si="35"/>
        <v>0</v>
      </c>
      <c r="N90" s="93">
        <f t="shared" si="35"/>
        <v>0</v>
      </c>
      <c r="O90" s="93">
        <f t="shared" si="35"/>
        <v>0</v>
      </c>
      <c r="P90" s="93">
        <f t="shared" si="35"/>
        <v>0</v>
      </c>
      <c r="Q90" s="93">
        <f t="shared" si="35"/>
        <v>0</v>
      </c>
      <c r="R90" s="94">
        <f>AVERAGE(E90:P90)</f>
        <v>0</v>
      </c>
      <c r="T90" s="96">
        <f t="shared" si="19"/>
        <v>0</v>
      </c>
      <c r="U90" s="96">
        <f t="shared" si="33"/>
        <v>0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19"/>
        <v>0</v>
      </c>
      <c r="U92" s="62">
        <f t="shared" si="33"/>
        <v>0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2"/>
        <v>#DIV/0!</v>
      </c>
      <c r="S93" s="15"/>
      <c r="T93" s="62">
        <f t="shared" si="19"/>
        <v>0</v>
      </c>
      <c r="U93" s="62">
        <f t="shared" si="33"/>
        <v>0</v>
      </c>
    </row>
    <row r="94" spans="1:21" x14ac:dyDescent="0.25">
      <c r="A94" s="25"/>
      <c r="B94" s="15" t="s">
        <v>109</v>
      </c>
      <c r="C94" s="56"/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2"/>
        <v>#DIV/0!</v>
      </c>
      <c r="S94" s="15"/>
      <c r="T94" s="62">
        <f t="shared" si="19"/>
        <v>0</v>
      </c>
      <c r="U94" s="62">
        <f t="shared" si="33"/>
        <v>0</v>
      </c>
    </row>
    <row r="95" spans="1:21" x14ac:dyDescent="0.25">
      <c r="A95" s="63" t="s">
        <v>110</v>
      </c>
      <c r="B95" s="15"/>
      <c r="C95" s="91">
        <f t="shared" ref="C95:Q95" si="36">SUM(C92:C94)</f>
        <v>0</v>
      </c>
      <c r="D95" s="92">
        <f t="shared" si="36"/>
        <v>0</v>
      </c>
      <c r="E95" s="93">
        <f t="shared" si="36"/>
        <v>0</v>
      </c>
      <c r="F95" s="93">
        <f t="shared" si="36"/>
        <v>0</v>
      </c>
      <c r="G95" s="93">
        <f t="shared" si="36"/>
        <v>0</v>
      </c>
      <c r="H95" s="93">
        <f t="shared" si="36"/>
        <v>0</v>
      </c>
      <c r="I95" s="93">
        <f t="shared" si="36"/>
        <v>0</v>
      </c>
      <c r="J95" s="93">
        <f t="shared" si="36"/>
        <v>0</v>
      </c>
      <c r="K95" s="93">
        <f t="shared" si="36"/>
        <v>0</v>
      </c>
      <c r="L95" s="93">
        <f t="shared" si="36"/>
        <v>0</v>
      </c>
      <c r="M95" s="93">
        <f t="shared" si="36"/>
        <v>0</v>
      </c>
      <c r="N95" s="93">
        <f t="shared" si="36"/>
        <v>0</v>
      </c>
      <c r="O95" s="93">
        <f t="shared" si="36"/>
        <v>0</v>
      </c>
      <c r="P95" s="93">
        <f t="shared" si="36"/>
        <v>0</v>
      </c>
      <c r="Q95" s="93">
        <f t="shared" si="36"/>
        <v>0</v>
      </c>
      <c r="R95" s="94">
        <f t="shared" si="32"/>
        <v>0</v>
      </c>
      <c r="T95" s="96">
        <f t="shared" si="19"/>
        <v>0</v>
      </c>
      <c r="U95" s="96">
        <f t="shared" si="33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20" si="37">SUM(E97:P97)</f>
        <v>0</v>
      </c>
      <c r="R97" s="89" t="e">
        <f t="shared" si="32"/>
        <v>#DIV/0!</v>
      </c>
      <c r="S97" s="15"/>
      <c r="T97" s="62">
        <f t="shared" si="19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7"/>
        <v>0</v>
      </c>
      <c r="R98" s="89" t="e">
        <f t="shared" si="32"/>
        <v>#DIV/0!</v>
      </c>
      <c r="S98" s="15"/>
      <c r="T98" s="62">
        <f t="shared" si="19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7"/>
        <v>0</v>
      </c>
      <c r="R99" s="89" t="e">
        <f t="shared" si="32"/>
        <v>#DIV/0!</v>
      </c>
      <c r="S99" s="15"/>
      <c r="T99" s="62">
        <f t="shared" si="19"/>
        <v>0</v>
      </c>
      <c r="U99" s="62">
        <f t="shared" si="33"/>
        <v>0</v>
      </c>
    </row>
    <row r="100" spans="1:21" x14ac:dyDescent="0.25">
      <c r="A100" s="25"/>
      <c r="B100" s="15" t="s">
        <v>115</v>
      </c>
      <c r="C100" s="56"/>
      <c r="D100" s="57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37"/>
        <v>0</v>
      </c>
      <c r="R100" s="89" t="e">
        <f t="shared" si="32"/>
        <v>#DIV/0!</v>
      </c>
      <c r="S100" s="15"/>
      <c r="T100" s="62">
        <f t="shared" si="19"/>
        <v>0</v>
      </c>
      <c r="U100" s="62">
        <f t="shared" si="33"/>
        <v>0</v>
      </c>
    </row>
    <row r="101" spans="1:21" x14ac:dyDescent="0.25">
      <c r="A101" s="25"/>
      <c r="B101" s="15" t="s">
        <v>116</v>
      </c>
      <c r="C101" s="56">
        <f>520/10*12</f>
        <v>624</v>
      </c>
      <c r="D101" s="57">
        <f>C101/12</f>
        <v>52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7"/>
        <v>0</v>
      </c>
      <c r="R101" s="89" t="e">
        <f t="shared" si="32"/>
        <v>#DIV/0!</v>
      </c>
      <c r="S101" s="15"/>
      <c r="T101" s="62">
        <f t="shared" si="19"/>
        <v>0</v>
      </c>
      <c r="U101" s="62">
        <f t="shared" si="33"/>
        <v>-1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7"/>
        <v>0</v>
      </c>
      <c r="R102" s="89" t="e">
        <f t="shared" si="32"/>
        <v>#DIV/0!</v>
      </c>
      <c r="S102" s="15"/>
      <c r="T102" s="62">
        <f t="shared" si="19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/>
      <c r="D103" s="57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7"/>
        <v>0</v>
      </c>
      <c r="R103" s="89" t="e">
        <f t="shared" si="32"/>
        <v>#DIV/0!</v>
      </c>
      <c r="S103" s="15"/>
      <c r="T103" s="62">
        <f t="shared" ref="T103:T135" si="38">Q103/$Q$34</f>
        <v>0</v>
      </c>
      <c r="U103" s="62">
        <f t="shared" si="33"/>
        <v>0</v>
      </c>
    </row>
    <row r="104" spans="1:21" x14ac:dyDescent="0.25">
      <c r="A104" s="25"/>
      <c r="B104" s="15" t="s">
        <v>119</v>
      </c>
      <c r="C104" s="56">
        <v>2133.2199999999998</v>
      </c>
      <c r="D104" s="57">
        <f>C104/7</f>
        <v>304.74571428571426</v>
      </c>
      <c r="E104" s="58">
        <f>(50*(E7+E8))+(25*(E9+E10))+(10*(E11+E12))+(15*E13)</f>
        <v>150</v>
      </c>
      <c r="F104" s="58">
        <f t="shared" ref="F104:P104" si="39">(50*(F7+F8))+(25*(F9+F10))+(10*(F11+F12))+(15*F13)</f>
        <v>150</v>
      </c>
      <c r="G104" s="58">
        <f t="shared" si="39"/>
        <v>150</v>
      </c>
      <c r="H104" s="58">
        <f t="shared" si="39"/>
        <v>150</v>
      </c>
      <c r="I104" s="58">
        <f t="shared" si="39"/>
        <v>150</v>
      </c>
      <c r="J104" s="58">
        <f t="shared" si="39"/>
        <v>150</v>
      </c>
      <c r="K104" s="58">
        <f t="shared" si="39"/>
        <v>150</v>
      </c>
      <c r="L104" s="58">
        <f>(50*(L7+L8))+(25*(L9+L10))+(10*(L11+L12))+(15*L13)</f>
        <v>150</v>
      </c>
      <c r="M104" s="58">
        <f t="shared" si="39"/>
        <v>150</v>
      </c>
      <c r="N104" s="58">
        <f t="shared" si="39"/>
        <v>150</v>
      </c>
      <c r="O104" s="58">
        <f t="shared" si="39"/>
        <v>150</v>
      </c>
      <c r="P104" s="58">
        <f t="shared" si="39"/>
        <v>150</v>
      </c>
      <c r="Q104" s="58">
        <f t="shared" si="37"/>
        <v>1800</v>
      </c>
      <c r="R104" s="89">
        <f t="shared" si="32"/>
        <v>150</v>
      </c>
      <c r="S104" s="15"/>
      <c r="T104" s="62">
        <f t="shared" si="38"/>
        <v>2.6847079037800689E-2</v>
      </c>
      <c r="U104" s="62">
        <f t="shared" si="33"/>
        <v>-0.15620517339983678</v>
      </c>
    </row>
    <row r="105" spans="1:21" x14ac:dyDescent="0.25">
      <c r="A105" s="25"/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7"/>
        <v>0</v>
      </c>
      <c r="R105" s="89" t="e">
        <f t="shared" si="32"/>
        <v>#DIV/0!</v>
      </c>
      <c r="S105" s="15"/>
      <c r="T105" s="62">
        <f t="shared" si="38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37"/>
        <v>0</v>
      </c>
      <c r="R106" s="89" t="e">
        <f t="shared" si="32"/>
        <v>#DIV/0!</v>
      </c>
      <c r="S106" s="15"/>
      <c r="T106" s="62">
        <f t="shared" si="38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37"/>
        <v>0</v>
      </c>
      <c r="R107" s="89" t="e">
        <f t="shared" si="32"/>
        <v>#DIV/0!</v>
      </c>
      <c r="S107" s="15"/>
      <c r="T107" s="62">
        <f t="shared" si="38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37"/>
        <v>0</v>
      </c>
      <c r="R108" s="89" t="e">
        <f t="shared" si="32"/>
        <v>#DIV/0!</v>
      </c>
      <c r="S108" s="15"/>
      <c r="T108" s="62">
        <f t="shared" si="38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37"/>
        <v>0</v>
      </c>
      <c r="R109" s="89" t="e">
        <f t="shared" si="32"/>
        <v>#DIV/0!</v>
      </c>
      <c r="S109" s="15"/>
      <c r="T109" s="62">
        <f t="shared" si="38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37"/>
        <v>0</v>
      </c>
      <c r="R110" s="89" t="e">
        <f t="shared" si="32"/>
        <v>#DIV/0!</v>
      </c>
      <c r="S110" s="15"/>
      <c r="T110" s="62">
        <f t="shared" si="38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37"/>
        <v>0</v>
      </c>
      <c r="R111" s="89" t="e">
        <f t="shared" si="32"/>
        <v>#DIV/0!</v>
      </c>
      <c r="S111" s="15"/>
      <c r="T111" s="62">
        <f t="shared" si="38"/>
        <v>0</v>
      </c>
      <c r="U111" s="62">
        <f t="shared" si="33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37"/>
        <v>0</v>
      </c>
      <c r="R112" s="89" t="e">
        <f t="shared" si="32"/>
        <v>#DIV/0!</v>
      </c>
      <c r="S112" s="15"/>
      <c r="T112" s="62">
        <f t="shared" si="38"/>
        <v>0</v>
      </c>
      <c r="U112" s="62">
        <f t="shared" si="33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37"/>
        <v>0</v>
      </c>
      <c r="R113" s="89" t="e">
        <f t="shared" si="32"/>
        <v>#DIV/0!</v>
      </c>
      <c r="S113" s="15"/>
      <c r="T113" s="62">
        <f t="shared" si="38"/>
        <v>0</v>
      </c>
      <c r="U113" s="62">
        <f t="shared" si="33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37"/>
        <v>0</v>
      </c>
      <c r="R114" s="89" t="e">
        <f t="shared" si="32"/>
        <v>#DIV/0!</v>
      </c>
      <c r="S114" s="15"/>
      <c r="T114" s="62">
        <f t="shared" si="38"/>
        <v>0</v>
      </c>
      <c r="U114" s="62">
        <f t="shared" si="33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7"/>
        <v>0</v>
      </c>
      <c r="R115" s="89" t="e">
        <f t="shared" si="32"/>
        <v>#DIV/0!</v>
      </c>
      <c r="S115" s="15"/>
      <c r="T115" s="62">
        <f t="shared" si="38"/>
        <v>0</v>
      </c>
      <c r="U115" s="62">
        <f t="shared" si="33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7"/>
        <v>0</v>
      </c>
      <c r="R116" s="89" t="e">
        <f t="shared" si="32"/>
        <v>#DIV/0!</v>
      </c>
      <c r="S116" s="15"/>
      <c r="T116" s="62">
        <f t="shared" si="38"/>
        <v>0</v>
      </c>
      <c r="U116" s="62">
        <f t="shared" si="33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7"/>
        <v>0</v>
      </c>
      <c r="R117" s="89" t="e">
        <f t="shared" si="32"/>
        <v>#DIV/0!</v>
      </c>
      <c r="S117" s="15"/>
      <c r="T117" s="62">
        <f t="shared" si="38"/>
        <v>0</v>
      </c>
      <c r="U117" s="62">
        <f t="shared" si="33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7"/>
        <v>0</v>
      </c>
      <c r="R118" s="89" t="e">
        <f t="shared" si="32"/>
        <v>#DIV/0!</v>
      </c>
      <c r="S118" s="15"/>
      <c r="T118" s="62">
        <f t="shared" si="38"/>
        <v>0</v>
      </c>
      <c r="U118" s="62">
        <f t="shared" si="33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37"/>
        <v>0</v>
      </c>
      <c r="R119" s="89" t="e">
        <f t="shared" si="32"/>
        <v>#DIV/0!</v>
      </c>
      <c r="S119" s="15"/>
      <c r="T119" s="62">
        <f t="shared" si="38"/>
        <v>0</v>
      </c>
      <c r="U119" s="62">
        <f t="shared" si="33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37"/>
        <v>0</v>
      </c>
      <c r="R120" s="89" t="e">
        <f t="shared" si="32"/>
        <v>#DIV/0!</v>
      </c>
      <c r="S120" s="15"/>
      <c r="T120" s="62">
        <f t="shared" si="38"/>
        <v>0</v>
      </c>
      <c r="U120" s="62">
        <f t="shared" si="33"/>
        <v>0</v>
      </c>
    </row>
    <row r="121" spans="1:21" x14ac:dyDescent="0.25">
      <c r="A121" s="63" t="s">
        <v>136</v>
      </c>
      <c r="B121" s="15" t="s">
        <v>48</v>
      </c>
      <c r="C121" s="91">
        <f t="shared" ref="C121:D121" si="40">SUM(C97:C120)</f>
        <v>2757.22</v>
      </c>
      <c r="D121" s="92">
        <f t="shared" si="40"/>
        <v>356.74571428571426</v>
      </c>
      <c r="E121" s="93">
        <f t="shared" ref="E121:Q121" si="41">SUM(E97:E120)</f>
        <v>150</v>
      </c>
      <c r="F121" s="93">
        <f t="shared" si="41"/>
        <v>150</v>
      </c>
      <c r="G121" s="93">
        <f t="shared" si="41"/>
        <v>150</v>
      </c>
      <c r="H121" s="93">
        <f t="shared" si="41"/>
        <v>150</v>
      </c>
      <c r="I121" s="93">
        <f t="shared" si="41"/>
        <v>150</v>
      </c>
      <c r="J121" s="93">
        <f t="shared" si="41"/>
        <v>150</v>
      </c>
      <c r="K121" s="93">
        <f t="shared" si="41"/>
        <v>150</v>
      </c>
      <c r="L121" s="93">
        <f t="shared" si="41"/>
        <v>150</v>
      </c>
      <c r="M121" s="93">
        <f t="shared" si="41"/>
        <v>150</v>
      </c>
      <c r="N121" s="93">
        <f t="shared" si="41"/>
        <v>150</v>
      </c>
      <c r="O121" s="93">
        <f t="shared" si="41"/>
        <v>150</v>
      </c>
      <c r="P121" s="93">
        <f t="shared" si="41"/>
        <v>150</v>
      </c>
      <c r="Q121" s="93">
        <f t="shared" si="41"/>
        <v>1800</v>
      </c>
      <c r="R121" s="94">
        <f>AVERAGE(E121:P121)</f>
        <v>150</v>
      </c>
      <c r="T121" s="96">
        <f t="shared" si="38"/>
        <v>2.6847079037800689E-2</v>
      </c>
      <c r="U121" s="96">
        <f t="shared" si="33"/>
        <v>-0.34716852481847654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>SUM(E123:P123)</f>
        <v>0</v>
      </c>
      <c r="R123" s="89" t="e">
        <f t="shared" si="32"/>
        <v>#DIV/0!</v>
      </c>
      <c r="S123" s="15"/>
      <c r="T123" s="62">
        <f t="shared" si="38"/>
        <v>0</v>
      </c>
      <c r="U123" s="62">
        <f t="shared" si="33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2">SUM(C123:C123)</f>
        <v>0</v>
      </c>
      <c r="D124" s="92">
        <f t="shared" si="42"/>
        <v>0</v>
      </c>
      <c r="E124" s="93">
        <f t="shared" si="42"/>
        <v>0</v>
      </c>
      <c r="F124" s="93">
        <f t="shared" si="42"/>
        <v>0</v>
      </c>
      <c r="G124" s="93">
        <f t="shared" si="42"/>
        <v>0</v>
      </c>
      <c r="H124" s="93">
        <f t="shared" si="42"/>
        <v>0</v>
      </c>
      <c r="I124" s="93">
        <f t="shared" si="42"/>
        <v>0</v>
      </c>
      <c r="J124" s="93">
        <f t="shared" si="42"/>
        <v>0</v>
      </c>
      <c r="K124" s="93">
        <f t="shared" si="42"/>
        <v>0</v>
      </c>
      <c r="L124" s="93">
        <f t="shared" si="42"/>
        <v>0</v>
      </c>
      <c r="M124" s="93">
        <f t="shared" si="42"/>
        <v>0</v>
      </c>
      <c r="N124" s="93">
        <f t="shared" si="42"/>
        <v>0</v>
      </c>
      <c r="O124" s="93">
        <f t="shared" si="42"/>
        <v>0</v>
      </c>
      <c r="P124" s="93">
        <f t="shared" si="42"/>
        <v>0</v>
      </c>
      <c r="Q124" s="93">
        <f t="shared" si="42"/>
        <v>0</v>
      </c>
      <c r="R124" s="94">
        <f t="shared" si="32"/>
        <v>0</v>
      </c>
      <c r="T124" s="96">
        <f t="shared" si="38"/>
        <v>0</v>
      </c>
      <c r="U124" s="96">
        <f t="shared" si="33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/>
      <c r="D126" s="57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2"/>
        <v>#DIV/0!</v>
      </c>
      <c r="S126" s="15"/>
      <c r="T126" s="62">
        <f t="shared" si="38"/>
        <v>0</v>
      </c>
      <c r="U126" s="62">
        <f t="shared" si="33"/>
        <v>0</v>
      </c>
    </row>
    <row r="127" spans="1:21" x14ac:dyDescent="0.25">
      <c r="A127" s="63" t="s">
        <v>142</v>
      </c>
      <c r="B127" s="15"/>
      <c r="C127" s="137">
        <f t="shared" ref="C127:Q127" si="43">SUM(C126:C126)</f>
        <v>0</v>
      </c>
      <c r="D127" s="138">
        <f t="shared" si="43"/>
        <v>0</v>
      </c>
      <c r="E127" s="139">
        <f t="shared" si="43"/>
        <v>0</v>
      </c>
      <c r="F127" s="139">
        <f t="shared" si="43"/>
        <v>0</v>
      </c>
      <c r="G127" s="139">
        <f t="shared" si="43"/>
        <v>0</v>
      </c>
      <c r="H127" s="139">
        <f t="shared" si="43"/>
        <v>0</v>
      </c>
      <c r="I127" s="139">
        <f t="shared" si="43"/>
        <v>0</v>
      </c>
      <c r="J127" s="139">
        <f t="shared" si="43"/>
        <v>0</v>
      </c>
      <c r="K127" s="139">
        <f t="shared" si="43"/>
        <v>0</v>
      </c>
      <c r="L127" s="139">
        <f t="shared" si="43"/>
        <v>0</v>
      </c>
      <c r="M127" s="139">
        <f t="shared" si="43"/>
        <v>0</v>
      </c>
      <c r="N127" s="139">
        <f t="shared" si="43"/>
        <v>0</v>
      </c>
      <c r="O127" s="139">
        <f t="shared" si="43"/>
        <v>0</v>
      </c>
      <c r="P127" s="139">
        <f t="shared" si="43"/>
        <v>0</v>
      </c>
      <c r="Q127" s="139">
        <f t="shared" si="43"/>
        <v>0</v>
      </c>
      <c r="R127" s="140">
        <f t="shared" si="32"/>
        <v>0</v>
      </c>
      <c r="T127" s="141">
        <f t="shared" si="38"/>
        <v>0</v>
      </c>
      <c r="U127" s="141">
        <f t="shared" si="33"/>
        <v>0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4">C124+C121+C90+C82+C73+C62+C48+C95+C76+C127</f>
        <v>2763.48</v>
      </c>
      <c r="D128" s="72">
        <f t="shared" si="44"/>
        <v>357.2673809523809</v>
      </c>
      <c r="E128" s="73">
        <f t="shared" si="44"/>
        <v>150</v>
      </c>
      <c r="F128" s="73">
        <f t="shared" si="44"/>
        <v>150</v>
      </c>
      <c r="G128" s="73">
        <f t="shared" si="44"/>
        <v>150</v>
      </c>
      <c r="H128" s="73">
        <f t="shared" si="44"/>
        <v>150</v>
      </c>
      <c r="I128" s="73">
        <f t="shared" si="44"/>
        <v>150</v>
      </c>
      <c r="J128" s="73">
        <f t="shared" si="44"/>
        <v>150</v>
      </c>
      <c r="K128" s="73">
        <f t="shared" si="44"/>
        <v>150</v>
      </c>
      <c r="L128" s="73">
        <f t="shared" si="44"/>
        <v>150</v>
      </c>
      <c r="M128" s="73">
        <f t="shared" si="44"/>
        <v>150</v>
      </c>
      <c r="N128" s="73">
        <f t="shared" si="44"/>
        <v>150</v>
      </c>
      <c r="O128" s="73">
        <f t="shared" si="44"/>
        <v>150</v>
      </c>
      <c r="P128" s="73">
        <f t="shared" si="44"/>
        <v>150</v>
      </c>
      <c r="Q128" s="73">
        <f t="shared" si="44"/>
        <v>1800</v>
      </c>
      <c r="R128" s="74">
        <f t="shared" si="32"/>
        <v>150</v>
      </c>
      <c r="T128" s="76">
        <f t="shared" si="38"/>
        <v>2.6847079037800689E-2</v>
      </c>
      <c r="U128" s="76">
        <f t="shared" si="33"/>
        <v>-0.34864735767944766</v>
      </c>
    </row>
    <row r="129" spans="1:21" x14ac:dyDescent="0.25">
      <c r="A129" s="78" t="s">
        <v>144</v>
      </c>
      <c r="B129" t="s">
        <v>48</v>
      </c>
      <c r="C129" s="79">
        <f t="shared" ref="C129:Q129" si="45">C34-C128</f>
        <v>48551.80999999999</v>
      </c>
      <c r="D129" s="80">
        <f t="shared" si="45"/>
        <v>3919.0067857142853</v>
      </c>
      <c r="E129" s="81">
        <f t="shared" si="45"/>
        <v>5437.2000000000007</v>
      </c>
      <c r="F129" s="81">
        <f t="shared" si="45"/>
        <v>5437.2000000000007</v>
      </c>
      <c r="G129" s="81">
        <f t="shared" si="45"/>
        <v>5437.2000000000007</v>
      </c>
      <c r="H129" s="81">
        <f t="shared" si="45"/>
        <v>5437.2000000000007</v>
      </c>
      <c r="I129" s="81">
        <f t="shared" si="45"/>
        <v>5437.2000000000007</v>
      </c>
      <c r="J129" s="81">
        <f t="shared" si="45"/>
        <v>5437.2000000000007</v>
      </c>
      <c r="K129" s="81">
        <f t="shared" si="45"/>
        <v>5437.2000000000007</v>
      </c>
      <c r="L129" s="81">
        <f t="shared" si="45"/>
        <v>5437.2000000000007</v>
      </c>
      <c r="M129" s="81">
        <f t="shared" si="45"/>
        <v>5437.2000000000007</v>
      </c>
      <c r="N129" s="81">
        <f t="shared" si="45"/>
        <v>5437.2000000000007</v>
      </c>
      <c r="O129" s="81">
        <f t="shared" si="45"/>
        <v>5437.2000000000007</v>
      </c>
      <c r="P129" s="81">
        <f t="shared" si="45"/>
        <v>5437.2000000000007</v>
      </c>
      <c r="Q129" s="81">
        <f t="shared" si="45"/>
        <v>65246.399999999994</v>
      </c>
      <c r="R129" s="82">
        <f t="shared" si="32"/>
        <v>5437.2</v>
      </c>
      <c r="T129" s="31">
        <f t="shared" si="38"/>
        <v>0.9731529209621993</v>
      </c>
      <c r="U129" s="31">
        <f t="shared" si="33"/>
        <v>0.34385103253617127</v>
      </c>
    </row>
    <row r="130" spans="1:21" x14ac:dyDescent="0.25">
      <c r="A130" s="78" t="s">
        <v>145</v>
      </c>
      <c r="B130" t="s">
        <v>48</v>
      </c>
      <c r="C130" s="339">
        <f t="shared" ref="C130:Q130" si="46">IFERROR(C129/C34,0)</f>
        <v>0.94614704506200775</v>
      </c>
      <c r="D130" s="340">
        <f t="shared" si="46"/>
        <v>0.91645358388448028</v>
      </c>
      <c r="E130" s="341">
        <f t="shared" si="46"/>
        <v>0.9731529209621993</v>
      </c>
      <c r="F130" s="341">
        <f t="shared" si="46"/>
        <v>0.9731529209621993</v>
      </c>
      <c r="G130" s="341">
        <f t="shared" si="46"/>
        <v>0.9731529209621993</v>
      </c>
      <c r="H130" s="341">
        <f t="shared" si="46"/>
        <v>0.9731529209621993</v>
      </c>
      <c r="I130" s="341">
        <f t="shared" si="46"/>
        <v>0.9731529209621993</v>
      </c>
      <c r="J130" s="341">
        <f t="shared" si="46"/>
        <v>0.9731529209621993</v>
      </c>
      <c r="K130" s="341">
        <f t="shared" si="46"/>
        <v>0.9731529209621993</v>
      </c>
      <c r="L130" s="341">
        <f t="shared" si="46"/>
        <v>0.9731529209621993</v>
      </c>
      <c r="M130" s="341">
        <f t="shared" si="46"/>
        <v>0.9731529209621993</v>
      </c>
      <c r="N130" s="341">
        <f t="shared" si="46"/>
        <v>0.9731529209621993</v>
      </c>
      <c r="O130" s="341">
        <f t="shared" si="46"/>
        <v>0.9731529209621993</v>
      </c>
      <c r="P130" s="341">
        <f t="shared" si="46"/>
        <v>0.9731529209621993</v>
      </c>
      <c r="Q130" s="341">
        <f t="shared" si="46"/>
        <v>0.9731529209621993</v>
      </c>
      <c r="R130" s="342">
        <f t="shared" si="32"/>
        <v>0.97315292096219952</v>
      </c>
      <c r="T130" s="31"/>
      <c r="U130" s="31">
        <f>IFERROR((Q130-C130)/C130,0)</f>
        <v>2.8543000838122005E-2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7">AVERAGE(E132:P132)</f>
        <v>#DIV/0!</v>
      </c>
      <c r="S132" s="15"/>
      <c r="T132" s="62">
        <f t="shared" si="38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7"/>
        <v>#DIV/0!</v>
      </c>
      <c r="S133" s="15"/>
      <c r="T133" s="62">
        <f t="shared" si="38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8">SUM(C132:C133)</f>
        <v>0</v>
      </c>
      <c r="D134" s="138">
        <f t="shared" si="48"/>
        <v>0</v>
      </c>
      <c r="E134" s="139">
        <f>SUM(E132:E133)</f>
        <v>0</v>
      </c>
      <c r="F134" s="139">
        <f t="shared" ref="F134:Q134" si="49">SUM(F132:F133)</f>
        <v>0</v>
      </c>
      <c r="G134" s="139">
        <f t="shared" si="49"/>
        <v>0</v>
      </c>
      <c r="H134" s="139">
        <f t="shared" si="49"/>
        <v>0</v>
      </c>
      <c r="I134" s="139">
        <f t="shared" si="49"/>
        <v>0</v>
      </c>
      <c r="J134" s="139">
        <f t="shared" si="49"/>
        <v>0</v>
      </c>
      <c r="K134" s="139">
        <f t="shared" si="49"/>
        <v>0</v>
      </c>
      <c r="L134" s="139">
        <f t="shared" si="49"/>
        <v>0</v>
      </c>
      <c r="M134" s="139">
        <f t="shared" si="49"/>
        <v>0</v>
      </c>
      <c r="N134" s="139">
        <f t="shared" si="49"/>
        <v>0</v>
      </c>
      <c r="O134" s="139">
        <f t="shared" si="49"/>
        <v>0</v>
      </c>
      <c r="P134" s="139">
        <f t="shared" si="49"/>
        <v>0</v>
      </c>
      <c r="Q134" s="139">
        <f t="shared" si="49"/>
        <v>0</v>
      </c>
      <c r="R134" s="140">
        <f>AVERAGE(E134:P134)</f>
        <v>0</v>
      </c>
      <c r="T134" s="141">
        <f t="shared" si="38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50">C134+C128</f>
        <v>2763.48</v>
      </c>
      <c r="D135" s="72">
        <f t="shared" si="50"/>
        <v>357.2673809523809</v>
      </c>
      <c r="E135" s="73">
        <f>E134+E128</f>
        <v>150</v>
      </c>
      <c r="F135" s="73">
        <f t="shared" ref="F135:P135" si="51">F134+F128</f>
        <v>150</v>
      </c>
      <c r="G135" s="73">
        <f t="shared" si="51"/>
        <v>150</v>
      </c>
      <c r="H135" s="73">
        <f t="shared" si="51"/>
        <v>150</v>
      </c>
      <c r="I135" s="73">
        <f t="shared" si="51"/>
        <v>150</v>
      </c>
      <c r="J135" s="73">
        <f t="shared" si="51"/>
        <v>150</v>
      </c>
      <c r="K135" s="73">
        <f t="shared" si="51"/>
        <v>150</v>
      </c>
      <c r="L135" s="73">
        <f t="shared" si="51"/>
        <v>150</v>
      </c>
      <c r="M135" s="73">
        <f t="shared" si="51"/>
        <v>150</v>
      </c>
      <c r="N135" s="73">
        <f t="shared" si="51"/>
        <v>150</v>
      </c>
      <c r="O135" s="73">
        <f t="shared" si="51"/>
        <v>150</v>
      </c>
      <c r="P135" s="73">
        <f t="shared" si="51"/>
        <v>150</v>
      </c>
      <c r="Q135" s="73">
        <f>Q134+Q128</f>
        <v>1800</v>
      </c>
      <c r="R135" s="74">
        <f t="shared" si="47"/>
        <v>150</v>
      </c>
      <c r="T135" s="76">
        <f t="shared" si="38"/>
        <v>2.6847079037800689E-2</v>
      </c>
      <c r="U135" s="76">
        <f t="shared" si="33"/>
        <v>-0.34864735767944766</v>
      </c>
    </row>
    <row r="136" spans="1:21" x14ac:dyDescent="0.25">
      <c r="A136" s="78" t="s">
        <v>151</v>
      </c>
      <c r="C136" s="79">
        <f t="shared" ref="C136:Q136" si="52">C34-C135</f>
        <v>48551.80999999999</v>
      </c>
      <c r="D136" s="80">
        <f t="shared" si="52"/>
        <v>3919.0067857142853</v>
      </c>
      <c r="E136" s="81">
        <f t="shared" si="52"/>
        <v>5437.2000000000007</v>
      </c>
      <c r="F136" s="81">
        <f t="shared" si="52"/>
        <v>5437.2000000000007</v>
      </c>
      <c r="G136" s="81">
        <f t="shared" si="52"/>
        <v>5437.2000000000007</v>
      </c>
      <c r="H136" s="81">
        <f t="shared" si="52"/>
        <v>5437.2000000000007</v>
      </c>
      <c r="I136" s="81">
        <f t="shared" si="52"/>
        <v>5437.2000000000007</v>
      </c>
      <c r="J136" s="81">
        <f t="shared" si="52"/>
        <v>5437.2000000000007</v>
      </c>
      <c r="K136" s="81">
        <f t="shared" si="52"/>
        <v>5437.2000000000007</v>
      </c>
      <c r="L136" s="81">
        <f t="shared" si="52"/>
        <v>5437.2000000000007</v>
      </c>
      <c r="M136" s="81">
        <f t="shared" si="52"/>
        <v>5437.2000000000007</v>
      </c>
      <c r="N136" s="81">
        <f t="shared" si="52"/>
        <v>5437.2000000000007</v>
      </c>
      <c r="O136" s="81">
        <f t="shared" si="52"/>
        <v>5437.2000000000007</v>
      </c>
      <c r="P136" s="81">
        <f t="shared" si="52"/>
        <v>5437.2000000000007</v>
      </c>
      <c r="Q136" s="81">
        <f t="shared" si="52"/>
        <v>65246.399999999994</v>
      </c>
      <c r="R136" s="82">
        <f>AVERAGE(E136:P136)</f>
        <v>5437.2</v>
      </c>
      <c r="T136" s="31">
        <f>Q136/$Q$34</f>
        <v>0.9731529209621993</v>
      </c>
      <c r="U136" s="31">
        <f t="shared" si="33"/>
        <v>0.34385103253617127</v>
      </c>
    </row>
    <row r="137" spans="1:21" ht="15.75" thickBot="1" x14ac:dyDescent="0.3">
      <c r="A137" s="78" t="s">
        <v>152</v>
      </c>
      <c r="C137" s="344">
        <f>IFERROR(C136/C34,"")</f>
        <v>0.94614704506200775</v>
      </c>
      <c r="D137" s="345">
        <f>IFERROR(D136/D34,"")</f>
        <v>0.91645358388448028</v>
      </c>
      <c r="E137" s="341">
        <f t="shared" ref="E137:Q137" si="53">E136/E34</f>
        <v>0.9731529209621993</v>
      </c>
      <c r="F137" s="341">
        <f t="shared" si="53"/>
        <v>0.9731529209621993</v>
      </c>
      <c r="G137" s="341">
        <f t="shared" si="53"/>
        <v>0.9731529209621993</v>
      </c>
      <c r="H137" s="341">
        <f t="shared" si="53"/>
        <v>0.9731529209621993</v>
      </c>
      <c r="I137" s="341">
        <f t="shared" si="53"/>
        <v>0.9731529209621993</v>
      </c>
      <c r="J137" s="341">
        <f t="shared" si="53"/>
        <v>0.9731529209621993</v>
      </c>
      <c r="K137" s="341">
        <f t="shared" si="53"/>
        <v>0.9731529209621993</v>
      </c>
      <c r="L137" s="341">
        <f t="shared" si="53"/>
        <v>0.9731529209621993</v>
      </c>
      <c r="M137" s="341">
        <f t="shared" si="53"/>
        <v>0.9731529209621993</v>
      </c>
      <c r="N137" s="341">
        <f t="shared" si="53"/>
        <v>0.9731529209621993</v>
      </c>
      <c r="O137" s="341">
        <f t="shared" si="53"/>
        <v>0.9731529209621993</v>
      </c>
      <c r="P137" s="341">
        <f t="shared" si="53"/>
        <v>0.9731529209621993</v>
      </c>
      <c r="Q137" s="341">
        <f t="shared" si="53"/>
        <v>0.9731529209621993</v>
      </c>
      <c r="R137" s="346">
        <f t="shared" si="47"/>
        <v>0.97315292096219952</v>
      </c>
      <c r="T137" s="181"/>
      <c r="U137" s="181">
        <f t="shared" si="33"/>
        <v>2.8543000838122005E-2</v>
      </c>
    </row>
    <row r="139" spans="1:21" x14ac:dyDescent="0.25">
      <c r="Q139" s="185"/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21B5-D953-4E3D-AA93-801E694787F3}">
  <dimension ref="A1:CD107"/>
  <sheetViews>
    <sheetView topLeftCell="A2" workbookViewId="0">
      <selection activeCell="B10" sqref="B10"/>
    </sheetView>
  </sheetViews>
  <sheetFormatPr defaultColWidth="12.42578125" defaultRowHeight="15.75" x14ac:dyDescent="0.25"/>
  <cols>
    <col min="2" max="2" width="12.42578125" style="383"/>
    <col min="83" max="16384" width="12.42578125" style="382"/>
  </cols>
  <sheetData>
    <row r="1" spans="1:2" x14ac:dyDescent="0.25">
      <c r="A1" t="s">
        <v>170</v>
      </c>
      <c r="B1" s="383" t="s">
        <v>258</v>
      </c>
    </row>
    <row r="2" spans="1:2" x14ac:dyDescent="0.25">
      <c r="A2" t="s">
        <v>171</v>
      </c>
      <c r="B2" s="383" t="s">
        <v>259</v>
      </c>
    </row>
    <row r="3" spans="1:2" x14ac:dyDescent="0.25">
      <c r="A3" t="s">
        <v>172</v>
      </c>
      <c r="B3" s="383" t="s">
        <v>260</v>
      </c>
    </row>
    <row r="4" spans="1:2" x14ac:dyDescent="0.25">
      <c r="A4" t="s">
        <v>173</v>
      </c>
      <c r="B4" s="383" t="s">
        <v>261</v>
      </c>
    </row>
    <row r="5" spans="1:2" x14ac:dyDescent="0.25">
      <c r="A5" t="s">
        <v>174</v>
      </c>
      <c r="B5" s="383" t="s">
        <v>262</v>
      </c>
    </row>
    <row r="6" spans="1:2" x14ac:dyDescent="0.25">
      <c r="A6" t="s">
        <v>175</v>
      </c>
      <c r="B6" s="383" t="s">
        <v>263</v>
      </c>
    </row>
    <row r="7" spans="1:2" x14ac:dyDescent="0.25">
      <c r="A7" t="s">
        <v>254</v>
      </c>
      <c r="B7" s="383" t="s">
        <v>264</v>
      </c>
    </row>
    <row r="8" spans="1:2" x14ac:dyDescent="0.25">
      <c r="A8" t="s">
        <v>256</v>
      </c>
      <c r="B8" s="383" t="s">
        <v>265</v>
      </c>
    </row>
    <row r="9" spans="1:2" x14ac:dyDescent="0.25">
      <c r="A9" t="s">
        <v>176</v>
      </c>
      <c r="B9" s="383" t="s">
        <v>266</v>
      </c>
    </row>
    <row r="10" spans="1:2" x14ac:dyDescent="0.25">
      <c r="A10" t="s">
        <v>177</v>
      </c>
      <c r="B10" s="383" t="s">
        <v>267</v>
      </c>
    </row>
    <row r="11" spans="1:2" x14ac:dyDescent="0.25">
      <c r="A11" t="s">
        <v>178</v>
      </c>
      <c r="B11" s="383" t="s">
        <v>268</v>
      </c>
    </row>
    <row r="12" spans="1:2" x14ac:dyDescent="0.25">
      <c r="A12" t="s">
        <v>179</v>
      </c>
      <c r="B12" s="383" t="s">
        <v>269</v>
      </c>
    </row>
    <row r="13" spans="1:2" x14ac:dyDescent="0.25">
      <c r="A13" t="s">
        <v>180</v>
      </c>
      <c r="B13" s="383" t="s">
        <v>270</v>
      </c>
    </row>
    <row r="14" spans="1:2" x14ac:dyDescent="0.25">
      <c r="A14" t="s">
        <v>181</v>
      </c>
      <c r="B14" s="383" t="s">
        <v>271</v>
      </c>
    </row>
    <row r="15" spans="1:2" x14ac:dyDescent="0.25">
      <c r="A15" t="s">
        <v>155</v>
      </c>
      <c r="B15" s="383" t="s">
        <v>272</v>
      </c>
    </row>
    <row r="16" spans="1:2" x14ac:dyDescent="0.25">
      <c r="A16" t="s">
        <v>182</v>
      </c>
      <c r="B16" s="383" t="s">
        <v>273</v>
      </c>
    </row>
    <row r="17" spans="1:2" x14ac:dyDescent="0.25">
      <c r="A17" t="s">
        <v>183</v>
      </c>
      <c r="B17" s="383" t="s">
        <v>274</v>
      </c>
    </row>
    <row r="18" spans="1:2" x14ac:dyDescent="0.25">
      <c r="A18" t="s">
        <v>156</v>
      </c>
      <c r="B18" s="383" t="s">
        <v>275</v>
      </c>
    </row>
    <row r="19" spans="1:2" x14ac:dyDescent="0.25">
      <c r="A19" t="s">
        <v>184</v>
      </c>
      <c r="B19" s="383" t="s">
        <v>276</v>
      </c>
    </row>
    <row r="20" spans="1:2" x14ac:dyDescent="0.25">
      <c r="A20" t="s">
        <v>185</v>
      </c>
      <c r="B20" s="383" t="s">
        <v>277</v>
      </c>
    </row>
    <row r="21" spans="1:2" x14ac:dyDescent="0.25">
      <c r="A21" t="s">
        <v>168</v>
      </c>
      <c r="B21" s="383" t="s">
        <v>278</v>
      </c>
    </row>
    <row r="22" spans="1:2" x14ac:dyDescent="0.25">
      <c r="A22" t="s">
        <v>186</v>
      </c>
      <c r="B22" s="383" t="s">
        <v>279</v>
      </c>
    </row>
    <row r="23" spans="1:2" x14ac:dyDescent="0.25">
      <c r="A23" t="s">
        <v>187</v>
      </c>
      <c r="B23" s="383" t="s">
        <v>280</v>
      </c>
    </row>
    <row r="24" spans="1:2" x14ac:dyDescent="0.25">
      <c r="A24" t="s">
        <v>188</v>
      </c>
      <c r="B24" s="383" t="s">
        <v>281</v>
      </c>
    </row>
    <row r="25" spans="1:2" x14ac:dyDescent="0.25">
      <c r="A25" t="s">
        <v>169</v>
      </c>
      <c r="B25" s="383" t="s">
        <v>282</v>
      </c>
    </row>
    <row r="26" spans="1:2" x14ac:dyDescent="0.25">
      <c r="A26" t="s">
        <v>189</v>
      </c>
      <c r="B26" s="383" t="s">
        <v>283</v>
      </c>
    </row>
    <row r="27" spans="1:2" x14ac:dyDescent="0.25">
      <c r="A27" t="s">
        <v>190</v>
      </c>
      <c r="B27" s="383" t="s">
        <v>284</v>
      </c>
    </row>
    <row r="28" spans="1:2" x14ac:dyDescent="0.25">
      <c r="A28" t="s">
        <v>191</v>
      </c>
      <c r="B28" s="383" t="s">
        <v>285</v>
      </c>
    </row>
    <row r="29" spans="1:2" x14ac:dyDescent="0.25">
      <c r="A29" t="s">
        <v>192</v>
      </c>
      <c r="B29" s="383" t="s">
        <v>286</v>
      </c>
    </row>
    <row r="30" spans="1:2" x14ac:dyDescent="0.25">
      <c r="A30" t="s">
        <v>64</v>
      </c>
      <c r="B30" s="383" t="s">
        <v>287</v>
      </c>
    </row>
    <row r="31" spans="1:2" x14ac:dyDescent="0.25">
      <c r="A31" t="s">
        <v>193</v>
      </c>
      <c r="B31" s="383" t="s">
        <v>288</v>
      </c>
    </row>
    <row r="32" spans="1:2" x14ac:dyDescent="0.25">
      <c r="A32" t="s">
        <v>89</v>
      </c>
      <c r="B32" s="383" t="s">
        <v>289</v>
      </c>
    </row>
    <row r="33" spans="1:2" x14ac:dyDescent="0.25">
      <c r="A33" t="s">
        <v>194</v>
      </c>
      <c r="B33" s="383" t="s">
        <v>290</v>
      </c>
    </row>
    <row r="34" spans="1:2" x14ac:dyDescent="0.25">
      <c r="A34" t="s">
        <v>195</v>
      </c>
      <c r="B34" s="383" t="s">
        <v>291</v>
      </c>
    </row>
    <row r="35" spans="1:2" x14ac:dyDescent="0.25">
      <c r="A35" t="s">
        <v>196</v>
      </c>
      <c r="B35" s="383" t="s">
        <v>292</v>
      </c>
    </row>
    <row r="36" spans="1:2" x14ac:dyDescent="0.25">
      <c r="A36" t="s">
        <v>197</v>
      </c>
      <c r="B36" s="383" t="s">
        <v>293</v>
      </c>
    </row>
    <row r="37" spans="1:2" x14ac:dyDescent="0.25">
      <c r="A37" t="s">
        <v>198</v>
      </c>
      <c r="B37" s="383" t="s">
        <v>294</v>
      </c>
    </row>
    <row r="38" spans="1:2" x14ac:dyDescent="0.25">
      <c r="A38" t="s">
        <v>199</v>
      </c>
      <c r="B38" s="383" t="s">
        <v>295</v>
      </c>
    </row>
    <row r="39" spans="1:2" x14ac:dyDescent="0.25">
      <c r="A39" t="s">
        <v>200</v>
      </c>
      <c r="B39" s="383" t="s">
        <v>296</v>
      </c>
    </row>
    <row r="40" spans="1:2" x14ac:dyDescent="0.25">
      <c r="A40" t="s">
        <v>157</v>
      </c>
      <c r="B40" s="383" t="s">
        <v>297</v>
      </c>
    </row>
    <row r="41" spans="1:2" x14ac:dyDescent="0.25">
      <c r="A41" t="s">
        <v>201</v>
      </c>
      <c r="B41" s="383" t="s">
        <v>298</v>
      </c>
    </row>
    <row r="42" spans="1:2" x14ac:dyDescent="0.25">
      <c r="A42" t="s">
        <v>202</v>
      </c>
      <c r="B42" s="383" t="s">
        <v>299</v>
      </c>
    </row>
    <row r="43" spans="1:2" x14ac:dyDescent="0.25">
      <c r="A43" t="s">
        <v>203</v>
      </c>
      <c r="B43" s="383" t="s">
        <v>300</v>
      </c>
    </row>
    <row r="44" spans="1:2" x14ac:dyDescent="0.25">
      <c r="A44" t="s">
        <v>250</v>
      </c>
      <c r="B44" s="383" t="s">
        <v>301</v>
      </c>
    </row>
    <row r="45" spans="1:2" x14ac:dyDescent="0.25">
      <c r="A45" t="s">
        <v>251</v>
      </c>
      <c r="B45" s="383" t="s">
        <v>302</v>
      </c>
    </row>
    <row r="46" spans="1:2" x14ac:dyDescent="0.25">
      <c r="A46" t="s">
        <v>204</v>
      </c>
      <c r="B46" s="383" t="s">
        <v>303</v>
      </c>
    </row>
    <row r="47" spans="1:2" x14ac:dyDescent="0.25">
      <c r="A47" t="s">
        <v>205</v>
      </c>
      <c r="B47" s="383" t="s">
        <v>304</v>
      </c>
    </row>
    <row r="48" spans="1:2" x14ac:dyDescent="0.25">
      <c r="A48" t="s">
        <v>206</v>
      </c>
      <c r="B48" s="383" t="s">
        <v>305</v>
      </c>
    </row>
    <row r="49" spans="1:2" x14ac:dyDescent="0.25">
      <c r="A49" t="s">
        <v>207</v>
      </c>
      <c r="B49" s="383" t="s">
        <v>306</v>
      </c>
    </row>
    <row r="50" spans="1:2" x14ac:dyDescent="0.25">
      <c r="A50" t="s">
        <v>208</v>
      </c>
      <c r="B50" s="383" t="s">
        <v>307</v>
      </c>
    </row>
    <row r="51" spans="1:2" x14ac:dyDescent="0.25">
      <c r="A51" t="s">
        <v>209</v>
      </c>
      <c r="B51" s="383" t="s">
        <v>308</v>
      </c>
    </row>
    <row r="52" spans="1:2" x14ac:dyDescent="0.25">
      <c r="A52" t="s">
        <v>210</v>
      </c>
      <c r="B52" s="383" t="s">
        <v>309</v>
      </c>
    </row>
    <row r="53" spans="1:2" x14ac:dyDescent="0.25">
      <c r="A53" t="s">
        <v>158</v>
      </c>
      <c r="B53" s="383" t="s">
        <v>310</v>
      </c>
    </row>
    <row r="54" spans="1:2" x14ac:dyDescent="0.25">
      <c r="A54" t="s">
        <v>211</v>
      </c>
      <c r="B54" s="383" t="s">
        <v>311</v>
      </c>
    </row>
    <row r="55" spans="1:2" x14ac:dyDescent="0.25">
      <c r="A55" t="s">
        <v>212</v>
      </c>
      <c r="B55" s="383" t="s">
        <v>312</v>
      </c>
    </row>
    <row r="56" spans="1:2" x14ac:dyDescent="0.25">
      <c r="A56" t="s">
        <v>213</v>
      </c>
      <c r="B56" s="383" t="s">
        <v>313</v>
      </c>
    </row>
    <row r="57" spans="1:2" x14ac:dyDescent="0.25">
      <c r="A57" t="s">
        <v>214</v>
      </c>
      <c r="B57" s="383" t="s">
        <v>314</v>
      </c>
    </row>
    <row r="58" spans="1:2" x14ac:dyDescent="0.25">
      <c r="A58" t="s">
        <v>215</v>
      </c>
      <c r="B58" s="383" t="s">
        <v>315</v>
      </c>
    </row>
    <row r="59" spans="1:2" x14ac:dyDescent="0.25">
      <c r="A59" t="s">
        <v>216</v>
      </c>
      <c r="B59" s="383" t="s">
        <v>316</v>
      </c>
    </row>
    <row r="60" spans="1:2" x14ac:dyDescent="0.25">
      <c r="A60" t="s">
        <v>217</v>
      </c>
      <c r="B60" s="383" t="s">
        <v>317</v>
      </c>
    </row>
    <row r="61" spans="1:2" x14ac:dyDescent="0.25">
      <c r="A61" t="s">
        <v>218</v>
      </c>
      <c r="B61" s="383" t="s">
        <v>318</v>
      </c>
    </row>
    <row r="62" spans="1:2" x14ac:dyDescent="0.25">
      <c r="A62" t="s">
        <v>255</v>
      </c>
      <c r="B62" s="383" t="s">
        <v>319</v>
      </c>
    </row>
    <row r="63" spans="1:2" x14ac:dyDescent="0.25">
      <c r="A63" t="s">
        <v>252</v>
      </c>
      <c r="B63" s="383" t="s">
        <v>320</v>
      </c>
    </row>
    <row r="64" spans="1:2" x14ac:dyDescent="0.25">
      <c r="A64" t="s">
        <v>159</v>
      </c>
      <c r="B64" s="383" t="s">
        <v>321</v>
      </c>
    </row>
    <row r="65" spans="1:2" x14ac:dyDescent="0.25">
      <c r="A65" t="s">
        <v>160</v>
      </c>
      <c r="B65" s="383" t="s">
        <v>322</v>
      </c>
    </row>
    <row r="66" spans="1:2" x14ac:dyDescent="0.25">
      <c r="A66" t="s">
        <v>92</v>
      </c>
      <c r="B66" s="383" t="s">
        <v>323</v>
      </c>
    </row>
    <row r="67" spans="1:2" x14ac:dyDescent="0.25">
      <c r="A67" t="s">
        <v>219</v>
      </c>
      <c r="B67" s="383" t="s">
        <v>324</v>
      </c>
    </row>
    <row r="68" spans="1:2" x14ac:dyDescent="0.25">
      <c r="A68" t="s">
        <v>220</v>
      </c>
      <c r="B68" s="383" t="s">
        <v>325</v>
      </c>
    </row>
    <row r="69" spans="1:2" x14ac:dyDescent="0.25">
      <c r="A69" t="s">
        <v>221</v>
      </c>
      <c r="B69" s="383" t="s">
        <v>326</v>
      </c>
    </row>
    <row r="70" spans="1:2" x14ac:dyDescent="0.25">
      <c r="A70" t="s">
        <v>222</v>
      </c>
      <c r="B70" s="383" t="s">
        <v>327</v>
      </c>
    </row>
    <row r="71" spans="1:2" x14ac:dyDescent="0.25">
      <c r="A71" t="s">
        <v>223</v>
      </c>
      <c r="B71" s="383" t="s">
        <v>328</v>
      </c>
    </row>
    <row r="72" spans="1:2" x14ac:dyDescent="0.25">
      <c r="A72" t="s">
        <v>224</v>
      </c>
      <c r="B72" s="383" t="s">
        <v>329</v>
      </c>
    </row>
    <row r="73" spans="1:2" x14ac:dyDescent="0.25">
      <c r="A73" t="s">
        <v>225</v>
      </c>
      <c r="B73" s="383" t="s">
        <v>330</v>
      </c>
    </row>
    <row r="74" spans="1:2" x14ac:dyDescent="0.25">
      <c r="A74" t="s">
        <v>226</v>
      </c>
      <c r="B74" s="383" t="s">
        <v>331</v>
      </c>
    </row>
    <row r="75" spans="1:2" x14ac:dyDescent="0.25">
      <c r="A75" t="s">
        <v>227</v>
      </c>
      <c r="B75" s="383" t="s">
        <v>332</v>
      </c>
    </row>
    <row r="76" spans="1:2" x14ac:dyDescent="0.25">
      <c r="A76" t="s">
        <v>228</v>
      </c>
      <c r="B76" s="383" t="s">
        <v>333</v>
      </c>
    </row>
    <row r="77" spans="1:2" x14ac:dyDescent="0.25">
      <c r="A77" t="s">
        <v>161</v>
      </c>
      <c r="B77" s="383" t="s">
        <v>334</v>
      </c>
    </row>
    <row r="78" spans="1:2" x14ac:dyDescent="0.25">
      <c r="A78" t="s">
        <v>229</v>
      </c>
      <c r="B78" s="383" t="s">
        <v>335</v>
      </c>
    </row>
    <row r="79" spans="1:2" x14ac:dyDescent="0.25">
      <c r="A79" t="s">
        <v>230</v>
      </c>
      <c r="B79" s="383" t="s">
        <v>336</v>
      </c>
    </row>
    <row r="80" spans="1:2" x14ac:dyDescent="0.25">
      <c r="A80" t="s">
        <v>257</v>
      </c>
      <c r="B80" s="383" t="s">
        <v>337</v>
      </c>
    </row>
    <row r="81" spans="1:2" x14ac:dyDescent="0.25">
      <c r="A81" t="s">
        <v>231</v>
      </c>
      <c r="B81" s="383" t="s">
        <v>338</v>
      </c>
    </row>
    <row r="82" spans="1:2" x14ac:dyDescent="0.25">
      <c r="A82" t="s">
        <v>162</v>
      </c>
      <c r="B82" s="383" t="s">
        <v>339</v>
      </c>
    </row>
    <row r="83" spans="1:2" x14ac:dyDescent="0.25">
      <c r="A83" t="s">
        <v>232</v>
      </c>
      <c r="B83" s="383" t="s">
        <v>340</v>
      </c>
    </row>
    <row r="84" spans="1:2" x14ac:dyDescent="0.25">
      <c r="A84" t="s">
        <v>233</v>
      </c>
      <c r="B84" s="383" t="s">
        <v>341</v>
      </c>
    </row>
    <row r="85" spans="1:2" x14ac:dyDescent="0.25">
      <c r="A85" t="s">
        <v>163</v>
      </c>
      <c r="B85" s="383" t="s">
        <v>342</v>
      </c>
    </row>
    <row r="86" spans="1:2" x14ac:dyDescent="0.25">
      <c r="A86" t="s">
        <v>164</v>
      </c>
      <c r="B86" s="383" t="s">
        <v>343</v>
      </c>
    </row>
    <row r="87" spans="1:2" x14ac:dyDescent="0.25">
      <c r="A87" t="s">
        <v>234</v>
      </c>
      <c r="B87" s="383" t="s">
        <v>344</v>
      </c>
    </row>
    <row r="88" spans="1:2" x14ac:dyDescent="0.25">
      <c r="A88" t="s">
        <v>235</v>
      </c>
      <c r="B88" s="383" t="s">
        <v>345</v>
      </c>
    </row>
    <row r="89" spans="1:2" x14ac:dyDescent="0.25">
      <c r="A89" t="s">
        <v>236</v>
      </c>
      <c r="B89" s="383" t="s">
        <v>346</v>
      </c>
    </row>
    <row r="90" spans="1:2" x14ac:dyDescent="0.25">
      <c r="A90" t="s">
        <v>165</v>
      </c>
      <c r="B90" s="383" t="s">
        <v>347</v>
      </c>
    </row>
    <row r="91" spans="1:2" x14ac:dyDescent="0.25">
      <c r="A91" t="s">
        <v>237</v>
      </c>
      <c r="B91" s="383" t="s">
        <v>348</v>
      </c>
    </row>
    <row r="92" spans="1:2" x14ac:dyDescent="0.25">
      <c r="A92" t="s">
        <v>238</v>
      </c>
      <c r="B92" s="383" t="s">
        <v>349</v>
      </c>
    </row>
    <row r="93" spans="1:2" x14ac:dyDescent="0.25">
      <c r="A93" t="s">
        <v>239</v>
      </c>
      <c r="B93" s="383" t="s">
        <v>350</v>
      </c>
    </row>
    <row r="94" spans="1:2" x14ac:dyDescent="0.25">
      <c r="A94" t="s">
        <v>240</v>
      </c>
      <c r="B94" s="383" t="s">
        <v>351</v>
      </c>
    </row>
    <row r="95" spans="1:2" x14ac:dyDescent="0.25">
      <c r="A95" t="s">
        <v>241</v>
      </c>
      <c r="B95" s="383" t="s">
        <v>352</v>
      </c>
    </row>
    <row r="96" spans="1:2" x14ac:dyDescent="0.25">
      <c r="A96" t="s">
        <v>242</v>
      </c>
      <c r="B96" s="383" t="s">
        <v>353</v>
      </c>
    </row>
    <row r="97" spans="1:2" x14ac:dyDescent="0.25">
      <c r="A97" t="s">
        <v>166</v>
      </c>
      <c r="B97" s="383" t="s">
        <v>354</v>
      </c>
    </row>
    <row r="98" spans="1:2" x14ac:dyDescent="0.25">
      <c r="A98" t="s">
        <v>243</v>
      </c>
      <c r="B98" s="383" t="s">
        <v>355</v>
      </c>
    </row>
    <row r="99" spans="1:2" x14ac:dyDescent="0.25">
      <c r="A99" t="s">
        <v>167</v>
      </c>
      <c r="B99" s="383" t="s">
        <v>356</v>
      </c>
    </row>
    <row r="100" spans="1:2" x14ac:dyDescent="0.25">
      <c r="A100" t="s">
        <v>253</v>
      </c>
      <c r="B100" s="383" t="s">
        <v>357</v>
      </c>
    </row>
    <row r="101" spans="1:2" x14ac:dyDescent="0.25">
      <c r="A101" t="s">
        <v>78</v>
      </c>
      <c r="B101" s="383" t="s">
        <v>358</v>
      </c>
    </row>
    <row r="102" spans="1:2" x14ac:dyDescent="0.25">
      <c r="A102" t="s">
        <v>244</v>
      </c>
      <c r="B102" s="383" t="s">
        <v>359</v>
      </c>
    </row>
    <row r="103" spans="1:2" x14ac:dyDescent="0.25">
      <c r="A103" t="s">
        <v>245</v>
      </c>
      <c r="B103" s="383" t="s">
        <v>360</v>
      </c>
    </row>
    <row r="104" spans="1:2" x14ac:dyDescent="0.25">
      <c r="A104" t="s">
        <v>246</v>
      </c>
      <c r="B104" s="383" t="s">
        <v>361</v>
      </c>
    </row>
    <row r="105" spans="1:2" x14ac:dyDescent="0.25">
      <c r="A105" t="s">
        <v>247</v>
      </c>
      <c r="B105" s="383" t="s">
        <v>362</v>
      </c>
    </row>
    <row r="106" spans="1:2" x14ac:dyDescent="0.25">
      <c r="A106" t="s">
        <v>248</v>
      </c>
      <c r="B106" s="383" t="s">
        <v>363</v>
      </c>
    </row>
    <row r="107" spans="1:2" x14ac:dyDescent="0.25">
      <c r="A107" t="s">
        <v>249</v>
      </c>
      <c r="B107" s="383" t="s">
        <v>364</v>
      </c>
    </row>
  </sheetData>
  <pageMargins left="0.7" right="0.7" top="0.75" bottom="0.75" header="0.3" footer="0.3"/>
  <customProperties>
    <customPr name="SaaSBISignature" r:id="rId1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5C73-ABAF-45B0-B49B-4BB61698C254}">
  <dimension ref="A1:Z137"/>
  <sheetViews>
    <sheetView topLeftCell="B1" workbookViewId="0">
      <selection activeCell="Y21" sqref="Y21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1.42578125" customWidth="1"/>
    <col min="20" max="20" width="10" bestFit="1" customWidth="1"/>
    <col min="21" max="21" width="11.85546875" customWidth="1"/>
    <col min="23" max="23" width="13.5703125" customWidth="1"/>
    <col min="24" max="24" width="14.85546875" customWidth="1"/>
    <col min="25" max="25" width="17.28515625" customWidth="1"/>
    <col min="26" max="26" width="15.7109375" customWidth="1"/>
  </cols>
  <sheetData>
    <row r="1" spans="1:26" ht="18" x14ac:dyDescent="0.25">
      <c r="A1" s="401" t="s">
        <v>379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6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6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6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6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6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6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6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6" x14ac:dyDescent="0.25">
      <c r="A9" s="25"/>
      <c r="B9" s="15" t="s">
        <v>24</v>
      </c>
      <c r="C9" s="16">
        <v>4.1399999999999997</v>
      </c>
      <c r="D9" s="17">
        <v>0.34499999999999997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9">
        <f t="shared" si="0"/>
        <v>12</v>
      </c>
      <c r="R9" s="20">
        <f t="shared" si="1"/>
        <v>1</v>
      </c>
      <c r="S9" s="15"/>
      <c r="T9" s="21"/>
      <c r="U9" s="22">
        <f t="shared" si="2"/>
        <v>1.8985507246376814</v>
      </c>
    </row>
    <row r="10" spans="1:26" x14ac:dyDescent="0.25">
      <c r="A10" s="15"/>
      <c r="B10" s="15" t="s">
        <v>25</v>
      </c>
      <c r="C10" s="16">
        <v>33.900000000000006</v>
      </c>
      <c r="D10" s="17">
        <v>2.8250000000000002</v>
      </c>
      <c r="E10" s="18">
        <v>4</v>
      </c>
      <c r="F10" s="18">
        <v>4</v>
      </c>
      <c r="G10" s="18">
        <v>5</v>
      </c>
      <c r="H10" s="18">
        <v>5</v>
      </c>
      <c r="I10" s="18">
        <v>5</v>
      </c>
      <c r="J10" s="18">
        <v>5</v>
      </c>
      <c r="K10" s="18">
        <v>7</v>
      </c>
      <c r="L10" s="18">
        <v>7</v>
      </c>
      <c r="M10" s="18">
        <v>7</v>
      </c>
      <c r="N10" s="18">
        <v>7</v>
      </c>
      <c r="O10" s="18">
        <v>7</v>
      </c>
      <c r="P10" s="18">
        <v>7</v>
      </c>
      <c r="Q10" s="19">
        <f t="shared" si="0"/>
        <v>70</v>
      </c>
      <c r="R10" s="20">
        <f t="shared" si="1"/>
        <v>5.833333333333333</v>
      </c>
      <c r="S10" s="15"/>
      <c r="T10" s="21"/>
      <c r="U10" s="22">
        <f t="shared" si="2"/>
        <v>1.0648967551622415</v>
      </c>
    </row>
    <row r="11" spans="1:26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>AVERAGE(E11:P11)</f>
        <v>#DIV/0!</v>
      </c>
      <c r="S11" s="15"/>
      <c r="T11" s="21"/>
      <c r="U11" s="22">
        <f t="shared" si="2"/>
        <v>0</v>
      </c>
    </row>
    <row r="12" spans="1:26" x14ac:dyDescent="0.25">
      <c r="A12" s="15"/>
      <c r="B12" s="15" t="s">
        <v>27</v>
      </c>
      <c r="C12" s="16">
        <v>0</v>
      </c>
      <c r="D12" s="17">
        <v>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>
        <f t="shared" si="0"/>
        <v>0</v>
      </c>
      <c r="R12" s="335" t="e">
        <f>AVERAGE(E12:P12)</f>
        <v>#DIV/0!</v>
      </c>
      <c r="S12" s="15"/>
      <c r="T12" s="21"/>
      <c r="U12" s="22">
        <f t="shared" si="2"/>
        <v>0</v>
      </c>
    </row>
    <row r="13" spans="1:26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>AVERAGE(E13:P13)</f>
        <v>#DIV/0!</v>
      </c>
      <c r="S13" s="15"/>
      <c r="T13" s="21"/>
      <c r="U13" s="22">
        <f t="shared" si="2"/>
        <v>0</v>
      </c>
    </row>
    <row r="14" spans="1:26" x14ac:dyDescent="0.25">
      <c r="A14" s="25"/>
      <c r="B14" s="15" t="s">
        <v>29</v>
      </c>
      <c r="C14" s="26">
        <f>SUM(C7:C13)</f>
        <v>38.040000000000006</v>
      </c>
      <c r="D14" s="27">
        <f t="shared" ref="D14" si="3">SUM(D7:D13)</f>
        <v>3.17</v>
      </c>
      <c r="E14" s="28">
        <f>SUM(E7:E13)</f>
        <v>5</v>
      </c>
      <c r="F14" s="28">
        <f>SUM(F7:F13)</f>
        <v>5</v>
      </c>
      <c r="G14" s="28">
        <f t="shared" ref="G14:Q14" si="4">SUM(G7:G13)</f>
        <v>6</v>
      </c>
      <c r="H14" s="28">
        <f t="shared" si="4"/>
        <v>6</v>
      </c>
      <c r="I14" s="28">
        <f t="shared" si="4"/>
        <v>6</v>
      </c>
      <c r="J14" s="28">
        <f t="shared" si="4"/>
        <v>6</v>
      </c>
      <c r="K14" s="28">
        <f t="shared" si="4"/>
        <v>8</v>
      </c>
      <c r="L14" s="28">
        <f t="shared" si="4"/>
        <v>8</v>
      </c>
      <c r="M14" s="28">
        <f t="shared" si="4"/>
        <v>8</v>
      </c>
      <c r="N14" s="28">
        <f t="shared" si="4"/>
        <v>8</v>
      </c>
      <c r="O14" s="28">
        <f t="shared" si="4"/>
        <v>8</v>
      </c>
      <c r="P14" s="28">
        <f t="shared" si="4"/>
        <v>8</v>
      </c>
      <c r="Q14" s="28">
        <f t="shared" si="4"/>
        <v>82</v>
      </c>
      <c r="R14" s="29">
        <f t="shared" si="1"/>
        <v>6.833333333333333</v>
      </c>
      <c r="T14" s="30"/>
      <c r="U14" s="31">
        <f>IFERROR((Q14-C14)/C14,0)</f>
        <v>1.155625657202944</v>
      </c>
    </row>
    <row r="15" spans="1:26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6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5">IFERROR((Q16-C16)/C16,"")</f>
        <v/>
      </c>
      <c r="W16"/>
      <c r="X16"/>
      <c r="Y16"/>
      <c r="Z16"/>
    </row>
    <row r="17" spans="1:26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5"/>
        <v/>
      </c>
      <c r="W17"/>
      <c r="X17"/>
      <c r="Y17"/>
      <c r="Z17"/>
    </row>
    <row r="18" spans="1:26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5"/>
        <v/>
      </c>
      <c r="W18"/>
      <c r="X18"/>
      <c r="Y18"/>
      <c r="Z18"/>
    </row>
    <row r="19" spans="1:26" s="44" customFormat="1" x14ac:dyDescent="0.25">
      <c r="B19" s="15" t="s">
        <v>34</v>
      </c>
      <c r="C19" s="40"/>
      <c r="D19" s="41"/>
      <c r="E19" s="42">
        <v>200</v>
      </c>
      <c r="F19" s="42">
        <v>200</v>
      </c>
      <c r="G19" s="42">
        <v>200</v>
      </c>
      <c r="H19" s="42">
        <v>200</v>
      </c>
      <c r="I19" s="42">
        <v>200</v>
      </c>
      <c r="J19" s="42">
        <v>200</v>
      </c>
      <c r="K19" s="42">
        <v>200</v>
      </c>
      <c r="L19" s="42">
        <v>200</v>
      </c>
      <c r="M19" s="42">
        <v>200</v>
      </c>
      <c r="N19" s="42">
        <v>200</v>
      </c>
      <c r="O19" s="42">
        <v>200</v>
      </c>
      <c r="P19" s="42">
        <v>200</v>
      </c>
      <c r="Q19" s="42">
        <f>AVERAGE(E19:P19)</f>
        <v>200</v>
      </c>
      <c r="R19" s="43">
        <f t="shared" si="1"/>
        <v>200</v>
      </c>
      <c r="S19" s="15"/>
      <c r="T19" s="21"/>
      <c r="U19" s="22" t="str">
        <f t="shared" si="5"/>
        <v/>
      </c>
      <c r="W19"/>
      <c r="X19"/>
      <c r="Y19"/>
      <c r="Z19"/>
    </row>
    <row r="20" spans="1:26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5"/>
        <v/>
      </c>
      <c r="W20"/>
      <c r="X20"/>
      <c r="Y20"/>
      <c r="Z20"/>
    </row>
    <row r="21" spans="1:26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5"/>
        <v/>
      </c>
      <c r="W21"/>
      <c r="X21"/>
      <c r="Y21"/>
      <c r="Z21"/>
    </row>
    <row r="22" spans="1:26" s="44" customFormat="1" x14ac:dyDescent="0.25">
      <c r="B22" s="15"/>
      <c r="C22" s="46"/>
      <c r="D22" s="47"/>
      <c r="E22" s="42"/>
      <c r="R22" s="48"/>
      <c r="S22" s="49"/>
      <c r="T22" s="50"/>
      <c r="U22" s="50"/>
      <c r="W22"/>
      <c r="X22"/>
      <c r="Y22"/>
      <c r="Z22"/>
    </row>
    <row r="23" spans="1:26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6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6">((K7*K16)+(K8*K17))*K4</f>
        <v>0</v>
      </c>
      <c r="L24" s="58">
        <f t="shared" si="6"/>
        <v>0</v>
      </c>
      <c r="M24" s="58">
        <f t="shared" si="6"/>
        <v>0</v>
      </c>
      <c r="N24" s="58">
        <f t="shared" si="6"/>
        <v>0</v>
      </c>
      <c r="O24" s="58">
        <f t="shared" si="6"/>
        <v>0</v>
      </c>
      <c r="P24" s="58">
        <f t="shared" si="6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7">IFERROR((Q24-C24)/C24,0)</f>
        <v>0</v>
      </c>
      <c r="V24" s="15"/>
    </row>
    <row r="25" spans="1:26" x14ac:dyDescent="0.25">
      <c r="A25" s="25"/>
      <c r="B25" s="15" t="s">
        <v>39</v>
      </c>
      <c r="C25" s="56">
        <v>0</v>
      </c>
      <c r="D25" s="57">
        <f t="shared" ref="D25:D29" si="8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7"/>
        <v>0</v>
      </c>
      <c r="V25" s="15"/>
    </row>
    <row r="26" spans="1:26" x14ac:dyDescent="0.25">
      <c r="A26" s="25"/>
      <c r="B26" s="15" t="s">
        <v>40</v>
      </c>
      <c r="C26" s="56">
        <v>29463.48</v>
      </c>
      <c r="D26" s="57">
        <f t="shared" si="8"/>
        <v>2455.29</v>
      </c>
      <c r="E26" s="58">
        <f>(((E9*E18)*21.75)+(((E10*E19)*13.08)+(((E11*E20)*4.33))))</f>
        <v>16989</v>
      </c>
      <c r="F26" s="58">
        <f t="shared" ref="F26:O26" si="9">(((F9*F18)*21.75)+(((F10*F19)*13.08)+(((F11*F20)*4.33))))</f>
        <v>16989</v>
      </c>
      <c r="G26" s="58">
        <f t="shared" si="9"/>
        <v>19605</v>
      </c>
      <c r="H26" s="58">
        <f t="shared" si="9"/>
        <v>19605</v>
      </c>
      <c r="I26" s="58">
        <f t="shared" si="9"/>
        <v>19605</v>
      </c>
      <c r="J26" s="58">
        <f t="shared" si="9"/>
        <v>19605</v>
      </c>
      <c r="K26" s="58">
        <f t="shared" si="9"/>
        <v>24837</v>
      </c>
      <c r="L26" s="58">
        <f t="shared" si="9"/>
        <v>24837</v>
      </c>
      <c r="M26" s="58">
        <f t="shared" si="9"/>
        <v>24837</v>
      </c>
      <c r="N26" s="58">
        <f t="shared" si="9"/>
        <v>24837</v>
      </c>
      <c r="O26" s="58">
        <f t="shared" si="9"/>
        <v>24837</v>
      </c>
      <c r="P26" s="58">
        <f>(((P9*P18)*21.75)+(((P10*P19)*13.08)+(((P11*P20)*4.33))))</f>
        <v>24837</v>
      </c>
      <c r="Q26" s="59">
        <f>SUM(E26:P26)</f>
        <v>261420</v>
      </c>
      <c r="R26" s="60">
        <f>AVERAGE(E26:P26)</f>
        <v>21785</v>
      </c>
      <c r="S26" s="15"/>
      <c r="T26" s="61"/>
      <c r="U26" s="62">
        <f t="shared" si="7"/>
        <v>7.8726789910764099</v>
      </c>
      <c r="V26" s="15"/>
    </row>
    <row r="27" spans="1:26" x14ac:dyDescent="0.25">
      <c r="A27" s="25"/>
      <c r="B27" s="15" t="s">
        <v>41</v>
      </c>
      <c r="C27" s="56">
        <v>0</v>
      </c>
      <c r="D27" s="57">
        <f t="shared" si="8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10">K13*K21*K4</f>
        <v>0</v>
      </c>
      <c r="L27" s="58">
        <f t="shared" si="10"/>
        <v>0</v>
      </c>
      <c r="M27" s="58">
        <f t="shared" si="10"/>
        <v>0</v>
      </c>
      <c r="N27" s="58">
        <f t="shared" si="10"/>
        <v>0</v>
      </c>
      <c r="O27" s="58">
        <f t="shared" si="10"/>
        <v>0</v>
      </c>
      <c r="P27" s="58">
        <f t="shared" si="10"/>
        <v>0</v>
      </c>
      <c r="Q27" s="59">
        <f>SUM(E27:P27)</f>
        <v>0</v>
      </c>
      <c r="R27" s="60">
        <f>AVERAGE(E27:P27)</f>
        <v>0</v>
      </c>
      <c r="S27" s="15"/>
      <c r="T27" s="61"/>
      <c r="U27" s="62">
        <f t="shared" si="7"/>
        <v>0</v>
      </c>
      <c r="V27" s="15"/>
    </row>
    <row r="28" spans="1:26" x14ac:dyDescent="0.25">
      <c r="A28" s="25"/>
      <c r="B28" s="15" t="s">
        <v>42</v>
      </c>
      <c r="C28" s="56">
        <v>0</v>
      </c>
      <c r="D28" s="57">
        <f t="shared" si="8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10"/>
        <v>0</v>
      </c>
      <c r="L28" s="58">
        <f t="shared" si="10"/>
        <v>0</v>
      </c>
      <c r="M28" s="58">
        <f t="shared" si="10"/>
        <v>0</v>
      </c>
      <c r="N28" s="58">
        <f t="shared" si="10"/>
        <v>0</v>
      </c>
      <c r="O28" s="58">
        <f t="shared" si="10"/>
        <v>0</v>
      </c>
      <c r="P28" s="58">
        <f t="shared" si="10"/>
        <v>0</v>
      </c>
      <c r="Q28" s="59">
        <f>SUM(E28:P28)</f>
        <v>0</v>
      </c>
      <c r="R28" s="60">
        <f>AVERAGE(E28:P28)</f>
        <v>0</v>
      </c>
      <c r="S28" s="15"/>
      <c r="T28" s="61"/>
      <c r="U28" s="62">
        <f t="shared" si="7"/>
        <v>0</v>
      </c>
      <c r="V28" s="15"/>
    </row>
    <row r="29" spans="1:26" x14ac:dyDescent="0.25">
      <c r="A29" s="63" t="s">
        <v>43</v>
      </c>
      <c r="B29" s="15"/>
      <c r="C29" s="347">
        <f>SUM(C24:C28)</f>
        <v>29463.48</v>
      </c>
      <c r="D29" s="57">
        <f t="shared" si="8"/>
        <v>2455.29</v>
      </c>
      <c r="E29" s="348">
        <f t="shared" ref="E29:Q29" si="11">SUM(E24:E28)</f>
        <v>16989</v>
      </c>
      <c r="F29" s="348">
        <f t="shared" si="11"/>
        <v>16989</v>
      </c>
      <c r="G29" s="348">
        <f t="shared" si="11"/>
        <v>19605</v>
      </c>
      <c r="H29" s="348">
        <f t="shared" si="11"/>
        <v>19605</v>
      </c>
      <c r="I29" s="348">
        <f t="shared" si="11"/>
        <v>19605</v>
      </c>
      <c r="J29" s="348">
        <f t="shared" si="11"/>
        <v>19605</v>
      </c>
      <c r="K29" s="348">
        <f t="shared" si="11"/>
        <v>24837</v>
      </c>
      <c r="L29" s="348">
        <f t="shared" si="11"/>
        <v>24837</v>
      </c>
      <c r="M29" s="348">
        <f t="shared" si="11"/>
        <v>24837</v>
      </c>
      <c r="N29" s="348">
        <f t="shared" si="11"/>
        <v>24837</v>
      </c>
      <c r="O29" s="348">
        <f t="shared" si="11"/>
        <v>24837</v>
      </c>
      <c r="P29" s="348">
        <f t="shared" si="11"/>
        <v>24837</v>
      </c>
      <c r="Q29" s="348">
        <f t="shared" si="11"/>
        <v>261420</v>
      </c>
      <c r="R29" s="349">
        <f>AVERAGE(E29:P29)</f>
        <v>21785</v>
      </c>
      <c r="T29" s="68"/>
      <c r="U29" s="69">
        <f t="shared" si="7"/>
        <v>7.8726789910764099</v>
      </c>
    </row>
    <row r="30" spans="1:26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6" x14ac:dyDescent="0.25">
      <c r="A31" s="63"/>
      <c r="B31" s="15" t="s">
        <v>45</v>
      </c>
      <c r="C31" s="56">
        <v>-7749.02</v>
      </c>
      <c r="D31" s="57">
        <f>C31/2</f>
        <v>-3874.51</v>
      </c>
      <c r="E31" s="58">
        <f t="shared" ref="E31:P31" si="12">-E26*0.7</f>
        <v>-11892.3</v>
      </c>
      <c r="F31" s="58">
        <f t="shared" si="12"/>
        <v>-11892.3</v>
      </c>
      <c r="G31" s="58">
        <f t="shared" si="12"/>
        <v>-13723.5</v>
      </c>
      <c r="H31" s="58">
        <f t="shared" si="12"/>
        <v>-13723.5</v>
      </c>
      <c r="I31" s="58">
        <f t="shared" si="12"/>
        <v>-13723.5</v>
      </c>
      <c r="J31" s="58">
        <f t="shared" si="12"/>
        <v>-13723.5</v>
      </c>
      <c r="K31" s="58">
        <f t="shared" si="12"/>
        <v>-17385.899999999998</v>
      </c>
      <c r="L31" s="58">
        <f t="shared" si="12"/>
        <v>-17385.899999999998</v>
      </c>
      <c r="M31" s="58">
        <f t="shared" si="12"/>
        <v>-17385.899999999998</v>
      </c>
      <c r="N31" s="58">
        <f t="shared" si="12"/>
        <v>-17385.899999999998</v>
      </c>
      <c r="O31" s="58">
        <f t="shared" si="12"/>
        <v>-17385.899999999998</v>
      </c>
      <c r="P31" s="58">
        <f t="shared" si="12"/>
        <v>-17385.899999999998</v>
      </c>
      <c r="Q31" s="59">
        <f>SUM(E31:P31)</f>
        <v>-182993.99999999997</v>
      </c>
      <c r="R31" s="60">
        <f>AVERAGE(E31:P31)</f>
        <v>-15249.499999999998</v>
      </c>
      <c r="S31" s="15"/>
      <c r="T31" s="61"/>
      <c r="U31" s="62">
        <f t="shared" si="7"/>
        <v>22.615115201664207</v>
      </c>
    </row>
    <row r="32" spans="1:26" x14ac:dyDescent="0.25">
      <c r="A32" s="63" t="s">
        <v>46</v>
      </c>
      <c r="B32" s="15"/>
      <c r="C32" s="347">
        <f t="shared" ref="C32:D32" si="13">SUM(C31)</f>
        <v>-7749.02</v>
      </c>
      <c r="D32" s="350">
        <f t="shared" si="13"/>
        <v>-3874.51</v>
      </c>
      <c r="E32" s="348">
        <f>SUM(E31)</f>
        <v>-11892.3</v>
      </c>
      <c r="F32" s="348">
        <f>SUM(F31)</f>
        <v>-11892.3</v>
      </c>
      <c r="G32" s="348">
        <f t="shared" ref="G32:P32" si="14">SUM(G31)</f>
        <v>-13723.5</v>
      </c>
      <c r="H32" s="348">
        <f t="shared" si="14"/>
        <v>-13723.5</v>
      </c>
      <c r="I32" s="348">
        <f t="shared" si="14"/>
        <v>-13723.5</v>
      </c>
      <c r="J32" s="348">
        <f t="shared" si="14"/>
        <v>-13723.5</v>
      </c>
      <c r="K32" s="348">
        <f t="shared" si="14"/>
        <v>-17385.899999999998</v>
      </c>
      <c r="L32" s="348">
        <f t="shared" si="14"/>
        <v>-17385.899999999998</v>
      </c>
      <c r="M32" s="348">
        <f t="shared" si="14"/>
        <v>-17385.899999999998</v>
      </c>
      <c r="N32" s="348">
        <f t="shared" si="14"/>
        <v>-17385.899999999998</v>
      </c>
      <c r="O32" s="348">
        <f t="shared" si="14"/>
        <v>-17385.899999999998</v>
      </c>
      <c r="P32" s="348">
        <f t="shared" si="14"/>
        <v>-17385.899999999998</v>
      </c>
      <c r="Q32" s="348">
        <f>SUM(Q31)</f>
        <v>-182993.99999999997</v>
      </c>
      <c r="R32" s="349">
        <f>AVERAGE(E32:P32)</f>
        <v>-15249.499999999998</v>
      </c>
      <c r="T32" s="68"/>
      <c r="U32" s="69">
        <f t="shared" si="7"/>
        <v>22.615115201664207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5">C29+C32</f>
        <v>21714.46</v>
      </c>
      <c r="D33" s="352">
        <f t="shared" si="15"/>
        <v>-1419.2200000000003</v>
      </c>
      <c r="E33" s="353">
        <f>E29+E32</f>
        <v>5096.7000000000007</v>
      </c>
      <c r="F33" s="353">
        <f>F29+F32</f>
        <v>5096.7000000000007</v>
      </c>
      <c r="G33" s="353">
        <f t="shared" ref="G33:Q33" si="16">G29+G32</f>
        <v>5881.5</v>
      </c>
      <c r="H33" s="353">
        <f t="shared" si="16"/>
        <v>5881.5</v>
      </c>
      <c r="I33" s="353">
        <f t="shared" si="16"/>
        <v>5881.5</v>
      </c>
      <c r="J33" s="353">
        <f t="shared" si="16"/>
        <v>5881.5</v>
      </c>
      <c r="K33" s="353">
        <f t="shared" si="16"/>
        <v>7451.1000000000022</v>
      </c>
      <c r="L33" s="353">
        <f t="shared" si="16"/>
        <v>7451.1000000000022</v>
      </c>
      <c r="M33" s="353">
        <f t="shared" si="16"/>
        <v>7451.1000000000022</v>
      </c>
      <c r="N33" s="353">
        <f t="shared" si="16"/>
        <v>7451.1000000000022</v>
      </c>
      <c r="O33" s="353">
        <f t="shared" si="16"/>
        <v>7451.1000000000022</v>
      </c>
      <c r="P33" s="353">
        <f t="shared" si="16"/>
        <v>7451.1000000000022</v>
      </c>
      <c r="Q33" s="353">
        <f t="shared" si="16"/>
        <v>78426.000000000029</v>
      </c>
      <c r="R33" s="354">
        <f>AVERAGE(E33:P33)</f>
        <v>6535.5000000000027</v>
      </c>
      <c r="T33" s="75"/>
      <c r="U33" s="76">
        <f t="shared" si="7"/>
        <v>2.6116946956083655</v>
      </c>
    </row>
    <row r="34" spans="1:21" x14ac:dyDescent="0.25">
      <c r="A34" s="78" t="s">
        <v>49</v>
      </c>
      <c r="B34" t="s">
        <v>48</v>
      </c>
      <c r="C34" s="355">
        <f t="shared" ref="C34:D34" si="17">C33</f>
        <v>21714.46</v>
      </c>
      <c r="D34" s="356">
        <f t="shared" si="17"/>
        <v>-1419.2200000000003</v>
      </c>
      <c r="E34" s="357">
        <f>E33</f>
        <v>5096.7000000000007</v>
      </c>
      <c r="F34" s="357">
        <f t="shared" ref="F34:Q34" si="18">F33</f>
        <v>5096.7000000000007</v>
      </c>
      <c r="G34" s="357">
        <f t="shared" si="18"/>
        <v>5881.5</v>
      </c>
      <c r="H34" s="357">
        <f t="shared" si="18"/>
        <v>5881.5</v>
      </c>
      <c r="I34" s="357">
        <f t="shared" si="18"/>
        <v>5881.5</v>
      </c>
      <c r="J34" s="357">
        <f t="shared" si="18"/>
        <v>5881.5</v>
      </c>
      <c r="K34" s="357">
        <f t="shared" si="18"/>
        <v>7451.1000000000022</v>
      </c>
      <c r="L34" s="357">
        <f t="shared" si="18"/>
        <v>7451.1000000000022</v>
      </c>
      <c r="M34" s="357">
        <f t="shared" si="18"/>
        <v>7451.1000000000022</v>
      </c>
      <c r="N34" s="357">
        <f t="shared" si="18"/>
        <v>7451.1000000000022</v>
      </c>
      <c r="O34" s="357">
        <f t="shared" si="18"/>
        <v>7451.1000000000022</v>
      </c>
      <c r="P34" s="357">
        <f t="shared" si="18"/>
        <v>7451.1000000000022</v>
      </c>
      <c r="Q34" s="357">
        <f t="shared" si="18"/>
        <v>78426.000000000029</v>
      </c>
      <c r="R34" s="358">
        <f t="shared" si="1"/>
        <v>6535.5000000000027</v>
      </c>
      <c r="T34" s="30"/>
      <c r="U34" s="31">
        <f t="shared" si="7"/>
        <v>2.6116946956083655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>AVERAGE(E37:P37)</f>
        <v>#DIV/0!</v>
      </c>
      <c r="S37" s="15"/>
      <c r="T37" s="62">
        <f>Q37/$Q$34</f>
        <v>0</v>
      </c>
      <c r="U37" s="62">
        <f t="shared" si="7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9">SUM(E38:P38)</f>
        <v>0</v>
      </c>
      <c r="R38" s="89" t="e">
        <f t="shared" si="1"/>
        <v>#DIV/0!</v>
      </c>
      <c r="S38" s="15"/>
      <c r="T38" s="62">
        <f t="shared" ref="T38:T102" si="20">Q38/$Q$34</f>
        <v>0</v>
      </c>
      <c r="U38" s="62">
        <f t="shared" si="7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9"/>
        <v>0</v>
      </c>
      <c r="R39" s="89" t="e">
        <f t="shared" si="1"/>
        <v>#DIV/0!</v>
      </c>
      <c r="S39" s="15"/>
      <c r="T39" s="62">
        <f t="shared" si="20"/>
        <v>0</v>
      </c>
      <c r="U39" s="62">
        <f t="shared" si="7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9"/>
        <v>0</v>
      </c>
      <c r="R40" s="89" t="e">
        <f t="shared" si="1"/>
        <v>#DIV/0!</v>
      </c>
      <c r="S40" s="15"/>
      <c r="T40" s="62">
        <f t="shared" si="20"/>
        <v>0</v>
      </c>
      <c r="U40" s="62">
        <f t="shared" si="7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9"/>
        <v>0</v>
      </c>
      <c r="R41" s="89" t="e">
        <f t="shared" si="1"/>
        <v>#DIV/0!</v>
      </c>
      <c r="S41" s="15"/>
      <c r="T41" s="62">
        <f t="shared" si="20"/>
        <v>0</v>
      </c>
      <c r="U41" s="62">
        <f t="shared" si="7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9"/>
        <v>0</v>
      </c>
      <c r="R42" s="89" t="e">
        <f t="shared" si="1"/>
        <v>#DIV/0!</v>
      </c>
      <c r="S42" s="15"/>
      <c r="T42" s="62">
        <f t="shared" si="20"/>
        <v>0</v>
      </c>
      <c r="U42" s="62">
        <f t="shared" si="7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9"/>
        <v>0</v>
      </c>
      <c r="R43" s="89" t="e">
        <f t="shared" si="1"/>
        <v>#DIV/0!</v>
      </c>
      <c r="S43" s="15"/>
      <c r="T43" s="62">
        <f t="shared" si="20"/>
        <v>0</v>
      </c>
      <c r="U43" s="62">
        <f t="shared" si="7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9"/>
        <v>0</v>
      </c>
      <c r="R44" s="89" t="e">
        <f t="shared" si="1"/>
        <v>#DIV/0!</v>
      </c>
      <c r="S44" s="15"/>
      <c r="T44" s="62">
        <f t="shared" si="20"/>
        <v>0</v>
      </c>
      <c r="U44" s="62">
        <f t="shared" si="7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9"/>
        <v>0</v>
      </c>
      <c r="R45" s="89" t="e">
        <f t="shared" si="1"/>
        <v>#DIV/0!</v>
      </c>
      <c r="S45" s="15"/>
      <c r="T45" s="62">
        <f t="shared" si="20"/>
        <v>0</v>
      </c>
      <c r="U45" s="62">
        <f t="shared" si="7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9"/>
        <v>0</v>
      </c>
      <c r="R46" s="89" t="e">
        <f t="shared" si="1"/>
        <v>#DIV/0!</v>
      </c>
      <c r="S46" s="15"/>
      <c r="T46" s="62">
        <f t="shared" si="20"/>
        <v>0</v>
      </c>
      <c r="U46" s="62">
        <f t="shared" si="7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9"/>
        <v>0</v>
      </c>
      <c r="R47" s="89" t="e">
        <f t="shared" si="1"/>
        <v>#DIV/0!</v>
      </c>
      <c r="S47" s="15"/>
      <c r="T47" s="62">
        <f t="shared" si="20"/>
        <v>0</v>
      </c>
      <c r="U47" s="62">
        <f t="shared" si="7"/>
        <v>0</v>
      </c>
    </row>
    <row r="48" spans="1:21" x14ac:dyDescent="0.25">
      <c r="A48" s="63" t="s">
        <v>63</v>
      </c>
      <c r="B48" t="s">
        <v>48</v>
      </c>
      <c r="C48" s="91">
        <f t="shared" ref="C48:Q48" si="21">SUM(C37:C47)</f>
        <v>0</v>
      </c>
      <c r="D48" s="92">
        <f t="shared" si="21"/>
        <v>0</v>
      </c>
      <c r="E48" s="93">
        <f t="shared" si="21"/>
        <v>0</v>
      </c>
      <c r="F48" s="93">
        <f t="shared" si="21"/>
        <v>0</v>
      </c>
      <c r="G48" s="93">
        <f t="shared" si="21"/>
        <v>0</v>
      </c>
      <c r="H48" s="93">
        <f t="shared" si="21"/>
        <v>0</v>
      </c>
      <c r="I48" s="93">
        <f t="shared" si="21"/>
        <v>0</v>
      </c>
      <c r="J48" s="93">
        <f t="shared" si="21"/>
        <v>0</v>
      </c>
      <c r="K48" s="93">
        <f t="shared" si="21"/>
        <v>0</v>
      </c>
      <c r="L48" s="93">
        <f t="shared" si="21"/>
        <v>0</v>
      </c>
      <c r="M48" s="93">
        <f t="shared" si="21"/>
        <v>0</v>
      </c>
      <c r="N48" s="93">
        <f t="shared" si="21"/>
        <v>0</v>
      </c>
      <c r="O48" s="93">
        <f t="shared" si="21"/>
        <v>0</v>
      </c>
      <c r="P48" s="93">
        <f t="shared" si="21"/>
        <v>0</v>
      </c>
      <c r="Q48" s="93">
        <f t="shared" si="21"/>
        <v>0</v>
      </c>
      <c r="R48" s="94">
        <f t="shared" si="1"/>
        <v>0</v>
      </c>
      <c r="T48" s="96">
        <f t="shared" si="20"/>
        <v>0</v>
      </c>
      <c r="U48" s="96">
        <f t="shared" si="7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2">SUM(E50:P50)</f>
        <v>0</v>
      </c>
      <c r="R50" s="89" t="e">
        <f t="shared" si="1"/>
        <v>#DIV/0!</v>
      </c>
      <c r="S50" s="15"/>
      <c r="T50" s="62">
        <f t="shared" si="20"/>
        <v>0</v>
      </c>
      <c r="U50" s="62">
        <f t="shared" si="7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2"/>
        <v>0</v>
      </c>
      <c r="R51" s="89" t="e">
        <f t="shared" si="1"/>
        <v>#DIV/0!</v>
      </c>
      <c r="S51" s="15"/>
      <c r="T51" s="62">
        <f t="shared" si="20"/>
        <v>0</v>
      </c>
      <c r="U51" s="62">
        <f t="shared" si="7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2"/>
        <v>0</v>
      </c>
      <c r="R52" s="89" t="e">
        <f t="shared" si="1"/>
        <v>#DIV/0!</v>
      </c>
      <c r="S52" s="15"/>
      <c r="T52" s="62">
        <f t="shared" si="20"/>
        <v>0</v>
      </c>
      <c r="U52" s="62">
        <f t="shared" si="7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2"/>
        <v>0</v>
      </c>
      <c r="R53" s="89" t="e">
        <f t="shared" si="1"/>
        <v>#DIV/0!</v>
      </c>
      <c r="S53" s="15"/>
      <c r="T53" s="62">
        <f t="shared" si="20"/>
        <v>0</v>
      </c>
      <c r="U53" s="62">
        <f t="shared" si="7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2"/>
        <v>0</v>
      </c>
      <c r="R54" s="89" t="e">
        <f t="shared" si="1"/>
        <v>#DIV/0!</v>
      </c>
      <c r="S54" s="15"/>
      <c r="T54" s="62">
        <f t="shared" si="20"/>
        <v>0</v>
      </c>
      <c r="U54" s="62">
        <f t="shared" si="7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2"/>
        <v>0</v>
      </c>
      <c r="R55" s="89" t="e">
        <f t="shared" si="1"/>
        <v>#DIV/0!</v>
      </c>
      <c r="S55" s="15"/>
      <c r="T55" s="62">
        <f t="shared" si="20"/>
        <v>0</v>
      </c>
      <c r="U55" s="62">
        <f t="shared" si="7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si="22"/>
        <v>0</v>
      </c>
      <c r="R56" s="89" t="e">
        <f t="shared" si="1"/>
        <v>#DIV/0!</v>
      </c>
      <c r="S56" s="15"/>
      <c r="T56" s="62">
        <f t="shared" si="20"/>
        <v>0</v>
      </c>
      <c r="U56" s="62">
        <f t="shared" si="7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2"/>
        <v>0</v>
      </c>
      <c r="R57" s="89" t="e">
        <f t="shared" si="1"/>
        <v>#DIV/0!</v>
      </c>
      <c r="S57" s="15"/>
      <c r="T57" s="62">
        <f t="shared" si="20"/>
        <v>0</v>
      </c>
      <c r="U57" s="62">
        <f t="shared" si="7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2"/>
        <v>0</v>
      </c>
      <c r="R58" s="89" t="e">
        <f t="shared" si="1"/>
        <v>#DIV/0!</v>
      </c>
      <c r="S58" s="15"/>
      <c r="T58" s="62">
        <f t="shared" si="20"/>
        <v>0</v>
      </c>
      <c r="U58" s="62">
        <f t="shared" si="7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2"/>
        <v>0</v>
      </c>
      <c r="R59" s="89" t="e">
        <f t="shared" si="1"/>
        <v>#DIV/0!</v>
      </c>
      <c r="S59" s="15"/>
      <c r="T59" s="62">
        <f t="shared" si="20"/>
        <v>0</v>
      </c>
      <c r="U59" s="62">
        <f t="shared" si="7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2"/>
        <v>0</v>
      </c>
      <c r="R60" s="89" t="e">
        <f t="shared" si="1"/>
        <v>#DIV/0!</v>
      </c>
      <c r="S60" s="15"/>
      <c r="T60" s="62">
        <f t="shared" si="20"/>
        <v>0</v>
      </c>
      <c r="U60" s="62">
        <f t="shared" si="7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2"/>
        <v>0</v>
      </c>
      <c r="R61" s="89" t="e">
        <f t="shared" si="1"/>
        <v>#DIV/0!</v>
      </c>
      <c r="S61" s="15"/>
      <c r="T61" s="62">
        <f t="shared" si="20"/>
        <v>0</v>
      </c>
      <c r="U61" s="62">
        <f t="shared" si="7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20"/>
        <v>0</v>
      </c>
      <c r="U62" s="96">
        <f t="shared" si="7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20"/>
        <v>0</v>
      </c>
      <c r="U64" s="62">
        <f t="shared" si="7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20"/>
        <v>0</v>
      </c>
      <c r="U65" s="62">
        <f t="shared" si="7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20"/>
        <v>0</v>
      </c>
      <c r="U66" s="62">
        <f t="shared" si="7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5">SUM(E67:P67)</f>
        <v>0</v>
      </c>
      <c r="R67" s="89" t="e">
        <f t="shared" si="1"/>
        <v>#DIV/0!</v>
      </c>
      <c r="S67" s="15"/>
      <c r="T67" s="62">
        <f t="shared" si="20"/>
        <v>0</v>
      </c>
      <c r="U67" s="62">
        <f t="shared" si="7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5"/>
        <v>0</v>
      </c>
      <c r="R68" s="89" t="e">
        <f t="shared" si="1"/>
        <v>#DIV/0!</v>
      </c>
      <c r="S68" s="15"/>
      <c r="T68" s="62">
        <f t="shared" si="20"/>
        <v>0</v>
      </c>
      <c r="U68" s="62">
        <f t="shared" si="7"/>
        <v>0</v>
      </c>
    </row>
    <row r="69" spans="1:21" ht="23.25" x14ac:dyDescent="0.25">
      <c r="A69" s="25"/>
      <c r="B69" s="15" t="s">
        <v>84</v>
      </c>
      <c r="C69" s="56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5"/>
        <v>0</v>
      </c>
      <c r="R69" s="89" t="e">
        <f t="shared" si="1"/>
        <v>#DIV/0!</v>
      </c>
      <c r="S69" s="15"/>
      <c r="T69" s="62">
        <f t="shared" si="20"/>
        <v>0</v>
      </c>
      <c r="U69" s="62">
        <f t="shared" si="7"/>
        <v>0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5"/>
        <v>0</v>
      </c>
      <c r="R70" s="89" t="e">
        <f t="shared" si="1"/>
        <v>#DIV/0!</v>
      </c>
      <c r="S70" s="15"/>
      <c r="T70" s="62">
        <f t="shared" si="20"/>
        <v>0</v>
      </c>
      <c r="U70" s="62">
        <f t="shared" si="7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5"/>
        <v>0</v>
      </c>
      <c r="R71" s="89" t="e">
        <f t="shared" si="1"/>
        <v>#DIV/0!</v>
      </c>
      <c r="S71" s="15"/>
      <c r="T71" s="62">
        <f t="shared" si="20"/>
        <v>0</v>
      </c>
      <c r="U71" s="62">
        <f t="shared" si="7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5"/>
        <v>0</v>
      </c>
      <c r="R72" s="89" t="e">
        <f t="shared" si="1"/>
        <v>#DIV/0!</v>
      </c>
      <c r="S72" s="15"/>
      <c r="T72" s="62">
        <f t="shared" si="20"/>
        <v>0</v>
      </c>
      <c r="U72" s="62">
        <f t="shared" si="7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6">SUM(C64:C72)</f>
        <v>0</v>
      </c>
      <c r="D73" s="92">
        <f t="shared" si="26"/>
        <v>0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20"/>
        <v>0</v>
      </c>
      <c r="U73" s="96">
        <f t="shared" si="7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20"/>
        <v>0</v>
      </c>
      <c r="U75" s="62">
        <f t="shared" si="7"/>
        <v>0</v>
      </c>
    </row>
    <row r="76" spans="1:21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20"/>
        <v>0</v>
      </c>
      <c r="U76" s="96">
        <f t="shared" si="7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/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20"/>
        <v>0</v>
      </c>
      <c r="U78" s="62">
        <f t="shared" si="7"/>
        <v>0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>AVERAGE(E79:P79)</f>
        <v>#DIV/0!</v>
      </c>
      <c r="S79" s="15"/>
      <c r="T79" s="62">
        <f t="shared" si="20"/>
        <v>0</v>
      </c>
      <c r="U79" s="62">
        <f t="shared" si="7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20"/>
        <v>0</v>
      </c>
      <c r="U80" s="62">
        <f t="shared" si="7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20"/>
        <v>0</v>
      </c>
      <c r="U81" s="62">
        <f t="shared" si="7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29">SUM(C78:C81)</f>
        <v>0</v>
      </c>
      <c r="D82" s="92">
        <f t="shared" si="29"/>
        <v>0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20"/>
        <v>0</v>
      </c>
      <c r="U82" s="96">
        <f t="shared" si="7"/>
        <v>0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/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1">SUM(E84:P84)</f>
        <v>0</v>
      </c>
      <c r="R84" s="89" t="e">
        <f t="shared" si="1"/>
        <v>#DIV/0!</v>
      </c>
      <c r="S84" s="15"/>
      <c r="T84" s="62">
        <f t="shared" si="20"/>
        <v>0</v>
      </c>
      <c r="U84" s="62">
        <f t="shared" si="7"/>
        <v>0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1"/>
        <v>0</v>
      </c>
      <c r="R85" s="89" t="e">
        <f t="shared" si="1"/>
        <v>#DIV/0!</v>
      </c>
      <c r="S85" s="15"/>
      <c r="T85" s="62">
        <f t="shared" si="20"/>
        <v>0</v>
      </c>
      <c r="U85" s="62">
        <f t="shared" si="7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1"/>
        <v>0</v>
      </c>
      <c r="R86" s="89" t="e">
        <f t="shared" si="1"/>
        <v>#DIV/0!</v>
      </c>
      <c r="S86" s="15"/>
      <c r="T86" s="62">
        <f t="shared" si="20"/>
        <v>0</v>
      </c>
      <c r="U86" s="62">
        <f t="shared" si="7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1"/>
        <v>0</v>
      </c>
      <c r="R87" s="89" t="e">
        <f t="shared" si="1"/>
        <v>#DIV/0!</v>
      </c>
      <c r="S87" s="15"/>
      <c r="T87" s="62">
        <f t="shared" si="20"/>
        <v>0</v>
      </c>
      <c r="U87" s="62">
        <f t="shared" si="7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1"/>
        <v>0</v>
      </c>
      <c r="R88" s="89" t="e">
        <f t="shared" ref="R88:R130" si="32">AVERAGE(E88:P88)</f>
        <v>#DIV/0!</v>
      </c>
      <c r="S88" s="15"/>
      <c r="T88" s="62">
        <f t="shared" si="20"/>
        <v>0</v>
      </c>
      <c r="U88" s="62">
        <f t="shared" si="7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1"/>
        <v>0</v>
      </c>
      <c r="R89" s="89" t="e">
        <f t="shared" si="32"/>
        <v>#DIV/0!</v>
      </c>
      <c r="S89" s="15"/>
      <c r="T89" s="62">
        <f t="shared" si="20"/>
        <v>0</v>
      </c>
      <c r="U89" s="62">
        <f t="shared" ref="U89:U137" si="33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4">SUM(C84:C89)</f>
        <v>0</v>
      </c>
      <c r="D90" s="92">
        <f t="shared" si="34"/>
        <v>0</v>
      </c>
      <c r="E90" s="93">
        <f t="shared" ref="E90:Q90" si="35">SUM(E84:E89)</f>
        <v>0</v>
      </c>
      <c r="F90" s="93">
        <f t="shared" si="35"/>
        <v>0</v>
      </c>
      <c r="G90" s="93">
        <f t="shared" si="35"/>
        <v>0</v>
      </c>
      <c r="H90" s="93">
        <f t="shared" si="35"/>
        <v>0</v>
      </c>
      <c r="I90" s="93">
        <f t="shared" si="35"/>
        <v>0</v>
      </c>
      <c r="J90" s="93">
        <f t="shared" si="35"/>
        <v>0</v>
      </c>
      <c r="K90" s="93">
        <f t="shared" si="35"/>
        <v>0</v>
      </c>
      <c r="L90" s="93">
        <f t="shared" si="35"/>
        <v>0</v>
      </c>
      <c r="M90" s="93">
        <f t="shared" si="35"/>
        <v>0</v>
      </c>
      <c r="N90" s="93">
        <f t="shared" si="35"/>
        <v>0</v>
      </c>
      <c r="O90" s="93">
        <f t="shared" si="35"/>
        <v>0</v>
      </c>
      <c r="P90" s="93">
        <f t="shared" si="35"/>
        <v>0</v>
      </c>
      <c r="Q90" s="93">
        <f t="shared" si="35"/>
        <v>0</v>
      </c>
      <c r="R90" s="94">
        <f>AVERAGE(E90:P90)</f>
        <v>0</v>
      </c>
      <c r="T90" s="96">
        <f t="shared" si="20"/>
        <v>0</v>
      </c>
      <c r="U90" s="96">
        <f t="shared" si="33"/>
        <v>0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20"/>
        <v>0</v>
      </c>
      <c r="U92" s="62">
        <f t="shared" si="33"/>
        <v>0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2"/>
        <v>#DIV/0!</v>
      </c>
      <c r="S93" s="15"/>
      <c r="T93" s="62">
        <f t="shared" si="20"/>
        <v>0</v>
      </c>
      <c r="U93" s="62">
        <f t="shared" si="33"/>
        <v>0</v>
      </c>
    </row>
    <row r="94" spans="1:21" x14ac:dyDescent="0.25">
      <c r="A94" s="25"/>
      <c r="B94" s="15" t="s">
        <v>109</v>
      </c>
      <c r="C94" s="56"/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2"/>
        <v>#DIV/0!</v>
      </c>
      <c r="S94" s="15"/>
      <c r="T94" s="62">
        <f t="shared" si="20"/>
        <v>0</v>
      </c>
      <c r="U94" s="62">
        <f t="shared" si="33"/>
        <v>0</v>
      </c>
    </row>
    <row r="95" spans="1:21" x14ac:dyDescent="0.25">
      <c r="A95" s="63" t="s">
        <v>110</v>
      </c>
      <c r="B95" s="15"/>
      <c r="C95" s="91">
        <f t="shared" ref="C95:Q95" si="36">SUM(C92:C94)</f>
        <v>0</v>
      </c>
      <c r="D95" s="92">
        <f t="shared" si="36"/>
        <v>0</v>
      </c>
      <c r="E95" s="93">
        <f t="shared" si="36"/>
        <v>0</v>
      </c>
      <c r="F95" s="93">
        <f t="shared" si="36"/>
        <v>0</v>
      </c>
      <c r="G95" s="93">
        <f t="shared" si="36"/>
        <v>0</v>
      </c>
      <c r="H95" s="93">
        <f t="shared" si="36"/>
        <v>0</v>
      </c>
      <c r="I95" s="93">
        <f t="shared" si="36"/>
        <v>0</v>
      </c>
      <c r="J95" s="93">
        <f t="shared" si="36"/>
        <v>0</v>
      </c>
      <c r="K95" s="93">
        <f t="shared" si="36"/>
        <v>0</v>
      </c>
      <c r="L95" s="93">
        <f t="shared" si="36"/>
        <v>0</v>
      </c>
      <c r="M95" s="93">
        <f t="shared" si="36"/>
        <v>0</v>
      </c>
      <c r="N95" s="93">
        <f t="shared" si="36"/>
        <v>0</v>
      </c>
      <c r="O95" s="93">
        <f t="shared" si="36"/>
        <v>0</v>
      </c>
      <c r="P95" s="93">
        <f t="shared" si="36"/>
        <v>0</v>
      </c>
      <c r="Q95" s="93">
        <f t="shared" si="36"/>
        <v>0</v>
      </c>
      <c r="R95" s="94">
        <f t="shared" si="32"/>
        <v>0</v>
      </c>
      <c r="T95" s="96">
        <f t="shared" si="20"/>
        <v>0</v>
      </c>
      <c r="U95" s="96">
        <f t="shared" si="33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20" si="37">SUM(E97:P97)</f>
        <v>0</v>
      </c>
      <c r="R97" s="89" t="e">
        <f t="shared" si="32"/>
        <v>#DIV/0!</v>
      </c>
      <c r="S97" s="15"/>
      <c r="T97" s="62">
        <f t="shared" si="20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7"/>
        <v>0</v>
      </c>
      <c r="R98" s="89" t="e">
        <f t="shared" si="32"/>
        <v>#DIV/0!</v>
      </c>
      <c r="S98" s="15"/>
      <c r="T98" s="62">
        <f t="shared" si="20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7"/>
        <v>0</v>
      </c>
      <c r="R99" s="89" t="e">
        <f t="shared" si="32"/>
        <v>#DIV/0!</v>
      </c>
      <c r="S99" s="15"/>
      <c r="T99" s="62">
        <f t="shared" si="20"/>
        <v>0</v>
      </c>
      <c r="U99" s="62">
        <f t="shared" si="33"/>
        <v>0</v>
      </c>
    </row>
    <row r="100" spans="1:21" x14ac:dyDescent="0.25">
      <c r="A100" s="25"/>
      <c r="B100" s="15" t="s">
        <v>115</v>
      </c>
      <c r="C100" s="56">
        <v>180</v>
      </c>
      <c r="D100" s="57">
        <f>C100/12</f>
        <v>15</v>
      </c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37"/>
        <v>0</v>
      </c>
      <c r="R100" s="89" t="e">
        <f t="shared" si="32"/>
        <v>#DIV/0!</v>
      </c>
      <c r="S100" s="15"/>
      <c r="T100" s="62">
        <f t="shared" si="20"/>
        <v>0</v>
      </c>
      <c r="U100" s="62">
        <f t="shared" si="33"/>
        <v>-1</v>
      </c>
    </row>
    <row r="101" spans="1:21" x14ac:dyDescent="0.25">
      <c r="A101" s="25"/>
      <c r="B101" s="15" t="s">
        <v>116</v>
      </c>
      <c r="C101" s="56"/>
      <c r="D101" s="57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7"/>
        <v>0</v>
      </c>
      <c r="R101" s="89" t="e">
        <f t="shared" si="32"/>
        <v>#DIV/0!</v>
      </c>
      <c r="S101" s="15"/>
      <c r="T101" s="62">
        <f t="shared" si="20"/>
        <v>0</v>
      </c>
      <c r="U101" s="62">
        <f t="shared" si="33"/>
        <v>0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7"/>
        <v>0</v>
      </c>
      <c r="R102" s="89" t="e">
        <f t="shared" si="32"/>
        <v>#DIV/0!</v>
      </c>
      <c r="S102" s="15"/>
      <c r="T102" s="62">
        <f t="shared" si="20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/>
      <c r="D103" s="57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7"/>
        <v>0</v>
      </c>
      <c r="R103" s="89" t="e">
        <f t="shared" si="32"/>
        <v>#DIV/0!</v>
      </c>
      <c r="S103" s="15"/>
      <c r="T103" s="62">
        <f t="shared" ref="T103:T135" si="38">Q103/$Q$34</f>
        <v>0</v>
      </c>
      <c r="U103" s="62">
        <f t="shared" si="33"/>
        <v>0</v>
      </c>
    </row>
    <row r="104" spans="1:21" x14ac:dyDescent="0.25">
      <c r="A104" s="25"/>
      <c r="B104" s="15" t="s">
        <v>119</v>
      </c>
      <c r="C104" s="56"/>
      <c r="D104" s="57"/>
      <c r="E104" s="58">
        <v>900</v>
      </c>
      <c r="F104" s="58">
        <v>900</v>
      </c>
      <c r="G104" s="58">
        <v>950</v>
      </c>
      <c r="H104" s="58">
        <v>950</v>
      </c>
      <c r="I104" s="58">
        <v>950</v>
      </c>
      <c r="J104" s="58">
        <v>950</v>
      </c>
      <c r="K104" s="58">
        <v>1075</v>
      </c>
      <c r="L104" s="58">
        <v>1125</v>
      </c>
      <c r="M104" s="58">
        <v>1125</v>
      </c>
      <c r="N104" s="58">
        <v>1125</v>
      </c>
      <c r="O104" s="58">
        <v>1125</v>
      </c>
      <c r="P104" s="58">
        <v>1125</v>
      </c>
      <c r="Q104" s="58">
        <f t="shared" si="37"/>
        <v>12300</v>
      </c>
      <c r="R104" s="89">
        <f t="shared" si="32"/>
        <v>1025</v>
      </c>
      <c r="S104" s="15"/>
      <c r="T104" s="62">
        <f t="shared" si="38"/>
        <v>0.15683574324841246</v>
      </c>
      <c r="U104" s="62">
        <f t="shared" si="33"/>
        <v>0</v>
      </c>
    </row>
    <row r="105" spans="1:21" x14ac:dyDescent="0.25">
      <c r="A105" s="25"/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7"/>
        <v>0</v>
      </c>
      <c r="R105" s="89" t="e">
        <f t="shared" si="32"/>
        <v>#DIV/0!</v>
      </c>
      <c r="S105" s="15"/>
      <c r="T105" s="62">
        <f t="shared" si="38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37"/>
        <v>0</v>
      </c>
      <c r="R106" s="89" t="e">
        <f t="shared" si="32"/>
        <v>#DIV/0!</v>
      </c>
      <c r="S106" s="15"/>
      <c r="T106" s="62">
        <f t="shared" si="38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37"/>
        <v>0</v>
      </c>
      <c r="R107" s="89" t="e">
        <f t="shared" si="32"/>
        <v>#DIV/0!</v>
      </c>
      <c r="S107" s="15"/>
      <c r="T107" s="62">
        <f t="shared" si="38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37"/>
        <v>0</v>
      </c>
      <c r="R108" s="89" t="e">
        <f t="shared" si="32"/>
        <v>#DIV/0!</v>
      </c>
      <c r="S108" s="15"/>
      <c r="T108" s="62">
        <f t="shared" si="38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37"/>
        <v>0</v>
      </c>
      <c r="R109" s="89" t="e">
        <f t="shared" si="32"/>
        <v>#DIV/0!</v>
      </c>
      <c r="S109" s="15"/>
      <c r="T109" s="62">
        <f t="shared" si="38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37"/>
        <v>0</v>
      </c>
      <c r="R110" s="89" t="e">
        <f t="shared" si="32"/>
        <v>#DIV/0!</v>
      </c>
      <c r="S110" s="15"/>
      <c r="T110" s="62">
        <f t="shared" si="38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37"/>
        <v>0</v>
      </c>
      <c r="R111" s="89" t="e">
        <f t="shared" si="32"/>
        <v>#DIV/0!</v>
      </c>
      <c r="S111" s="15"/>
      <c r="T111" s="62">
        <f t="shared" si="38"/>
        <v>0</v>
      </c>
      <c r="U111" s="62">
        <f t="shared" si="33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37"/>
        <v>0</v>
      </c>
      <c r="R112" s="89" t="e">
        <f t="shared" si="32"/>
        <v>#DIV/0!</v>
      </c>
      <c r="S112" s="15"/>
      <c r="T112" s="62">
        <f t="shared" si="38"/>
        <v>0</v>
      </c>
      <c r="U112" s="62">
        <f t="shared" si="33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37"/>
        <v>0</v>
      </c>
      <c r="R113" s="89" t="e">
        <f t="shared" si="32"/>
        <v>#DIV/0!</v>
      </c>
      <c r="S113" s="15"/>
      <c r="T113" s="62">
        <f t="shared" si="38"/>
        <v>0</v>
      </c>
      <c r="U113" s="62">
        <f t="shared" si="33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37"/>
        <v>0</v>
      </c>
      <c r="R114" s="89" t="e">
        <f t="shared" si="32"/>
        <v>#DIV/0!</v>
      </c>
      <c r="S114" s="15"/>
      <c r="T114" s="62">
        <f t="shared" si="38"/>
        <v>0</v>
      </c>
      <c r="U114" s="62">
        <f t="shared" si="33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7"/>
        <v>0</v>
      </c>
      <c r="R115" s="89" t="e">
        <f t="shared" si="32"/>
        <v>#DIV/0!</v>
      </c>
      <c r="S115" s="15"/>
      <c r="T115" s="62">
        <f t="shared" si="38"/>
        <v>0</v>
      </c>
      <c r="U115" s="62">
        <f t="shared" si="33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7"/>
        <v>0</v>
      </c>
      <c r="R116" s="89" t="e">
        <f t="shared" si="32"/>
        <v>#DIV/0!</v>
      </c>
      <c r="S116" s="15"/>
      <c r="T116" s="62">
        <f t="shared" si="38"/>
        <v>0</v>
      </c>
      <c r="U116" s="62">
        <f t="shared" si="33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7"/>
        <v>0</v>
      </c>
      <c r="R117" s="89" t="e">
        <f t="shared" si="32"/>
        <v>#DIV/0!</v>
      </c>
      <c r="S117" s="15"/>
      <c r="T117" s="62">
        <f t="shared" si="38"/>
        <v>0</v>
      </c>
      <c r="U117" s="62">
        <f t="shared" si="33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7"/>
        <v>0</v>
      </c>
      <c r="R118" s="89" t="e">
        <f t="shared" si="32"/>
        <v>#DIV/0!</v>
      </c>
      <c r="S118" s="15"/>
      <c r="T118" s="62">
        <f t="shared" si="38"/>
        <v>0</v>
      </c>
      <c r="U118" s="62">
        <f t="shared" si="33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>SUM(E119:P119)</f>
        <v>0</v>
      </c>
      <c r="R119" s="89" t="e">
        <f>AVERAGE(E119:P119)</f>
        <v>#DIV/0!</v>
      </c>
      <c r="S119" s="15"/>
      <c r="T119" s="62">
        <f t="shared" si="38"/>
        <v>0</v>
      </c>
      <c r="U119" s="62">
        <f t="shared" si="33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37"/>
        <v>0</v>
      </c>
      <c r="R120" s="89" t="e">
        <f t="shared" si="32"/>
        <v>#DIV/0!</v>
      </c>
      <c r="S120" s="15"/>
      <c r="T120" s="62">
        <f t="shared" si="38"/>
        <v>0</v>
      </c>
      <c r="U120" s="62">
        <f t="shared" si="33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39">SUM(C97:C120)</f>
        <v>180</v>
      </c>
      <c r="D121" s="92">
        <f t="shared" si="39"/>
        <v>15</v>
      </c>
      <c r="E121" s="93">
        <f t="shared" si="39"/>
        <v>900</v>
      </c>
      <c r="F121" s="93">
        <f t="shared" si="39"/>
        <v>900</v>
      </c>
      <c r="G121" s="93">
        <f t="shared" si="39"/>
        <v>950</v>
      </c>
      <c r="H121" s="93">
        <f t="shared" si="39"/>
        <v>950</v>
      </c>
      <c r="I121" s="93">
        <f t="shared" si="39"/>
        <v>950</v>
      </c>
      <c r="J121" s="93">
        <f t="shared" si="39"/>
        <v>950</v>
      </c>
      <c r="K121" s="93">
        <f t="shared" si="39"/>
        <v>1075</v>
      </c>
      <c r="L121" s="93">
        <f t="shared" si="39"/>
        <v>1125</v>
      </c>
      <c r="M121" s="93">
        <f t="shared" si="39"/>
        <v>1125</v>
      </c>
      <c r="N121" s="93">
        <f t="shared" si="39"/>
        <v>1125</v>
      </c>
      <c r="O121" s="93">
        <f t="shared" si="39"/>
        <v>1125</v>
      </c>
      <c r="P121" s="93">
        <f t="shared" si="39"/>
        <v>1125</v>
      </c>
      <c r="Q121" s="93">
        <f t="shared" si="39"/>
        <v>12300</v>
      </c>
      <c r="R121" s="94">
        <f>AVERAGE(E121:P121)</f>
        <v>1025</v>
      </c>
      <c r="T121" s="96">
        <f t="shared" si="38"/>
        <v>0.15683574324841246</v>
      </c>
      <c r="U121" s="96">
        <f t="shared" si="33"/>
        <v>67.333333333333329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>SUM(E123:P123)</f>
        <v>0</v>
      </c>
      <c r="R123" s="89" t="e">
        <f t="shared" si="32"/>
        <v>#DIV/0!</v>
      </c>
      <c r="S123" s="15"/>
      <c r="T123" s="62">
        <f t="shared" si="38"/>
        <v>0</v>
      </c>
      <c r="U123" s="62">
        <f t="shared" si="33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0">SUM(C123:C123)</f>
        <v>0</v>
      </c>
      <c r="D124" s="92">
        <f t="shared" si="40"/>
        <v>0</v>
      </c>
      <c r="E124" s="93">
        <f t="shared" si="40"/>
        <v>0</v>
      </c>
      <c r="F124" s="93">
        <f t="shared" si="40"/>
        <v>0</v>
      </c>
      <c r="G124" s="93">
        <f t="shared" si="40"/>
        <v>0</v>
      </c>
      <c r="H124" s="93">
        <f t="shared" si="40"/>
        <v>0</v>
      </c>
      <c r="I124" s="93">
        <f t="shared" si="40"/>
        <v>0</v>
      </c>
      <c r="J124" s="93">
        <f t="shared" si="40"/>
        <v>0</v>
      </c>
      <c r="K124" s="93">
        <f t="shared" si="40"/>
        <v>0</v>
      </c>
      <c r="L124" s="93">
        <f t="shared" si="40"/>
        <v>0</v>
      </c>
      <c r="M124" s="93">
        <f t="shared" si="40"/>
        <v>0</v>
      </c>
      <c r="N124" s="93">
        <f t="shared" si="40"/>
        <v>0</v>
      </c>
      <c r="O124" s="93">
        <f t="shared" si="40"/>
        <v>0</v>
      </c>
      <c r="P124" s="93">
        <f t="shared" si="40"/>
        <v>0</v>
      </c>
      <c r="Q124" s="93">
        <f t="shared" si="40"/>
        <v>0</v>
      </c>
      <c r="R124" s="94">
        <f t="shared" si="32"/>
        <v>0</v>
      </c>
      <c r="T124" s="96">
        <f t="shared" si="38"/>
        <v>0</v>
      </c>
      <c r="U124" s="96">
        <f t="shared" si="33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/>
      <c r="D126" s="57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2"/>
        <v>#DIV/0!</v>
      </c>
      <c r="S126" s="15"/>
      <c r="T126" s="62">
        <f t="shared" si="38"/>
        <v>0</v>
      </c>
      <c r="U126" s="62">
        <f t="shared" si="33"/>
        <v>0</v>
      </c>
    </row>
    <row r="127" spans="1:21" x14ac:dyDescent="0.25">
      <c r="A127" s="63" t="s">
        <v>142</v>
      </c>
      <c r="B127" s="15"/>
      <c r="C127" s="137">
        <f t="shared" ref="C127:Q127" si="41">SUM(C126:C126)</f>
        <v>0</v>
      </c>
      <c r="D127" s="138">
        <f t="shared" si="41"/>
        <v>0</v>
      </c>
      <c r="E127" s="139">
        <f t="shared" si="41"/>
        <v>0</v>
      </c>
      <c r="F127" s="139">
        <f t="shared" si="41"/>
        <v>0</v>
      </c>
      <c r="G127" s="139">
        <f t="shared" si="41"/>
        <v>0</v>
      </c>
      <c r="H127" s="139">
        <f t="shared" si="41"/>
        <v>0</v>
      </c>
      <c r="I127" s="139">
        <f t="shared" si="41"/>
        <v>0</v>
      </c>
      <c r="J127" s="139">
        <f t="shared" si="41"/>
        <v>0</v>
      </c>
      <c r="K127" s="139">
        <f t="shared" si="41"/>
        <v>0</v>
      </c>
      <c r="L127" s="139">
        <f t="shared" si="41"/>
        <v>0</v>
      </c>
      <c r="M127" s="139">
        <f t="shared" si="41"/>
        <v>0</v>
      </c>
      <c r="N127" s="139">
        <f t="shared" si="41"/>
        <v>0</v>
      </c>
      <c r="O127" s="139">
        <f t="shared" si="41"/>
        <v>0</v>
      </c>
      <c r="P127" s="139">
        <f t="shared" si="41"/>
        <v>0</v>
      </c>
      <c r="Q127" s="139">
        <f t="shared" si="41"/>
        <v>0</v>
      </c>
      <c r="R127" s="140">
        <f t="shared" si="32"/>
        <v>0</v>
      </c>
      <c r="T127" s="141">
        <f t="shared" si="38"/>
        <v>0</v>
      </c>
      <c r="U127" s="141">
        <f t="shared" si="33"/>
        <v>0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2">C124+C121+C90+C82+C73+C62+C48+C95+C76+C127</f>
        <v>180</v>
      </c>
      <c r="D128" s="72">
        <f t="shared" si="42"/>
        <v>15</v>
      </c>
      <c r="E128" s="73">
        <f t="shared" si="42"/>
        <v>900</v>
      </c>
      <c r="F128" s="73">
        <f t="shared" si="42"/>
        <v>900</v>
      </c>
      <c r="G128" s="73">
        <f t="shared" si="42"/>
        <v>950</v>
      </c>
      <c r="H128" s="73">
        <f t="shared" si="42"/>
        <v>950</v>
      </c>
      <c r="I128" s="73">
        <f t="shared" si="42"/>
        <v>950</v>
      </c>
      <c r="J128" s="73">
        <f t="shared" si="42"/>
        <v>950</v>
      </c>
      <c r="K128" s="73">
        <f t="shared" si="42"/>
        <v>1075</v>
      </c>
      <c r="L128" s="73">
        <f t="shared" si="42"/>
        <v>1125</v>
      </c>
      <c r="M128" s="73">
        <f t="shared" si="42"/>
        <v>1125</v>
      </c>
      <c r="N128" s="73">
        <f t="shared" si="42"/>
        <v>1125</v>
      </c>
      <c r="O128" s="73">
        <f t="shared" si="42"/>
        <v>1125</v>
      </c>
      <c r="P128" s="73">
        <f t="shared" si="42"/>
        <v>1125</v>
      </c>
      <c r="Q128" s="73">
        <f t="shared" si="42"/>
        <v>12300</v>
      </c>
      <c r="R128" s="74">
        <f t="shared" si="32"/>
        <v>1025</v>
      </c>
      <c r="T128" s="76">
        <f t="shared" si="38"/>
        <v>0.15683574324841246</v>
      </c>
      <c r="U128" s="76">
        <f t="shared" si="33"/>
        <v>67.333333333333329</v>
      </c>
    </row>
    <row r="129" spans="1:21" x14ac:dyDescent="0.25">
      <c r="A129" s="78" t="s">
        <v>144</v>
      </c>
      <c r="B129" t="s">
        <v>48</v>
      </c>
      <c r="C129" s="79">
        <f t="shared" ref="C129:Q129" si="43">C34-C128</f>
        <v>21534.46</v>
      </c>
      <c r="D129" s="80">
        <f t="shared" si="43"/>
        <v>-1434.2200000000003</v>
      </c>
      <c r="E129" s="81">
        <f t="shared" si="43"/>
        <v>4196.7000000000007</v>
      </c>
      <c r="F129" s="81">
        <f t="shared" si="43"/>
        <v>4196.7000000000007</v>
      </c>
      <c r="G129" s="81">
        <f t="shared" si="43"/>
        <v>4931.5</v>
      </c>
      <c r="H129" s="81">
        <f t="shared" si="43"/>
        <v>4931.5</v>
      </c>
      <c r="I129" s="81">
        <f t="shared" si="43"/>
        <v>4931.5</v>
      </c>
      <c r="J129" s="81">
        <f t="shared" si="43"/>
        <v>4931.5</v>
      </c>
      <c r="K129" s="81">
        <f t="shared" si="43"/>
        <v>6376.1000000000022</v>
      </c>
      <c r="L129" s="81">
        <f t="shared" si="43"/>
        <v>6326.1000000000022</v>
      </c>
      <c r="M129" s="81">
        <f t="shared" si="43"/>
        <v>6326.1000000000022</v>
      </c>
      <c r="N129" s="81">
        <f t="shared" si="43"/>
        <v>6326.1000000000022</v>
      </c>
      <c r="O129" s="81">
        <f t="shared" si="43"/>
        <v>6326.1000000000022</v>
      </c>
      <c r="P129" s="81">
        <f t="shared" si="43"/>
        <v>6326.1000000000022</v>
      </c>
      <c r="Q129" s="81">
        <f t="shared" si="43"/>
        <v>66126.000000000029</v>
      </c>
      <c r="R129" s="82">
        <f t="shared" si="32"/>
        <v>5510.5000000000027</v>
      </c>
      <c r="T129" s="31">
        <f t="shared" si="38"/>
        <v>0.84316425675158757</v>
      </c>
      <c r="U129" s="31">
        <f t="shared" si="33"/>
        <v>2.0707062076318623</v>
      </c>
    </row>
    <row r="130" spans="1:21" x14ac:dyDescent="0.25">
      <c r="A130" s="78" t="s">
        <v>145</v>
      </c>
      <c r="B130" t="s">
        <v>48</v>
      </c>
      <c r="C130" s="339">
        <f t="shared" ref="C130:Q130" si="44">IFERROR(C129/C34,0)</f>
        <v>0.99171059284918894</v>
      </c>
      <c r="D130" s="340">
        <f t="shared" si="44"/>
        <v>1.0105691858908414</v>
      </c>
      <c r="E130" s="341">
        <f t="shared" si="44"/>
        <v>0.82341515098004592</v>
      </c>
      <c r="F130" s="341">
        <f t="shared" si="44"/>
        <v>0.82341515098004592</v>
      </c>
      <c r="G130" s="341">
        <f t="shared" si="44"/>
        <v>0.83847657910397011</v>
      </c>
      <c r="H130" s="341">
        <f t="shared" si="44"/>
        <v>0.83847657910397011</v>
      </c>
      <c r="I130" s="341">
        <f t="shared" si="44"/>
        <v>0.83847657910397011</v>
      </c>
      <c r="J130" s="341">
        <f t="shared" si="44"/>
        <v>0.83847657910397011</v>
      </c>
      <c r="K130" s="341">
        <f t="shared" si="44"/>
        <v>0.8557260001878918</v>
      </c>
      <c r="L130" s="341">
        <f t="shared" si="44"/>
        <v>0.84901558159197976</v>
      </c>
      <c r="M130" s="341">
        <f t="shared" si="44"/>
        <v>0.84901558159197976</v>
      </c>
      <c r="N130" s="341">
        <f t="shared" si="44"/>
        <v>0.84901558159197976</v>
      </c>
      <c r="O130" s="341">
        <f t="shared" si="44"/>
        <v>0.84901558159197976</v>
      </c>
      <c r="P130" s="341">
        <f t="shared" si="44"/>
        <v>0.84901558159197976</v>
      </c>
      <c r="Q130" s="341">
        <f t="shared" si="44"/>
        <v>0.84316425675158757</v>
      </c>
      <c r="R130" s="342">
        <f t="shared" si="32"/>
        <v>0.84179504387698023</v>
      </c>
      <c r="T130" s="31"/>
      <c r="U130" s="31">
        <f>IFERROR((Q130-C130)/C130,0)</f>
        <v>-0.14978798973078133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5">AVERAGE(E132:P132)</f>
        <v>#DIV/0!</v>
      </c>
      <c r="S132" s="15"/>
      <c r="T132" s="62">
        <f t="shared" si="38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5"/>
        <v>#DIV/0!</v>
      </c>
      <c r="S133" s="15"/>
      <c r="T133" s="62">
        <f t="shared" si="38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6">SUM(C132:C133)</f>
        <v>0</v>
      </c>
      <c r="D134" s="138">
        <f t="shared" si="46"/>
        <v>0</v>
      </c>
      <c r="E134" s="139">
        <f>SUM(E132:E133)</f>
        <v>0</v>
      </c>
      <c r="F134" s="139">
        <f t="shared" ref="F134:Q134" si="47">SUM(F132:F133)</f>
        <v>0</v>
      </c>
      <c r="G134" s="139">
        <f t="shared" si="47"/>
        <v>0</v>
      </c>
      <c r="H134" s="139">
        <f t="shared" si="47"/>
        <v>0</v>
      </c>
      <c r="I134" s="139">
        <f t="shared" si="47"/>
        <v>0</v>
      </c>
      <c r="J134" s="139">
        <f t="shared" si="47"/>
        <v>0</v>
      </c>
      <c r="K134" s="139">
        <f t="shared" si="47"/>
        <v>0</v>
      </c>
      <c r="L134" s="139">
        <f t="shared" si="47"/>
        <v>0</v>
      </c>
      <c r="M134" s="139">
        <f t="shared" si="47"/>
        <v>0</v>
      </c>
      <c r="N134" s="139">
        <f t="shared" si="47"/>
        <v>0</v>
      </c>
      <c r="O134" s="139">
        <f t="shared" si="47"/>
        <v>0</v>
      </c>
      <c r="P134" s="139">
        <f t="shared" si="47"/>
        <v>0</v>
      </c>
      <c r="Q134" s="139">
        <f t="shared" si="47"/>
        <v>0</v>
      </c>
      <c r="R134" s="140">
        <f>AVERAGE(E134:P134)</f>
        <v>0</v>
      </c>
      <c r="T134" s="141">
        <f t="shared" si="38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48">C134+C128</f>
        <v>180</v>
      </c>
      <c r="D135" s="72">
        <f t="shared" si="48"/>
        <v>15</v>
      </c>
      <c r="E135" s="73">
        <f>E134+E128</f>
        <v>900</v>
      </c>
      <c r="F135" s="73">
        <f t="shared" ref="F135:P135" si="49">F134+F128</f>
        <v>900</v>
      </c>
      <c r="G135" s="73">
        <f t="shared" si="49"/>
        <v>950</v>
      </c>
      <c r="H135" s="73">
        <f t="shared" si="49"/>
        <v>950</v>
      </c>
      <c r="I135" s="73">
        <f t="shared" si="49"/>
        <v>950</v>
      </c>
      <c r="J135" s="73">
        <f t="shared" si="49"/>
        <v>950</v>
      </c>
      <c r="K135" s="73">
        <f t="shared" si="49"/>
        <v>1075</v>
      </c>
      <c r="L135" s="73">
        <f t="shared" si="49"/>
        <v>1125</v>
      </c>
      <c r="M135" s="73">
        <f t="shared" si="49"/>
        <v>1125</v>
      </c>
      <c r="N135" s="73">
        <f t="shared" si="49"/>
        <v>1125</v>
      </c>
      <c r="O135" s="73">
        <f t="shared" si="49"/>
        <v>1125</v>
      </c>
      <c r="P135" s="73">
        <f t="shared" si="49"/>
        <v>1125</v>
      </c>
      <c r="Q135" s="73">
        <f>Q134+Q128</f>
        <v>12300</v>
      </c>
      <c r="R135" s="74">
        <f t="shared" si="45"/>
        <v>1025</v>
      </c>
      <c r="T135" s="76">
        <f t="shared" si="38"/>
        <v>0.15683574324841246</v>
      </c>
      <c r="U135" s="76">
        <f t="shared" si="33"/>
        <v>67.333333333333329</v>
      </c>
    </row>
    <row r="136" spans="1:21" x14ac:dyDescent="0.25">
      <c r="A136" s="78" t="s">
        <v>151</v>
      </c>
      <c r="C136" s="79">
        <f t="shared" ref="C136:Q136" si="50">C34-C135</f>
        <v>21534.46</v>
      </c>
      <c r="D136" s="80">
        <f t="shared" si="50"/>
        <v>-1434.2200000000003</v>
      </c>
      <c r="E136" s="81">
        <f t="shared" si="50"/>
        <v>4196.7000000000007</v>
      </c>
      <c r="F136" s="81">
        <f t="shared" si="50"/>
        <v>4196.7000000000007</v>
      </c>
      <c r="G136" s="81">
        <f t="shared" si="50"/>
        <v>4931.5</v>
      </c>
      <c r="H136" s="81">
        <f t="shared" si="50"/>
        <v>4931.5</v>
      </c>
      <c r="I136" s="81">
        <f t="shared" si="50"/>
        <v>4931.5</v>
      </c>
      <c r="J136" s="81">
        <f t="shared" si="50"/>
        <v>4931.5</v>
      </c>
      <c r="K136" s="81">
        <f t="shared" si="50"/>
        <v>6376.1000000000022</v>
      </c>
      <c r="L136" s="81">
        <f t="shared" si="50"/>
        <v>6326.1000000000022</v>
      </c>
      <c r="M136" s="81">
        <f t="shared" si="50"/>
        <v>6326.1000000000022</v>
      </c>
      <c r="N136" s="81">
        <f t="shared" si="50"/>
        <v>6326.1000000000022</v>
      </c>
      <c r="O136" s="81">
        <f t="shared" si="50"/>
        <v>6326.1000000000022</v>
      </c>
      <c r="P136" s="81">
        <f t="shared" si="50"/>
        <v>6326.1000000000022</v>
      </c>
      <c r="Q136" s="81">
        <f t="shared" si="50"/>
        <v>66126.000000000029</v>
      </c>
      <c r="R136" s="82">
        <f>AVERAGE(E136:P136)</f>
        <v>5510.5000000000027</v>
      </c>
      <c r="T136" s="31">
        <f>Q136/$Q$34</f>
        <v>0.84316425675158757</v>
      </c>
      <c r="U136" s="31">
        <f t="shared" si="33"/>
        <v>2.0707062076318623</v>
      </c>
    </row>
    <row r="137" spans="1:21" ht="15.75" thickBot="1" x14ac:dyDescent="0.3">
      <c r="A137" s="78" t="s">
        <v>152</v>
      </c>
      <c r="C137" s="344">
        <f>IFERROR(C136/C34,"")</f>
        <v>0.99171059284918894</v>
      </c>
      <c r="D137" s="345">
        <f>IFERROR(D136/D34,"")</f>
        <v>1.0105691858908414</v>
      </c>
      <c r="E137" s="341">
        <f t="shared" ref="E137:Q137" si="51">E136/E34</f>
        <v>0.82341515098004592</v>
      </c>
      <c r="F137" s="341">
        <f t="shared" si="51"/>
        <v>0.82341515098004592</v>
      </c>
      <c r="G137" s="341">
        <f t="shared" si="51"/>
        <v>0.83847657910397011</v>
      </c>
      <c r="H137" s="341">
        <f t="shared" si="51"/>
        <v>0.83847657910397011</v>
      </c>
      <c r="I137" s="341">
        <f t="shared" si="51"/>
        <v>0.83847657910397011</v>
      </c>
      <c r="J137" s="341">
        <f t="shared" si="51"/>
        <v>0.83847657910397011</v>
      </c>
      <c r="K137" s="341">
        <f t="shared" si="51"/>
        <v>0.8557260001878918</v>
      </c>
      <c r="L137" s="341">
        <f t="shared" si="51"/>
        <v>0.84901558159197976</v>
      </c>
      <c r="M137" s="341">
        <f t="shared" si="51"/>
        <v>0.84901558159197976</v>
      </c>
      <c r="N137" s="341">
        <f t="shared" si="51"/>
        <v>0.84901558159197976</v>
      </c>
      <c r="O137" s="341">
        <f t="shared" si="51"/>
        <v>0.84901558159197976</v>
      </c>
      <c r="P137" s="341">
        <f t="shared" si="51"/>
        <v>0.84901558159197976</v>
      </c>
      <c r="Q137" s="341">
        <f t="shared" si="51"/>
        <v>0.84316425675158757</v>
      </c>
      <c r="R137" s="346">
        <f t="shared" si="45"/>
        <v>0.84179504387698023</v>
      </c>
      <c r="T137" s="31"/>
      <c r="U137" s="31">
        <f t="shared" si="33"/>
        <v>-0.14978798973078133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F15D8-D5FC-47D5-9D75-87A4722B53A6}">
  <dimension ref="A1:AC137"/>
  <sheetViews>
    <sheetView topLeftCell="C1" workbookViewId="0">
      <selection activeCell="W7" sqref="W7:AC22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1.42578125" customWidth="1"/>
    <col min="20" max="20" width="10" bestFit="1" customWidth="1"/>
    <col min="21" max="21" width="11.85546875" customWidth="1"/>
    <col min="24" max="24" width="13.5703125" customWidth="1"/>
    <col min="25" max="25" width="12.7109375" customWidth="1"/>
    <col min="26" max="26" width="14.42578125" customWidth="1"/>
    <col min="27" max="27" width="17.28515625" customWidth="1"/>
    <col min="28" max="28" width="16.5703125" customWidth="1"/>
  </cols>
  <sheetData>
    <row r="1" spans="1:29" ht="18" x14ac:dyDescent="0.25">
      <c r="A1" s="401" t="s">
        <v>380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9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9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9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9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9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9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9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9" x14ac:dyDescent="0.25">
      <c r="A9" s="25"/>
      <c r="B9" s="15" t="s">
        <v>24</v>
      </c>
      <c r="C9" s="16">
        <v>0</v>
      </c>
      <c r="D9" s="17">
        <v>0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9">
        <f t="shared" si="0"/>
        <v>24</v>
      </c>
      <c r="R9" s="20">
        <f t="shared" si="1"/>
        <v>2</v>
      </c>
      <c r="S9" s="15"/>
      <c r="T9" s="21"/>
      <c r="U9" s="22">
        <f t="shared" si="2"/>
        <v>0</v>
      </c>
    </row>
    <row r="10" spans="1:29" x14ac:dyDescent="0.25">
      <c r="A10" s="15"/>
      <c r="B10" s="15" t="s">
        <v>25</v>
      </c>
      <c r="C10" s="16">
        <v>48.24</v>
      </c>
      <c r="D10" s="17">
        <v>4.0199999999999996</v>
      </c>
      <c r="E10" s="18">
        <v>6</v>
      </c>
      <c r="F10" s="18">
        <v>6</v>
      </c>
      <c r="G10" s="18">
        <v>6</v>
      </c>
      <c r="H10" s="18">
        <v>6</v>
      </c>
      <c r="I10" s="18">
        <v>6</v>
      </c>
      <c r="J10" s="18">
        <v>6</v>
      </c>
      <c r="K10" s="18">
        <v>6</v>
      </c>
      <c r="L10" s="18">
        <v>6</v>
      </c>
      <c r="M10" s="18">
        <v>6</v>
      </c>
      <c r="N10" s="18">
        <v>6</v>
      </c>
      <c r="O10" s="18">
        <v>6</v>
      </c>
      <c r="P10" s="18">
        <v>6</v>
      </c>
      <c r="Q10" s="19">
        <f t="shared" si="0"/>
        <v>72</v>
      </c>
      <c r="R10" s="20">
        <f t="shared" si="1"/>
        <v>6</v>
      </c>
      <c r="S10" s="15"/>
      <c r="T10" s="21"/>
      <c r="U10" s="22">
        <f t="shared" si="2"/>
        <v>0.49253731343283574</v>
      </c>
    </row>
    <row r="11" spans="1:29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>AVERAGE(E11:P11)</f>
        <v>#DIV/0!</v>
      </c>
      <c r="S11" s="15"/>
      <c r="T11" s="21"/>
      <c r="U11" s="22">
        <f t="shared" si="2"/>
        <v>0</v>
      </c>
    </row>
    <row r="12" spans="1:29" x14ac:dyDescent="0.25">
      <c r="A12" s="15"/>
      <c r="B12" s="15" t="s">
        <v>27</v>
      </c>
      <c r="C12" s="16">
        <v>0</v>
      </c>
      <c r="D12" s="17">
        <v>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>
        <f t="shared" si="0"/>
        <v>0</v>
      </c>
      <c r="R12" s="335" t="e">
        <f>AVERAGE(E12:P12)</f>
        <v>#DIV/0!</v>
      </c>
      <c r="S12" s="15"/>
      <c r="T12" s="21"/>
      <c r="U12" s="22">
        <f t="shared" si="2"/>
        <v>0</v>
      </c>
    </row>
    <row r="13" spans="1:29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>AVERAGE(E13:P13)</f>
        <v>#DIV/0!</v>
      </c>
      <c r="S13" s="15"/>
      <c r="T13" s="21"/>
      <c r="U13" s="22">
        <f t="shared" si="2"/>
        <v>0</v>
      </c>
    </row>
    <row r="14" spans="1:29" x14ac:dyDescent="0.25">
      <c r="A14" s="25"/>
      <c r="B14" s="15" t="s">
        <v>29</v>
      </c>
      <c r="C14" s="26">
        <f>SUM(C7:C13)</f>
        <v>48.24</v>
      </c>
      <c r="D14" s="27">
        <f t="shared" ref="D14" si="3">SUM(D7:D13)</f>
        <v>4.0199999999999996</v>
      </c>
      <c r="E14" s="28">
        <f>SUM(E7:E13)</f>
        <v>8</v>
      </c>
      <c r="F14" s="28">
        <f>SUM(F7:F13)</f>
        <v>8</v>
      </c>
      <c r="G14" s="28">
        <f t="shared" ref="G14:Q14" si="4">SUM(G7:G13)</f>
        <v>8</v>
      </c>
      <c r="H14" s="28">
        <f t="shared" si="4"/>
        <v>8</v>
      </c>
      <c r="I14" s="28">
        <f t="shared" si="4"/>
        <v>8</v>
      </c>
      <c r="J14" s="28">
        <f t="shared" si="4"/>
        <v>8</v>
      </c>
      <c r="K14" s="28">
        <f t="shared" si="4"/>
        <v>8</v>
      </c>
      <c r="L14" s="28">
        <f t="shared" si="4"/>
        <v>8</v>
      </c>
      <c r="M14" s="28">
        <f t="shared" si="4"/>
        <v>8</v>
      </c>
      <c r="N14" s="28">
        <f t="shared" si="4"/>
        <v>8</v>
      </c>
      <c r="O14" s="28">
        <f t="shared" si="4"/>
        <v>8</v>
      </c>
      <c r="P14" s="28">
        <f t="shared" si="4"/>
        <v>8</v>
      </c>
      <c r="Q14" s="28">
        <f t="shared" si="4"/>
        <v>96</v>
      </c>
      <c r="R14" s="29">
        <f t="shared" si="1"/>
        <v>8</v>
      </c>
      <c r="T14" s="30"/>
      <c r="U14" s="31">
        <f>IFERROR((Q14-C14)/C14,0)</f>
        <v>0.99004975124378103</v>
      </c>
    </row>
    <row r="15" spans="1:29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9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5">IFERROR((Q16-C16)/C16,"")</f>
        <v/>
      </c>
      <c r="W16"/>
      <c r="X16"/>
      <c r="Y16"/>
      <c r="Z16"/>
      <c r="AA16"/>
      <c r="AB16"/>
      <c r="AC16"/>
    </row>
    <row r="17" spans="1:29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5"/>
        <v/>
      </c>
      <c r="W17"/>
      <c r="X17"/>
      <c r="Y17"/>
      <c r="Z17"/>
      <c r="AA17"/>
      <c r="AB17"/>
      <c r="AC17"/>
    </row>
    <row r="18" spans="1:29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5"/>
        <v/>
      </c>
      <c r="W18"/>
      <c r="X18"/>
      <c r="Y18"/>
      <c r="Z18"/>
      <c r="AA18"/>
      <c r="AB18"/>
      <c r="AC18"/>
    </row>
    <row r="19" spans="1:29" s="44" customFormat="1" x14ac:dyDescent="0.25">
      <c r="B19" s="15" t="s">
        <v>34</v>
      </c>
      <c r="C19" s="40"/>
      <c r="D19" s="41"/>
      <c r="E19" s="42">
        <v>200</v>
      </c>
      <c r="F19" s="42">
        <v>200</v>
      </c>
      <c r="G19" s="42">
        <v>200</v>
      </c>
      <c r="H19" s="42">
        <v>200</v>
      </c>
      <c r="I19" s="42">
        <v>200</v>
      </c>
      <c r="J19" s="42">
        <v>200</v>
      </c>
      <c r="K19" s="42">
        <v>200</v>
      </c>
      <c r="L19" s="42">
        <v>200</v>
      </c>
      <c r="M19" s="42">
        <v>200</v>
      </c>
      <c r="N19" s="42">
        <v>200</v>
      </c>
      <c r="O19" s="42">
        <v>200</v>
      </c>
      <c r="P19" s="42">
        <v>200</v>
      </c>
      <c r="Q19" s="42">
        <f>AVERAGE(E19:P19)</f>
        <v>200</v>
      </c>
      <c r="R19" s="43">
        <f t="shared" si="1"/>
        <v>200</v>
      </c>
      <c r="S19" s="15"/>
      <c r="T19" s="21"/>
      <c r="U19" s="22" t="str">
        <f t="shared" si="5"/>
        <v/>
      </c>
      <c r="W19"/>
      <c r="X19"/>
      <c r="Y19"/>
      <c r="Z19"/>
      <c r="AA19"/>
      <c r="AB19"/>
      <c r="AC19"/>
    </row>
    <row r="20" spans="1:29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5"/>
        <v/>
      </c>
      <c r="W20"/>
      <c r="X20"/>
      <c r="Y20"/>
      <c r="Z20"/>
      <c r="AA20"/>
      <c r="AB20"/>
      <c r="AC20"/>
    </row>
    <row r="21" spans="1:29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5"/>
        <v/>
      </c>
      <c r="W21"/>
      <c r="X21"/>
      <c r="Y21"/>
      <c r="Z21"/>
      <c r="AA21"/>
      <c r="AB21"/>
      <c r="AC21"/>
    </row>
    <row r="22" spans="1:29" s="44" customFormat="1" x14ac:dyDescent="0.25">
      <c r="B22" s="15"/>
      <c r="C22" s="46"/>
      <c r="D22" s="47"/>
      <c r="E22" s="42"/>
      <c r="R22" s="48"/>
      <c r="S22" s="49"/>
      <c r="T22" s="50"/>
      <c r="U22" s="50"/>
      <c r="W22"/>
      <c r="X22"/>
      <c r="Y22"/>
      <c r="Z22"/>
      <c r="AA22"/>
      <c r="AB22"/>
      <c r="AC22"/>
    </row>
    <row r="23" spans="1:29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9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6">((K7*K16)+(K8*K17))*K4</f>
        <v>0</v>
      </c>
      <c r="L24" s="58">
        <f t="shared" si="6"/>
        <v>0</v>
      </c>
      <c r="M24" s="58">
        <f t="shared" si="6"/>
        <v>0</v>
      </c>
      <c r="N24" s="58">
        <f t="shared" si="6"/>
        <v>0</v>
      </c>
      <c r="O24" s="58">
        <f t="shared" si="6"/>
        <v>0</v>
      </c>
      <c r="P24" s="58">
        <f t="shared" si="6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7">IFERROR((Q24-C24)/C24,0)</f>
        <v>0</v>
      </c>
      <c r="V24" s="15"/>
    </row>
    <row r="25" spans="1:29" x14ac:dyDescent="0.25">
      <c r="A25" s="25"/>
      <c r="B25" s="15" t="s">
        <v>39</v>
      </c>
      <c r="C25" s="56">
        <v>0</v>
      </c>
      <c r="D25" s="57">
        <f t="shared" ref="D25:D29" si="8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7"/>
        <v>0</v>
      </c>
      <c r="V25" s="15"/>
    </row>
    <row r="26" spans="1:29" x14ac:dyDescent="0.25">
      <c r="A26" s="25"/>
      <c r="B26" s="15" t="s">
        <v>40</v>
      </c>
      <c r="C26" s="56">
        <v>167593.44</v>
      </c>
      <c r="D26" s="57">
        <f t="shared" si="8"/>
        <v>13966.12</v>
      </c>
      <c r="E26" s="58">
        <f>(((E9*E18)*21.75)+(((E10*E19)*13.08)+(((E11*E20)*4.33))))</f>
        <v>28746</v>
      </c>
      <c r="F26" s="58">
        <f t="shared" ref="F26:O26" si="9">(((F9*F18)*21.75)+(((F10*F19)*13.08)+(((F11*F20)*4.33))))</f>
        <v>28746</v>
      </c>
      <c r="G26" s="58">
        <f t="shared" si="9"/>
        <v>28746</v>
      </c>
      <c r="H26" s="58">
        <f t="shared" si="9"/>
        <v>28746</v>
      </c>
      <c r="I26" s="58">
        <f t="shared" si="9"/>
        <v>28746</v>
      </c>
      <c r="J26" s="58">
        <f t="shared" si="9"/>
        <v>28746</v>
      </c>
      <c r="K26" s="58">
        <f t="shared" si="9"/>
        <v>28746</v>
      </c>
      <c r="L26" s="58">
        <f t="shared" si="9"/>
        <v>28746</v>
      </c>
      <c r="M26" s="58">
        <f t="shared" si="9"/>
        <v>28746</v>
      </c>
      <c r="N26" s="58">
        <f t="shared" si="9"/>
        <v>28746</v>
      </c>
      <c r="O26" s="58">
        <f t="shared" si="9"/>
        <v>28746</v>
      </c>
      <c r="P26" s="58">
        <f>(((P9*P18)*21.75)+(((P10*P19)*13.08)+(((P11*P20)*4.33))))</f>
        <v>28746</v>
      </c>
      <c r="Q26" s="59">
        <f>SUM(E26:P26)</f>
        <v>344952</v>
      </c>
      <c r="R26" s="60">
        <f>AVERAGE(E26:P26)</f>
        <v>28746</v>
      </c>
      <c r="S26" s="15"/>
      <c r="T26" s="61"/>
      <c r="U26" s="62">
        <f t="shared" si="7"/>
        <v>1.0582667197475033</v>
      </c>
      <c r="V26" s="15"/>
    </row>
    <row r="27" spans="1:29" x14ac:dyDescent="0.25">
      <c r="A27" s="25"/>
      <c r="B27" s="15" t="s">
        <v>41</v>
      </c>
      <c r="C27" s="56">
        <v>0</v>
      </c>
      <c r="D27" s="57">
        <f t="shared" si="8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10">K13*K21*K4</f>
        <v>0</v>
      </c>
      <c r="L27" s="58">
        <f t="shared" si="10"/>
        <v>0</v>
      </c>
      <c r="M27" s="58">
        <f t="shared" si="10"/>
        <v>0</v>
      </c>
      <c r="N27" s="58">
        <f t="shared" si="10"/>
        <v>0</v>
      </c>
      <c r="O27" s="58">
        <f t="shared" si="10"/>
        <v>0</v>
      </c>
      <c r="P27" s="58">
        <f t="shared" si="10"/>
        <v>0</v>
      </c>
      <c r="Q27" s="59">
        <f>SUM(E27:P27)</f>
        <v>0</v>
      </c>
      <c r="R27" s="60">
        <f>AVERAGE(E27:P27)</f>
        <v>0</v>
      </c>
      <c r="S27" s="15"/>
      <c r="T27" s="61"/>
      <c r="U27" s="62">
        <f t="shared" si="7"/>
        <v>0</v>
      </c>
      <c r="V27" s="15"/>
    </row>
    <row r="28" spans="1:29" x14ac:dyDescent="0.25">
      <c r="A28" s="25"/>
      <c r="B28" s="15" t="s">
        <v>42</v>
      </c>
      <c r="C28" s="56">
        <v>0</v>
      </c>
      <c r="D28" s="57">
        <f t="shared" si="8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10"/>
        <v>0</v>
      </c>
      <c r="L28" s="58">
        <f t="shared" si="10"/>
        <v>0</v>
      </c>
      <c r="M28" s="58">
        <f t="shared" si="10"/>
        <v>0</v>
      </c>
      <c r="N28" s="58">
        <f t="shared" si="10"/>
        <v>0</v>
      </c>
      <c r="O28" s="58">
        <f t="shared" si="10"/>
        <v>0</v>
      </c>
      <c r="P28" s="58">
        <f t="shared" si="10"/>
        <v>0</v>
      </c>
      <c r="Q28" s="59">
        <f>SUM(E28:P28)</f>
        <v>0</v>
      </c>
      <c r="R28" s="60">
        <f>AVERAGE(E28:P28)</f>
        <v>0</v>
      </c>
      <c r="S28" s="15"/>
      <c r="T28" s="61"/>
      <c r="U28" s="62">
        <f t="shared" si="7"/>
        <v>0</v>
      </c>
      <c r="V28" s="15"/>
    </row>
    <row r="29" spans="1:29" x14ac:dyDescent="0.25">
      <c r="A29" s="63" t="s">
        <v>43</v>
      </c>
      <c r="B29" s="15"/>
      <c r="C29" s="347">
        <f>SUM(C24:C28)</f>
        <v>167593.44</v>
      </c>
      <c r="D29" s="57">
        <f t="shared" si="8"/>
        <v>13966.12</v>
      </c>
      <c r="E29" s="348">
        <f t="shared" ref="E29:Q29" si="11">SUM(E24:E28)</f>
        <v>28746</v>
      </c>
      <c r="F29" s="348">
        <f t="shared" si="11"/>
        <v>28746</v>
      </c>
      <c r="G29" s="348">
        <f t="shared" si="11"/>
        <v>28746</v>
      </c>
      <c r="H29" s="348">
        <f t="shared" si="11"/>
        <v>28746</v>
      </c>
      <c r="I29" s="348">
        <f t="shared" si="11"/>
        <v>28746</v>
      </c>
      <c r="J29" s="348">
        <f t="shared" si="11"/>
        <v>28746</v>
      </c>
      <c r="K29" s="348">
        <f t="shared" si="11"/>
        <v>28746</v>
      </c>
      <c r="L29" s="348">
        <f t="shared" si="11"/>
        <v>28746</v>
      </c>
      <c r="M29" s="348">
        <f t="shared" si="11"/>
        <v>28746</v>
      </c>
      <c r="N29" s="348">
        <f t="shared" si="11"/>
        <v>28746</v>
      </c>
      <c r="O29" s="348">
        <f t="shared" si="11"/>
        <v>28746</v>
      </c>
      <c r="P29" s="348">
        <f t="shared" si="11"/>
        <v>28746</v>
      </c>
      <c r="Q29" s="348">
        <f t="shared" si="11"/>
        <v>344952</v>
      </c>
      <c r="R29" s="349">
        <f>AVERAGE(E29:P29)</f>
        <v>28746</v>
      </c>
      <c r="T29" s="68"/>
      <c r="U29" s="69">
        <f t="shared" si="7"/>
        <v>1.0582667197475033</v>
      </c>
    </row>
    <row r="30" spans="1:29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9" x14ac:dyDescent="0.25">
      <c r="A31" s="63"/>
      <c r="B31" s="15" t="s">
        <v>45</v>
      </c>
      <c r="C31" s="56">
        <v>-133674.82999999999</v>
      </c>
      <c r="D31" s="57">
        <f>C31/12</f>
        <v>-11139.569166666666</v>
      </c>
      <c r="E31" s="58">
        <f t="shared" ref="E31:P31" si="12">-E26*0.7</f>
        <v>-20122.199999999997</v>
      </c>
      <c r="F31" s="58">
        <f t="shared" si="12"/>
        <v>-20122.199999999997</v>
      </c>
      <c r="G31" s="58">
        <f t="shared" si="12"/>
        <v>-20122.199999999997</v>
      </c>
      <c r="H31" s="58">
        <f t="shared" si="12"/>
        <v>-20122.199999999997</v>
      </c>
      <c r="I31" s="58">
        <f t="shared" si="12"/>
        <v>-20122.199999999997</v>
      </c>
      <c r="J31" s="58">
        <f t="shared" si="12"/>
        <v>-20122.199999999997</v>
      </c>
      <c r="K31" s="58">
        <f t="shared" si="12"/>
        <v>-20122.199999999997</v>
      </c>
      <c r="L31" s="58">
        <f t="shared" si="12"/>
        <v>-20122.199999999997</v>
      </c>
      <c r="M31" s="58">
        <f t="shared" si="12"/>
        <v>-20122.199999999997</v>
      </c>
      <c r="N31" s="58">
        <f t="shared" si="12"/>
        <v>-20122.199999999997</v>
      </c>
      <c r="O31" s="58">
        <f t="shared" si="12"/>
        <v>-20122.199999999997</v>
      </c>
      <c r="P31" s="58">
        <f t="shared" si="12"/>
        <v>-20122.199999999997</v>
      </c>
      <c r="Q31" s="59">
        <f>SUM(E31:P31)</f>
        <v>-241466.40000000002</v>
      </c>
      <c r="R31" s="60">
        <f>AVERAGE(E31:P31)</f>
        <v>-20122.2</v>
      </c>
      <c r="S31" s="15"/>
      <c r="T31" s="61"/>
      <c r="U31" s="62">
        <f t="shared" si="7"/>
        <v>0.8063714762158295</v>
      </c>
    </row>
    <row r="32" spans="1:29" x14ac:dyDescent="0.25">
      <c r="A32" s="63" t="s">
        <v>46</v>
      </c>
      <c r="B32" s="15"/>
      <c r="C32" s="347">
        <f t="shared" ref="C32:D32" si="13">SUM(C31)</f>
        <v>-133674.82999999999</v>
      </c>
      <c r="D32" s="350">
        <f t="shared" si="13"/>
        <v>-11139.569166666666</v>
      </c>
      <c r="E32" s="348">
        <f>SUM(E31)</f>
        <v>-20122.199999999997</v>
      </c>
      <c r="F32" s="348">
        <f>SUM(F31)</f>
        <v>-20122.199999999997</v>
      </c>
      <c r="G32" s="348">
        <f t="shared" ref="G32:P32" si="14">SUM(G31)</f>
        <v>-20122.199999999997</v>
      </c>
      <c r="H32" s="348">
        <f t="shared" si="14"/>
        <v>-20122.199999999997</v>
      </c>
      <c r="I32" s="348">
        <f t="shared" si="14"/>
        <v>-20122.199999999997</v>
      </c>
      <c r="J32" s="348">
        <f t="shared" si="14"/>
        <v>-20122.199999999997</v>
      </c>
      <c r="K32" s="348">
        <f t="shared" si="14"/>
        <v>-20122.199999999997</v>
      </c>
      <c r="L32" s="348">
        <f t="shared" si="14"/>
        <v>-20122.199999999997</v>
      </c>
      <c r="M32" s="348">
        <f t="shared" si="14"/>
        <v>-20122.199999999997</v>
      </c>
      <c r="N32" s="348">
        <f t="shared" si="14"/>
        <v>-20122.199999999997</v>
      </c>
      <c r="O32" s="348">
        <f t="shared" si="14"/>
        <v>-20122.199999999997</v>
      </c>
      <c r="P32" s="348">
        <f t="shared" si="14"/>
        <v>-20122.199999999997</v>
      </c>
      <c r="Q32" s="348">
        <f>SUM(Q31)</f>
        <v>-241466.40000000002</v>
      </c>
      <c r="R32" s="349">
        <f>AVERAGE(E32:P32)</f>
        <v>-20122.2</v>
      </c>
      <c r="T32" s="68"/>
      <c r="U32" s="69">
        <f t="shared" si="7"/>
        <v>0.8063714762158295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5">C29+C32</f>
        <v>33918.610000000015</v>
      </c>
      <c r="D33" s="352">
        <f t="shared" si="15"/>
        <v>2826.5508333333346</v>
      </c>
      <c r="E33" s="353">
        <f>E29+E32</f>
        <v>8623.8000000000029</v>
      </c>
      <c r="F33" s="353">
        <f>F29+F32</f>
        <v>8623.8000000000029</v>
      </c>
      <c r="G33" s="353">
        <f t="shared" ref="G33:Q33" si="16">G29+G32</f>
        <v>8623.8000000000029</v>
      </c>
      <c r="H33" s="353">
        <f t="shared" si="16"/>
        <v>8623.8000000000029</v>
      </c>
      <c r="I33" s="353">
        <f t="shared" si="16"/>
        <v>8623.8000000000029</v>
      </c>
      <c r="J33" s="353">
        <f t="shared" si="16"/>
        <v>8623.8000000000029</v>
      </c>
      <c r="K33" s="353">
        <f t="shared" si="16"/>
        <v>8623.8000000000029</v>
      </c>
      <c r="L33" s="353">
        <f t="shared" si="16"/>
        <v>8623.8000000000029</v>
      </c>
      <c r="M33" s="353">
        <f t="shared" si="16"/>
        <v>8623.8000000000029</v>
      </c>
      <c r="N33" s="353">
        <f t="shared" si="16"/>
        <v>8623.8000000000029</v>
      </c>
      <c r="O33" s="353">
        <f t="shared" si="16"/>
        <v>8623.8000000000029</v>
      </c>
      <c r="P33" s="353">
        <f t="shared" si="16"/>
        <v>8623.8000000000029</v>
      </c>
      <c r="Q33" s="353">
        <f t="shared" si="16"/>
        <v>103485.59999999998</v>
      </c>
      <c r="R33" s="354">
        <f>AVERAGE(E33:P33)</f>
        <v>8623.8000000000029</v>
      </c>
      <c r="T33" s="75"/>
      <c r="U33" s="76">
        <f t="shared" si="7"/>
        <v>2.0509976676520627</v>
      </c>
    </row>
    <row r="34" spans="1:21" x14ac:dyDescent="0.25">
      <c r="A34" s="78" t="s">
        <v>49</v>
      </c>
      <c r="B34" t="s">
        <v>48</v>
      </c>
      <c r="C34" s="355">
        <f t="shared" ref="C34:D34" si="17">C33</f>
        <v>33918.610000000015</v>
      </c>
      <c r="D34" s="356">
        <f t="shared" si="17"/>
        <v>2826.5508333333346</v>
      </c>
      <c r="E34" s="357">
        <f>E33</f>
        <v>8623.8000000000029</v>
      </c>
      <c r="F34" s="357">
        <f t="shared" ref="F34:Q34" si="18">F33</f>
        <v>8623.8000000000029</v>
      </c>
      <c r="G34" s="357">
        <f t="shared" si="18"/>
        <v>8623.8000000000029</v>
      </c>
      <c r="H34" s="357">
        <f t="shared" si="18"/>
        <v>8623.8000000000029</v>
      </c>
      <c r="I34" s="357">
        <f t="shared" si="18"/>
        <v>8623.8000000000029</v>
      </c>
      <c r="J34" s="357">
        <f t="shared" si="18"/>
        <v>8623.8000000000029</v>
      </c>
      <c r="K34" s="357">
        <f t="shared" si="18"/>
        <v>8623.8000000000029</v>
      </c>
      <c r="L34" s="357">
        <f t="shared" si="18"/>
        <v>8623.8000000000029</v>
      </c>
      <c r="M34" s="357">
        <f t="shared" si="18"/>
        <v>8623.8000000000029</v>
      </c>
      <c r="N34" s="357">
        <f t="shared" si="18"/>
        <v>8623.8000000000029</v>
      </c>
      <c r="O34" s="357">
        <f t="shared" si="18"/>
        <v>8623.8000000000029</v>
      </c>
      <c r="P34" s="357">
        <f t="shared" si="18"/>
        <v>8623.8000000000029</v>
      </c>
      <c r="Q34" s="357">
        <f t="shared" si="18"/>
        <v>103485.59999999998</v>
      </c>
      <c r="R34" s="358">
        <f t="shared" si="1"/>
        <v>8623.8000000000029</v>
      </c>
      <c r="T34" s="30"/>
      <c r="U34" s="31">
        <f t="shared" si="7"/>
        <v>2.0509976676520627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>AVERAGE(E37:P37)</f>
        <v>#DIV/0!</v>
      </c>
      <c r="S37" s="15"/>
      <c r="T37" s="62">
        <f>Q37/$Q$34</f>
        <v>0</v>
      </c>
      <c r="U37" s="62">
        <f t="shared" si="7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9">SUM(E38:P38)</f>
        <v>0</v>
      </c>
      <c r="R38" s="89" t="e">
        <f t="shared" si="1"/>
        <v>#DIV/0!</v>
      </c>
      <c r="S38" s="15"/>
      <c r="T38" s="62">
        <f t="shared" ref="T38:T102" si="20">Q38/$Q$34</f>
        <v>0</v>
      </c>
      <c r="U38" s="62">
        <f t="shared" si="7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9"/>
        <v>0</v>
      </c>
      <c r="R39" s="89" t="e">
        <f t="shared" si="1"/>
        <v>#DIV/0!</v>
      </c>
      <c r="S39" s="15"/>
      <c r="T39" s="62">
        <f t="shared" si="20"/>
        <v>0</v>
      </c>
      <c r="U39" s="62">
        <f t="shared" si="7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9"/>
        <v>0</v>
      </c>
      <c r="R40" s="89" t="e">
        <f t="shared" si="1"/>
        <v>#DIV/0!</v>
      </c>
      <c r="S40" s="15"/>
      <c r="T40" s="62">
        <f t="shared" si="20"/>
        <v>0</v>
      </c>
      <c r="U40" s="62">
        <f t="shared" si="7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9"/>
        <v>0</v>
      </c>
      <c r="R41" s="89" t="e">
        <f t="shared" si="1"/>
        <v>#DIV/0!</v>
      </c>
      <c r="S41" s="15"/>
      <c r="T41" s="62">
        <f t="shared" si="20"/>
        <v>0</v>
      </c>
      <c r="U41" s="62">
        <f t="shared" si="7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9"/>
        <v>0</v>
      </c>
      <c r="R42" s="89" t="e">
        <f t="shared" si="1"/>
        <v>#DIV/0!</v>
      </c>
      <c r="S42" s="15"/>
      <c r="T42" s="62">
        <f t="shared" si="20"/>
        <v>0</v>
      </c>
      <c r="U42" s="62">
        <f t="shared" si="7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9"/>
        <v>0</v>
      </c>
      <c r="R43" s="89" t="e">
        <f t="shared" si="1"/>
        <v>#DIV/0!</v>
      </c>
      <c r="S43" s="15"/>
      <c r="T43" s="62">
        <f t="shared" si="20"/>
        <v>0</v>
      </c>
      <c r="U43" s="62">
        <f t="shared" si="7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9"/>
        <v>0</v>
      </c>
      <c r="R44" s="89" t="e">
        <f t="shared" si="1"/>
        <v>#DIV/0!</v>
      </c>
      <c r="S44" s="15"/>
      <c r="T44" s="62">
        <f t="shared" si="20"/>
        <v>0</v>
      </c>
      <c r="U44" s="62">
        <f t="shared" si="7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9"/>
        <v>0</v>
      </c>
      <c r="R45" s="89" t="e">
        <f t="shared" si="1"/>
        <v>#DIV/0!</v>
      </c>
      <c r="S45" s="15"/>
      <c r="T45" s="62">
        <f t="shared" si="20"/>
        <v>0</v>
      </c>
      <c r="U45" s="62">
        <f t="shared" si="7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9"/>
        <v>0</v>
      </c>
      <c r="R46" s="89" t="e">
        <f t="shared" si="1"/>
        <v>#DIV/0!</v>
      </c>
      <c r="S46" s="15"/>
      <c r="T46" s="62">
        <f t="shared" si="20"/>
        <v>0</v>
      </c>
      <c r="U46" s="62">
        <f t="shared" si="7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9"/>
        <v>0</v>
      </c>
      <c r="R47" s="89" t="e">
        <f t="shared" si="1"/>
        <v>#DIV/0!</v>
      </c>
      <c r="S47" s="15"/>
      <c r="T47" s="62">
        <f t="shared" si="20"/>
        <v>0</v>
      </c>
      <c r="U47" s="62">
        <f t="shared" si="7"/>
        <v>0</v>
      </c>
    </row>
    <row r="48" spans="1:21" x14ac:dyDescent="0.25">
      <c r="A48" s="63" t="s">
        <v>63</v>
      </c>
      <c r="B48" t="s">
        <v>48</v>
      </c>
      <c r="C48" s="91">
        <f t="shared" ref="C48:Q48" si="21">SUM(C37:C47)</f>
        <v>0</v>
      </c>
      <c r="D48" s="92">
        <f t="shared" si="21"/>
        <v>0</v>
      </c>
      <c r="E48" s="93">
        <f t="shared" si="21"/>
        <v>0</v>
      </c>
      <c r="F48" s="93">
        <f t="shared" si="21"/>
        <v>0</v>
      </c>
      <c r="G48" s="93">
        <f t="shared" si="21"/>
        <v>0</v>
      </c>
      <c r="H48" s="93">
        <f t="shared" si="21"/>
        <v>0</v>
      </c>
      <c r="I48" s="93">
        <f t="shared" si="21"/>
        <v>0</v>
      </c>
      <c r="J48" s="93">
        <f t="shared" si="21"/>
        <v>0</v>
      </c>
      <c r="K48" s="93">
        <f t="shared" si="21"/>
        <v>0</v>
      </c>
      <c r="L48" s="93">
        <f t="shared" si="21"/>
        <v>0</v>
      </c>
      <c r="M48" s="93">
        <f t="shared" si="21"/>
        <v>0</v>
      </c>
      <c r="N48" s="93">
        <f t="shared" si="21"/>
        <v>0</v>
      </c>
      <c r="O48" s="93">
        <f t="shared" si="21"/>
        <v>0</v>
      </c>
      <c r="P48" s="93">
        <f t="shared" si="21"/>
        <v>0</v>
      </c>
      <c r="Q48" s="93">
        <f t="shared" si="21"/>
        <v>0</v>
      </c>
      <c r="R48" s="94">
        <f t="shared" si="1"/>
        <v>0</v>
      </c>
      <c r="T48" s="96">
        <f t="shared" si="20"/>
        <v>0</v>
      </c>
      <c r="U48" s="96">
        <f t="shared" si="7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2">SUM(E50:P50)</f>
        <v>0</v>
      </c>
      <c r="R50" s="89" t="e">
        <f t="shared" si="1"/>
        <v>#DIV/0!</v>
      </c>
      <c r="S50" s="15"/>
      <c r="T50" s="62">
        <f t="shared" si="20"/>
        <v>0</v>
      </c>
      <c r="U50" s="62">
        <f t="shared" si="7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2"/>
        <v>0</v>
      </c>
      <c r="R51" s="89" t="e">
        <f t="shared" si="1"/>
        <v>#DIV/0!</v>
      </c>
      <c r="S51" s="15"/>
      <c r="T51" s="62">
        <f t="shared" si="20"/>
        <v>0</v>
      </c>
      <c r="U51" s="62">
        <f t="shared" si="7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2"/>
        <v>0</v>
      </c>
      <c r="R52" s="89" t="e">
        <f t="shared" si="1"/>
        <v>#DIV/0!</v>
      </c>
      <c r="S52" s="15"/>
      <c r="T52" s="62">
        <f t="shared" si="20"/>
        <v>0</v>
      </c>
      <c r="U52" s="62">
        <f t="shared" si="7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2"/>
        <v>0</v>
      </c>
      <c r="R53" s="89" t="e">
        <f t="shared" si="1"/>
        <v>#DIV/0!</v>
      </c>
      <c r="S53" s="15"/>
      <c r="T53" s="62">
        <f t="shared" si="20"/>
        <v>0</v>
      </c>
      <c r="U53" s="62">
        <f t="shared" si="7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2"/>
        <v>0</v>
      </c>
      <c r="R54" s="89" t="e">
        <f t="shared" si="1"/>
        <v>#DIV/0!</v>
      </c>
      <c r="S54" s="15"/>
      <c r="T54" s="62">
        <f t="shared" si="20"/>
        <v>0</v>
      </c>
      <c r="U54" s="62">
        <f t="shared" si="7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2"/>
        <v>0</v>
      </c>
      <c r="R55" s="89" t="e">
        <f t="shared" si="1"/>
        <v>#DIV/0!</v>
      </c>
      <c r="S55" s="15"/>
      <c r="T55" s="62">
        <f t="shared" si="20"/>
        <v>0</v>
      </c>
      <c r="U55" s="62">
        <f t="shared" si="7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ref="Q56:Q57" si="23">SUM(E56:P56)</f>
        <v>0</v>
      </c>
      <c r="R56" s="89" t="e">
        <f t="shared" si="1"/>
        <v>#DIV/0!</v>
      </c>
      <c r="S56" s="15"/>
      <c r="T56" s="62">
        <f t="shared" si="20"/>
        <v>0</v>
      </c>
      <c r="U56" s="62">
        <f t="shared" si="7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3"/>
        <v>0</v>
      </c>
      <c r="R57" s="89" t="e">
        <f t="shared" si="1"/>
        <v>#DIV/0!</v>
      </c>
      <c r="S57" s="15"/>
      <c r="T57" s="62">
        <f t="shared" si="20"/>
        <v>0</v>
      </c>
      <c r="U57" s="62">
        <f t="shared" si="7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2"/>
        <v>0</v>
      </c>
      <c r="R58" s="89" t="e">
        <f t="shared" si="1"/>
        <v>#DIV/0!</v>
      </c>
      <c r="S58" s="15"/>
      <c r="T58" s="62">
        <f t="shared" si="20"/>
        <v>0</v>
      </c>
      <c r="U58" s="62">
        <f t="shared" si="7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2"/>
        <v>0</v>
      </c>
      <c r="R59" s="89" t="e">
        <f t="shared" si="1"/>
        <v>#DIV/0!</v>
      </c>
      <c r="S59" s="15"/>
      <c r="T59" s="62">
        <f t="shared" si="20"/>
        <v>0</v>
      </c>
      <c r="U59" s="62">
        <f t="shared" si="7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2"/>
        <v>0</v>
      </c>
      <c r="R60" s="89" t="e">
        <f t="shared" si="1"/>
        <v>#DIV/0!</v>
      </c>
      <c r="S60" s="15"/>
      <c r="T60" s="62">
        <f t="shared" si="20"/>
        <v>0</v>
      </c>
      <c r="U60" s="62">
        <f t="shared" si="7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2"/>
        <v>0</v>
      </c>
      <c r="R61" s="89" t="e">
        <f t="shared" si="1"/>
        <v>#DIV/0!</v>
      </c>
      <c r="S61" s="15"/>
      <c r="T61" s="62">
        <f t="shared" si="20"/>
        <v>0</v>
      </c>
      <c r="U61" s="62">
        <f t="shared" si="7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4">SUM(C50:C61)</f>
        <v>0</v>
      </c>
      <c r="D62" s="92">
        <f t="shared" si="24"/>
        <v>0</v>
      </c>
      <c r="E62" s="93">
        <f>SUM(E50:E61)</f>
        <v>0</v>
      </c>
      <c r="F62" s="93">
        <f t="shared" ref="F62:Q62" si="25">SUM(F50:F61)</f>
        <v>0</v>
      </c>
      <c r="G62" s="93">
        <f t="shared" si="25"/>
        <v>0</v>
      </c>
      <c r="H62" s="93">
        <f t="shared" si="25"/>
        <v>0</v>
      </c>
      <c r="I62" s="93">
        <f t="shared" si="25"/>
        <v>0</v>
      </c>
      <c r="J62" s="93">
        <f t="shared" si="25"/>
        <v>0</v>
      </c>
      <c r="K62" s="93">
        <f t="shared" si="25"/>
        <v>0</v>
      </c>
      <c r="L62" s="93">
        <f t="shared" si="25"/>
        <v>0</v>
      </c>
      <c r="M62" s="93">
        <f t="shared" si="25"/>
        <v>0</v>
      </c>
      <c r="N62" s="93">
        <f t="shared" si="25"/>
        <v>0</v>
      </c>
      <c r="O62" s="93">
        <f t="shared" si="25"/>
        <v>0</v>
      </c>
      <c r="P62" s="93">
        <f t="shared" si="25"/>
        <v>0</v>
      </c>
      <c r="Q62" s="93">
        <f t="shared" si="25"/>
        <v>0</v>
      </c>
      <c r="R62" s="94">
        <f t="shared" si="1"/>
        <v>0</v>
      </c>
      <c r="T62" s="96">
        <f t="shared" si="20"/>
        <v>0</v>
      </c>
      <c r="U62" s="96">
        <f t="shared" si="7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20"/>
        <v>0</v>
      </c>
      <c r="U64" s="62">
        <f t="shared" si="7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20"/>
        <v>0</v>
      </c>
      <c r="U65" s="62">
        <f t="shared" si="7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20"/>
        <v>0</v>
      </c>
      <c r="U66" s="62">
        <f t="shared" si="7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6">SUM(E67:P67)</f>
        <v>0</v>
      </c>
      <c r="R67" s="89" t="e">
        <f t="shared" si="1"/>
        <v>#DIV/0!</v>
      </c>
      <c r="S67" s="15"/>
      <c r="T67" s="62">
        <f t="shared" si="20"/>
        <v>0</v>
      </c>
      <c r="U67" s="62">
        <f t="shared" si="7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6"/>
        <v>0</v>
      </c>
      <c r="R68" s="89" t="e">
        <f t="shared" si="1"/>
        <v>#DIV/0!</v>
      </c>
      <c r="S68" s="15"/>
      <c r="T68" s="62">
        <f t="shared" si="20"/>
        <v>0</v>
      </c>
      <c r="U68" s="62">
        <f t="shared" si="7"/>
        <v>0</v>
      </c>
    </row>
    <row r="69" spans="1:21" ht="23.25" x14ac:dyDescent="0.25">
      <c r="A69" s="25"/>
      <c r="B69" s="15" t="s">
        <v>84</v>
      </c>
      <c r="C69" s="56">
        <v>-30</v>
      </c>
      <c r="D69" s="57">
        <f>C69/12</f>
        <v>-2.5</v>
      </c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6"/>
        <v>0</v>
      </c>
      <c r="R69" s="89" t="e">
        <f t="shared" si="1"/>
        <v>#DIV/0!</v>
      </c>
      <c r="S69" s="15"/>
      <c r="T69" s="62">
        <f t="shared" si="20"/>
        <v>0</v>
      </c>
      <c r="U69" s="62">
        <f t="shared" si="7"/>
        <v>-1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6"/>
        <v>0</v>
      </c>
      <c r="R70" s="89" t="e">
        <f t="shared" si="1"/>
        <v>#DIV/0!</v>
      </c>
      <c r="S70" s="15"/>
      <c r="T70" s="62">
        <f t="shared" si="20"/>
        <v>0</v>
      </c>
      <c r="U70" s="62">
        <f t="shared" si="7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6"/>
        <v>0</v>
      </c>
      <c r="R71" s="89" t="e">
        <f t="shared" si="1"/>
        <v>#DIV/0!</v>
      </c>
      <c r="S71" s="15"/>
      <c r="T71" s="62">
        <f t="shared" si="20"/>
        <v>0</v>
      </c>
      <c r="U71" s="62">
        <f t="shared" si="7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6"/>
        <v>0</v>
      </c>
      <c r="R72" s="89" t="e">
        <f t="shared" si="1"/>
        <v>#DIV/0!</v>
      </c>
      <c r="S72" s="15"/>
      <c r="T72" s="62">
        <f t="shared" si="20"/>
        <v>0</v>
      </c>
      <c r="U72" s="62">
        <f t="shared" si="7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7">SUM(C64:C72)</f>
        <v>-30</v>
      </c>
      <c r="D73" s="92">
        <f t="shared" si="27"/>
        <v>-2.5</v>
      </c>
      <c r="E73" s="93">
        <f t="shared" si="27"/>
        <v>0</v>
      </c>
      <c r="F73" s="93">
        <f t="shared" si="27"/>
        <v>0</v>
      </c>
      <c r="G73" s="93">
        <f t="shared" si="27"/>
        <v>0</v>
      </c>
      <c r="H73" s="93">
        <f t="shared" si="27"/>
        <v>0</v>
      </c>
      <c r="I73" s="93">
        <f t="shared" si="27"/>
        <v>0</v>
      </c>
      <c r="J73" s="93">
        <f t="shared" si="27"/>
        <v>0</v>
      </c>
      <c r="K73" s="93">
        <f t="shared" si="27"/>
        <v>0</v>
      </c>
      <c r="L73" s="93">
        <f t="shared" si="27"/>
        <v>0</v>
      </c>
      <c r="M73" s="93">
        <f t="shared" si="27"/>
        <v>0</v>
      </c>
      <c r="N73" s="93">
        <f t="shared" si="27"/>
        <v>0</v>
      </c>
      <c r="O73" s="93">
        <f t="shared" si="27"/>
        <v>0</v>
      </c>
      <c r="P73" s="93">
        <f t="shared" si="27"/>
        <v>0</v>
      </c>
      <c r="Q73" s="93">
        <f t="shared" si="27"/>
        <v>0</v>
      </c>
      <c r="R73" s="94">
        <f t="shared" si="1"/>
        <v>0</v>
      </c>
      <c r="T73" s="96">
        <f t="shared" si="20"/>
        <v>0</v>
      </c>
      <c r="U73" s="96">
        <f t="shared" si="7"/>
        <v>-1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20"/>
        <v>0</v>
      </c>
      <c r="U75" s="62">
        <f t="shared" si="7"/>
        <v>0</v>
      </c>
    </row>
    <row r="76" spans="1:21" x14ac:dyDescent="0.25">
      <c r="A76" s="63" t="s">
        <v>91</v>
      </c>
      <c r="B76" s="15"/>
      <c r="C76" s="91">
        <f t="shared" ref="C76:D76" si="28">SUM(C75)</f>
        <v>0</v>
      </c>
      <c r="D76" s="92">
        <f t="shared" si="28"/>
        <v>0</v>
      </c>
      <c r="E76" s="93">
        <f>SUM(E75)</f>
        <v>0</v>
      </c>
      <c r="F76" s="93">
        <f t="shared" ref="F76:Q76" si="29">SUM(F75)</f>
        <v>0</v>
      </c>
      <c r="G76" s="93">
        <f t="shared" si="29"/>
        <v>0</v>
      </c>
      <c r="H76" s="93">
        <f t="shared" si="29"/>
        <v>0</v>
      </c>
      <c r="I76" s="93">
        <v>0</v>
      </c>
      <c r="J76" s="93">
        <v>0</v>
      </c>
      <c r="K76" s="93">
        <f t="shared" si="29"/>
        <v>0</v>
      </c>
      <c r="L76" s="93">
        <f t="shared" si="29"/>
        <v>0</v>
      </c>
      <c r="M76" s="93">
        <f t="shared" si="29"/>
        <v>0</v>
      </c>
      <c r="N76" s="93">
        <f t="shared" si="29"/>
        <v>0</v>
      </c>
      <c r="O76" s="93">
        <f t="shared" si="29"/>
        <v>0</v>
      </c>
      <c r="P76" s="93">
        <f t="shared" si="29"/>
        <v>0</v>
      </c>
      <c r="Q76" s="93">
        <f t="shared" si="29"/>
        <v>0</v>
      </c>
      <c r="R76" s="94">
        <f t="shared" si="1"/>
        <v>0</v>
      </c>
      <c r="T76" s="96">
        <f t="shared" si="20"/>
        <v>0</v>
      </c>
      <c r="U76" s="96">
        <f t="shared" si="7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/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20"/>
        <v>0</v>
      </c>
      <c r="U78" s="62">
        <f t="shared" si="7"/>
        <v>0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>AVERAGE(E79:P79)</f>
        <v>#DIV/0!</v>
      </c>
      <c r="S79" s="15"/>
      <c r="T79" s="62">
        <f t="shared" si="20"/>
        <v>0</v>
      </c>
      <c r="U79" s="62">
        <f t="shared" si="7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20"/>
        <v>0</v>
      </c>
      <c r="U80" s="62">
        <f t="shared" si="7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20"/>
        <v>0</v>
      </c>
      <c r="U81" s="62">
        <f t="shared" si="7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30">SUM(C78:C81)</f>
        <v>0</v>
      </c>
      <c r="D82" s="92">
        <f t="shared" si="30"/>
        <v>0</v>
      </c>
      <c r="E82" s="93">
        <f>SUM(E78:E81)</f>
        <v>0</v>
      </c>
      <c r="F82" s="93">
        <f t="shared" ref="F82:Q82" si="31">SUM(F78:F81)</f>
        <v>0</v>
      </c>
      <c r="G82" s="93">
        <f t="shared" si="31"/>
        <v>0</v>
      </c>
      <c r="H82" s="93">
        <f t="shared" si="31"/>
        <v>0</v>
      </c>
      <c r="I82" s="93">
        <f t="shared" si="31"/>
        <v>0</v>
      </c>
      <c r="J82" s="93">
        <f t="shared" si="31"/>
        <v>0</v>
      </c>
      <c r="K82" s="93">
        <f t="shared" si="31"/>
        <v>0</v>
      </c>
      <c r="L82" s="93">
        <f t="shared" si="31"/>
        <v>0</v>
      </c>
      <c r="M82" s="93">
        <f t="shared" si="31"/>
        <v>0</v>
      </c>
      <c r="N82" s="93">
        <f t="shared" si="31"/>
        <v>0</v>
      </c>
      <c r="O82" s="93">
        <f t="shared" si="31"/>
        <v>0</v>
      </c>
      <c r="P82" s="93">
        <f t="shared" si="31"/>
        <v>0</v>
      </c>
      <c r="Q82" s="93">
        <f t="shared" si="31"/>
        <v>0</v>
      </c>
      <c r="R82" s="94">
        <f t="shared" si="1"/>
        <v>0</v>
      </c>
      <c r="T82" s="96">
        <f t="shared" si="20"/>
        <v>0</v>
      </c>
      <c r="U82" s="96">
        <f t="shared" si="7"/>
        <v>0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>
        <f>30.13/10*12</f>
        <v>36.155999999999999</v>
      </c>
      <c r="D84" s="57">
        <f>C84/12</f>
        <v>3.0129999999999999</v>
      </c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2">SUM(E84:P84)</f>
        <v>0</v>
      </c>
      <c r="R84" s="89" t="e">
        <f t="shared" si="1"/>
        <v>#DIV/0!</v>
      </c>
      <c r="S84" s="15"/>
      <c r="T84" s="62">
        <f t="shared" si="20"/>
        <v>0</v>
      </c>
      <c r="U84" s="62">
        <f t="shared" si="7"/>
        <v>-1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2"/>
        <v>0</v>
      </c>
      <c r="R85" s="89" t="e">
        <f t="shared" si="1"/>
        <v>#DIV/0!</v>
      </c>
      <c r="S85" s="15"/>
      <c r="T85" s="62">
        <f t="shared" si="20"/>
        <v>0</v>
      </c>
      <c r="U85" s="62">
        <f t="shared" si="7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2"/>
        <v>0</v>
      </c>
      <c r="R86" s="89" t="e">
        <f t="shared" si="1"/>
        <v>#DIV/0!</v>
      </c>
      <c r="S86" s="15"/>
      <c r="T86" s="62">
        <f t="shared" si="20"/>
        <v>0</v>
      </c>
      <c r="U86" s="62">
        <f t="shared" si="7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2"/>
        <v>0</v>
      </c>
      <c r="R87" s="89" t="e">
        <f t="shared" si="1"/>
        <v>#DIV/0!</v>
      </c>
      <c r="S87" s="15"/>
      <c r="T87" s="62">
        <f t="shared" si="20"/>
        <v>0</v>
      </c>
      <c r="U87" s="62">
        <f t="shared" si="7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2"/>
        <v>0</v>
      </c>
      <c r="R88" s="89" t="e">
        <f t="shared" ref="R88:R130" si="33">AVERAGE(E88:P88)</f>
        <v>#DIV/0!</v>
      </c>
      <c r="S88" s="15"/>
      <c r="T88" s="62">
        <f t="shared" si="20"/>
        <v>0</v>
      </c>
      <c r="U88" s="62">
        <f t="shared" si="7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2"/>
        <v>0</v>
      </c>
      <c r="R89" s="89" t="e">
        <f t="shared" si="33"/>
        <v>#DIV/0!</v>
      </c>
      <c r="S89" s="15"/>
      <c r="T89" s="62">
        <f t="shared" si="20"/>
        <v>0</v>
      </c>
      <c r="U89" s="62">
        <f t="shared" ref="U89:U137" si="34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5">SUM(C84:C89)</f>
        <v>36.155999999999999</v>
      </c>
      <c r="D90" s="92">
        <f t="shared" si="35"/>
        <v>3.0129999999999999</v>
      </c>
      <c r="E90" s="93">
        <f t="shared" ref="E90:Q90" si="36">SUM(E84:E89)</f>
        <v>0</v>
      </c>
      <c r="F90" s="93">
        <f t="shared" si="36"/>
        <v>0</v>
      </c>
      <c r="G90" s="93">
        <f t="shared" si="36"/>
        <v>0</v>
      </c>
      <c r="H90" s="93">
        <f t="shared" si="36"/>
        <v>0</v>
      </c>
      <c r="I90" s="93">
        <f t="shared" si="36"/>
        <v>0</v>
      </c>
      <c r="J90" s="93">
        <f t="shared" si="36"/>
        <v>0</v>
      </c>
      <c r="K90" s="93">
        <f t="shared" si="36"/>
        <v>0</v>
      </c>
      <c r="L90" s="93">
        <f t="shared" si="36"/>
        <v>0</v>
      </c>
      <c r="M90" s="93">
        <f t="shared" si="36"/>
        <v>0</v>
      </c>
      <c r="N90" s="93">
        <f t="shared" si="36"/>
        <v>0</v>
      </c>
      <c r="O90" s="93">
        <f t="shared" si="36"/>
        <v>0</v>
      </c>
      <c r="P90" s="93">
        <f t="shared" si="36"/>
        <v>0</v>
      </c>
      <c r="Q90" s="93">
        <f t="shared" si="36"/>
        <v>0</v>
      </c>
      <c r="R90" s="94">
        <f>AVERAGE(E90:P90)</f>
        <v>0</v>
      </c>
      <c r="T90" s="96">
        <f t="shared" si="20"/>
        <v>0</v>
      </c>
      <c r="U90" s="96">
        <f t="shared" si="34"/>
        <v>-1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>
        <v>-375.36</v>
      </c>
      <c r="D92" s="57">
        <f>C92/12</f>
        <v>-31.28</v>
      </c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20"/>
        <v>0</v>
      </c>
      <c r="U92" s="62">
        <f t="shared" si="34"/>
        <v>-1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3"/>
        <v>#DIV/0!</v>
      </c>
      <c r="S93" s="15"/>
      <c r="T93" s="62">
        <f t="shared" si="20"/>
        <v>0</v>
      </c>
      <c r="U93" s="62">
        <f t="shared" si="34"/>
        <v>0</v>
      </c>
    </row>
    <row r="94" spans="1:21" x14ac:dyDescent="0.25">
      <c r="A94" s="25"/>
      <c r="B94" s="15" t="s">
        <v>109</v>
      </c>
      <c r="C94" s="56">
        <f>-94.84</f>
        <v>-94.84</v>
      </c>
      <c r="D94" s="57">
        <f>C94/12</f>
        <v>-7.9033333333333333</v>
      </c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3"/>
        <v>#DIV/0!</v>
      </c>
      <c r="S94" s="15"/>
      <c r="T94" s="62">
        <f t="shared" si="20"/>
        <v>0</v>
      </c>
      <c r="U94" s="62">
        <f t="shared" si="34"/>
        <v>-1</v>
      </c>
    </row>
    <row r="95" spans="1:21" x14ac:dyDescent="0.25">
      <c r="A95" s="63" t="s">
        <v>110</v>
      </c>
      <c r="B95" s="15"/>
      <c r="C95" s="91">
        <f t="shared" ref="C95:Q95" si="37">SUM(C92:C94)</f>
        <v>-470.20000000000005</v>
      </c>
      <c r="D95" s="92">
        <f t="shared" si="37"/>
        <v>-39.183333333333337</v>
      </c>
      <c r="E95" s="93">
        <f t="shared" si="37"/>
        <v>0</v>
      </c>
      <c r="F95" s="93">
        <f t="shared" si="37"/>
        <v>0</v>
      </c>
      <c r="G95" s="93">
        <f t="shared" si="37"/>
        <v>0</v>
      </c>
      <c r="H95" s="93">
        <f t="shared" si="37"/>
        <v>0</v>
      </c>
      <c r="I95" s="93">
        <f t="shared" si="37"/>
        <v>0</v>
      </c>
      <c r="J95" s="93">
        <f t="shared" si="37"/>
        <v>0</v>
      </c>
      <c r="K95" s="93">
        <f t="shared" si="37"/>
        <v>0</v>
      </c>
      <c r="L95" s="93">
        <f t="shared" si="37"/>
        <v>0</v>
      </c>
      <c r="M95" s="93">
        <f t="shared" si="37"/>
        <v>0</v>
      </c>
      <c r="N95" s="93">
        <f t="shared" si="37"/>
        <v>0</v>
      </c>
      <c r="O95" s="93">
        <f t="shared" si="37"/>
        <v>0</v>
      </c>
      <c r="P95" s="93">
        <f t="shared" si="37"/>
        <v>0</v>
      </c>
      <c r="Q95" s="93">
        <f t="shared" si="37"/>
        <v>0</v>
      </c>
      <c r="R95" s="94">
        <f t="shared" si="33"/>
        <v>0</v>
      </c>
      <c r="T95" s="96">
        <f t="shared" si="20"/>
        <v>0</v>
      </c>
      <c r="U95" s="96">
        <f t="shared" si="34"/>
        <v>-1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20" si="38">SUM(E97:P97)</f>
        <v>0</v>
      </c>
      <c r="R97" s="89" t="e">
        <f t="shared" si="33"/>
        <v>#DIV/0!</v>
      </c>
      <c r="S97" s="15"/>
      <c r="T97" s="62">
        <f t="shared" si="20"/>
        <v>0</v>
      </c>
      <c r="U97" s="62">
        <f t="shared" si="34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8"/>
        <v>0</v>
      </c>
      <c r="R98" s="89" t="e">
        <f t="shared" si="33"/>
        <v>#DIV/0!</v>
      </c>
      <c r="S98" s="15"/>
      <c r="T98" s="62">
        <f t="shared" si="20"/>
        <v>0</v>
      </c>
      <c r="U98" s="62">
        <f t="shared" si="34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8"/>
        <v>0</v>
      </c>
      <c r="R99" s="89" t="e">
        <f t="shared" si="33"/>
        <v>#DIV/0!</v>
      </c>
      <c r="S99" s="15"/>
      <c r="T99" s="62">
        <f t="shared" si="20"/>
        <v>0</v>
      </c>
      <c r="U99" s="62">
        <f t="shared" si="34"/>
        <v>0</v>
      </c>
    </row>
    <row r="100" spans="1:21" x14ac:dyDescent="0.25">
      <c r="A100" s="25"/>
      <c r="B100" s="15" t="s">
        <v>115</v>
      </c>
      <c r="C100" s="56"/>
      <c r="D100" s="57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38"/>
        <v>0</v>
      </c>
      <c r="R100" s="89" t="e">
        <f t="shared" si="33"/>
        <v>#DIV/0!</v>
      </c>
      <c r="S100" s="15"/>
      <c r="T100" s="62">
        <f t="shared" si="20"/>
        <v>0</v>
      </c>
      <c r="U100" s="62">
        <f t="shared" si="34"/>
        <v>0</v>
      </c>
    </row>
    <row r="101" spans="1:21" x14ac:dyDescent="0.25">
      <c r="A101" s="25"/>
      <c r="B101" s="15" t="s">
        <v>116</v>
      </c>
      <c r="C101" s="56">
        <f>580/10*12</f>
        <v>696</v>
      </c>
      <c r="D101" s="57">
        <f>C101/12</f>
        <v>58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8"/>
        <v>0</v>
      </c>
      <c r="R101" s="89" t="e">
        <f t="shared" si="33"/>
        <v>#DIV/0!</v>
      </c>
      <c r="S101" s="15"/>
      <c r="T101" s="62">
        <f t="shared" si="20"/>
        <v>0</v>
      </c>
      <c r="U101" s="62">
        <f t="shared" si="34"/>
        <v>-1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8"/>
        <v>0</v>
      </c>
      <c r="R102" s="89" t="e">
        <f t="shared" si="33"/>
        <v>#DIV/0!</v>
      </c>
      <c r="S102" s="15"/>
      <c r="T102" s="62">
        <f t="shared" si="20"/>
        <v>0</v>
      </c>
      <c r="U102" s="62">
        <f t="shared" si="34"/>
        <v>0</v>
      </c>
    </row>
    <row r="103" spans="1:21" ht="23.25" x14ac:dyDescent="0.25">
      <c r="A103" s="25"/>
      <c r="B103" s="15" t="s">
        <v>118</v>
      </c>
      <c r="C103" s="56">
        <f>170.71/10*12+134.9</f>
        <v>339.75200000000007</v>
      </c>
      <c r="D103" s="57">
        <f>C103/12</f>
        <v>28.312666666666672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8"/>
        <v>0</v>
      </c>
      <c r="R103" s="89" t="e">
        <f t="shared" si="33"/>
        <v>#DIV/0!</v>
      </c>
      <c r="S103" s="15"/>
      <c r="T103" s="62">
        <f t="shared" ref="T103:T135" si="39">Q103/$Q$34</f>
        <v>0</v>
      </c>
      <c r="U103" s="62">
        <f t="shared" si="34"/>
        <v>-1</v>
      </c>
    </row>
    <row r="104" spans="1:21" x14ac:dyDescent="0.25">
      <c r="A104" s="25"/>
      <c r="B104" s="15" t="s">
        <v>119</v>
      </c>
      <c r="C104" s="56">
        <v>3693.37</v>
      </c>
      <c r="D104" s="57">
        <f>C104/7</f>
        <v>527.62428571428575</v>
      </c>
      <c r="E104" s="58">
        <f>(50*(E7+E8))+(25*(E9+E10))+(10*(E11+E12))+(15*E13)</f>
        <v>200</v>
      </c>
      <c r="F104" s="58">
        <f t="shared" ref="F104:P104" si="40">(50*(F7+F8))+(25*(F9+F10))+(10*(F11+F12))+(15*F13)</f>
        <v>200</v>
      </c>
      <c r="G104" s="58">
        <f t="shared" si="40"/>
        <v>200</v>
      </c>
      <c r="H104" s="58">
        <f t="shared" si="40"/>
        <v>200</v>
      </c>
      <c r="I104" s="58">
        <f t="shared" si="40"/>
        <v>200</v>
      </c>
      <c r="J104" s="58">
        <f t="shared" si="40"/>
        <v>200</v>
      </c>
      <c r="K104" s="58">
        <f t="shared" si="40"/>
        <v>200</v>
      </c>
      <c r="L104" s="58">
        <f>(50*(L7+L8))+(25*(L9+L10))+(10*(L11+L12))+(15*L13)</f>
        <v>200</v>
      </c>
      <c r="M104" s="58">
        <f t="shared" si="40"/>
        <v>200</v>
      </c>
      <c r="N104" s="58">
        <f t="shared" si="40"/>
        <v>200</v>
      </c>
      <c r="O104" s="58">
        <f t="shared" si="40"/>
        <v>200</v>
      </c>
      <c r="P104" s="58">
        <f t="shared" si="40"/>
        <v>200</v>
      </c>
      <c r="Q104" s="58">
        <f t="shared" si="38"/>
        <v>2400</v>
      </c>
      <c r="R104" s="89">
        <f t="shared" si="33"/>
        <v>200</v>
      </c>
      <c r="S104" s="15"/>
      <c r="T104" s="62">
        <f t="shared" si="39"/>
        <v>2.3191632459008796E-2</v>
      </c>
      <c r="U104" s="62">
        <f t="shared" si="34"/>
        <v>-0.3501869566276869</v>
      </c>
    </row>
    <row r="105" spans="1:21" x14ac:dyDescent="0.25">
      <c r="A105" s="25" t="s">
        <v>1</v>
      </c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8"/>
        <v>0</v>
      </c>
      <c r="R105" s="89" t="e">
        <f t="shared" si="33"/>
        <v>#DIV/0!</v>
      </c>
      <c r="S105" s="15"/>
      <c r="T105" s="62">
        <f t="shared" si="39"/>
        <v>0</v>
      </c>
      <c r="U105" s="62">
        <f t="shared" si="34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38"/>
        <v>0</v>
      </c>
      <c r="R106" s="89" t="e">
        <f t="shared" si="33"/>
        <v>#DIV/0!</v>
      </c>
      <c r="S106" s="15"/>
      <c r="T106" s="62">
        <f t="shared" si="39"/>
        <v>0</v>
      </c>
      <c r="U106" s="62">
        <f t="shared" si="34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38"/>
        <v>0</v>
      </c>
      <c r="R107" s="89" t="e">
        <f t="shared" si="33"/>
        <v>#DIV/0!</v>
      </c>
      <c r="S107" s="15"/>
      <c r="T107" s="62">
        <f t="shared" si="39"/>
        <v>0</v>
      </c>
      <c r="U107" s="62">
        <f t="shared" si="34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38"/>
        <v>0</v>
      </c>
      <c r="R108" s="89" t="e">
        <f t="shared" si="33"/>
        <v>#DIV/0!</v>
      </c>
      <c r="S108" s="15"/>
      <c r="T108" s="62">
        <f t="shared" si="39"/>
        <v>0</v>
      </c>
      <c r="U108" s="62">
        <f t="shared" si="34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38"/>
        <v>0</v>
      </c>
      <c r="R109" s="89" t="e">
        <f t="shared" si="33"/>
        <v>#DIV/0!</v>
      </c>
      <c r="S109" s="15"/>
      <c r="T109" s="62">
        <f t="shared" si="39"/>
        <v>0</v>
      </c>
      <c r="U109" s="62">
        <f t="shared" si="34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38"/>
        <v>0</v>
      </c>
      <c r="R110" s="89" t="e">
        <f t="shared" si="33"/>
        <v>#DIV/0!</v>
      </c>
      <c r="S110" s="15"/>
      <c r="T110" s="62">
        <f t="shared" si="39"/>
        <v>0</v>
      </c>
      <c r="U110" s="62">
        <f t="shared" si="34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38"/>
        <v>0</v>
      </c>
      <c r="R111" s="89" t="e">
        <f t="shared" si="33"/>
        <v>#DIV/0!</v>
      </c>
      <c r="S111" s="15"/>
      <c r="T111" s="62">
        <f t="shared" si="39"/>
        <v>0</v>
      </c>
      <c r="U111" s="62">
        <f t="shared" si="34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38"/>
        <v>0</v>
      </c>
      <c r="R112" s="89" t="e">
        <f t="shared" si="33"/>
        <v>#DIV/0!</v>
      </c>
      <c r="S112" s="15"/>
      <c r="T112" s="62">
        <f t="shared" si="39"/>
        <v>0</v>
      </c>
      <c r="U112" s="62">
        <f t="shared" si="34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38"/>
        <v>0</v>
      </c>
      <c r="R113" s="89" t="e">
        <f t="shared" si="33"/>
        <v>#DIV/0!</v>
      </c>
      <c r="S113" s="15"/>
      <c r="T113" s="62">
        <f t="shared" si="39"/>
        <v>0</v>
      </c>
      <c r="U113" s="62">
        <f t="shared" si="34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38"/>
        <v>0</v>
      </c>
      <c r="R114" s="89" t="e">
        <f t="shared" si="33"/>
        <v>#DIV/0!</v>
      </c>
      <c r="S114" s="15"/>
      <c r="T114" s="62">
        <f t="shared" si="39"/>
        <v>0</v>
      </c>
      <c r="U114" s="62">
        <f t="shared" si="34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8"/>
        <v>0</v>
      </c>
      <c r="R115" s="89" t="e">
        <f t="shared" si="33"/>
        <v>#DIV/0!</v>
      </c>
      <c r="S115" s="15"/>
      <c r="T115" s="62">
        <f t="shared" si="39"/>
        <v>0</v>
      </c>
      <c r="U115" s="62">
        <f t="shared" si="34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8"/>
        <v>0</v>
      </c>
      <c r="R116" s="89" t="e">
        <f t="shared" si="33"/>
        <v>#DIV/0!</v>
      </c>
      <c r="S116" s="15"/>
      <c r="T116" s="62">
        <f t="shared" si="39"/>
        <v>0</v>
      </c>
      <c r="U116" s="62">
        <f t="shared" si="34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8"/>
        <v>0</v>
      </c>
      <c r="R117" s="89" t="e">
        <f t="shared" si="33"/>
        <v>#DIV/0!</v>
      </c>
      <c r="S117" s="15"/>
      <c r="T117" s="62">
        <f t="shared" si="39"/>
        <v>0</v>
      </c>
      <c r="U117" s="62">
        <f t="shared" si="34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8"/>
        <v>0</v>
      </c>
      <c r="R118" s="89" t="e">
        <f t="shared" si="33"/>
        <v>#DIV/0!</v>
      </c>
      <c r="S118" s="15"/>
      <c r="T118" s="62">
        <f t="shared" si="39"/>
        <v>0</v>
      </c>
      <c r="U118" s="62">
        <f t="shared" si="34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>SUM(E119:P119)</f>
        <v>0</v>
      </c>
      <c r="R119" s="89" t="e">
        <f>AVERAGE(E119:P119)</f>
        <v>#DIV/0!</v>
      </c>
      <c r="S119" s="15"/>
      <c r="T119" s="62">
        <f t="shared" si="39"/>
        <v>0</v>
      </c>
      <c r="U119" s="62">
        <f t="shared" si="34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38"/>
        <v>0</v>
      </c>
      <c r="R120" s="89" t="e">
        <f t="shared" si="33"/>
        <v>#DIV/0!</v>
      </c>
      <c r="S120" s="15"/>
      <c r="T120" s="62">
        <f t="shared" si="39"/>
        <v>0</v>
      </c>
      <c r="U120" s="62">
        <f t="shared" si="34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41">SUM(C97:C120)</f>
        <v>4729.1219999999994</v>
      </c>
      <c r="D121" s="92">
        <f t="shared" si="41"/>
        <v>613.93695238095245</v>
      </c>
      <c r="E121" s="93">
        <f t="shared" si="41"/>
        <v>200</v>
      </c>
      <c r="F121" s="93">
        <f t="shared" si="41"/>
        <v>200</v>
      </c>
      <c r="G121" s="93">
        <f t="shared" si="41"/>
        <v>200</v>
      </c>
      <c r="H121" s="93">
        <f t="shared" si="41"/>
        <v>200</v>
      </c>
      <c r="I121" s="93">
        <f t="shared" si="41"/>
        <v>200</v>
      </c>
      <c r="J121" s="93">
        <f t="shared" si="41"/>
        <v>200</v>
      </c>
      <c r="K121" s="93">
        <f t="shared" si="41"/>
        <v>200</v>
      </c>
      <c r="L121" s="93">
        <f t="shared" si="41"/>
        <v>200</v>
      </c>
      <c r="M121" s="93">
        <f t="shared" si="41"/>
        <v>200</v>
      </c>
      <c r="N121" s="93">
        <f t="shared" si="41"/>
        <v>200</v>
      </c>
      <c r="O121" s="93">
        <f t="shared" si="41"/>
        <v>200</v>
      </c>
      <c r="P121" s="93">
        <f t="shared" si="41"/>
        <v>200</v>
      </c>
      <c r="Q121" s="93">
        <f t="shared" si="41"/>
        <v>2400</v>
      </c>
      <c r="R121" s="94">
        <f>AVERAGE(E121:P121)</f>
        <v>200</v>
      </c>
      <c r="T121" s="96">
        <f t="shared" si="39"/>
        <v>2.3191632459008796E-2</v>
      </c>
      <c r="U121" s="96">
        <f t="shared" si="34"/>
        <v>-0.49250621997064142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>SUM(E123:P123)</f>
        <v>0</v>
      </c>
      <c r="R123" s="89" t="e">
        <f t="shared" si="33"/>
        <v>#DIV/0!</v>
      </c>
      <c r="S123" s="15"/>
      <c r="T123" s="62">
        <f t="shared" si="39"/>
        <v>0</v>
      </c>
      <c r="U123" s="62">
        <f t="shared" si="34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2">SUM(C123:C123)</f>
        <v>0</v>
      </c>
      <c r="D124" s="92">
        <f t="shared" si="42"/>
        <v>0</v>
      </c>
      <c r="E124" s="93">
        <f t="shared" si="42"/>
        <v>0</v>
      </c>
      <c r="F124" s="93">
        <f t="shared" si="42"/>
        <v>0</v>
      </c>
      <c r="G124" s="93">
        <f t="shared" si="42"/>
        <v>0</v>
      </c>
      <c r="H124" s="93">
        <f t="shared" si="42"/>
        <v>0</v>
      </c>
      <c r="I124" s="93">
        <f t="shared" si="42"/>
        <v>0</v>
      </c>
      <c r="J124" s="93">
        <f t="shared" si="42"/>
        <v>0</v>
      </c>
      <c r="K124" s="93">
        <f t="shared" si="42"/>
        <v>0</v>
      </c>
      <c r="L124" s="93">
        <f t="shared" si="42"/>
        <v>0</v>
      </c>
      <c r="M124" s="93">
        <f t="shared" si="42"/>
        <v>0</v>
      </c>
      <c r="N124" s="93">
        <f t="shared" si="42"/>
        <v>0</v>
      </c>
      <c r="O124" s="93">
        <f t="shared" si="42"/>
        <v>0</v>
      </c>
      <c r="P124" s="93">
        <f t="shared" si="42"/>
        <v>0</v>
      </c>
      <c r="Q124" s="93">
        <f t="shared" si="42"/>
        <v>0</v>
      </c>
      <c r="R124" s="94">
        <f t="shared" si="33"/>
        <v>0</v>
      </c>
      <c r="T124" s="96">
        <f t="shared" si="39"/>
        <v>0</v>
      </c>
      <c r="U124" s="96">
        <f t="shared" si="34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f>864.22/10*12</f>
        <v>1037.0639999999999</v>
      </c>
      <c r="D126" s="57">
        <f>C126/12</f>
        <v>86.421999999999983</v>
      </c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3"/>
        <v>#DIV/0!</v>
      </c>
      <c r="S126" s="15"/>
      <c r="T126" s="62">
        <f t="shared" si="39"/>
        <v>0</v>
      </c>
      <c r="U126" s="62">
        <f t="shared" si="34"/>
        <v>-1</v>
      </c>
    </row>
    <row r="127" spans="1:21" x14ac:dyDescent="0.25">
      <c r="A127" s="63" t="s">
        <v>142</v>
      </c>
      <c r="B127" s="15"/>
      <c r="C127" s="137">
        <f t="shared" ref="C127:Q127" si="43">SUM(C126:C126)</f>
        <v>1037.0639999999999</v>
      </c>
      <c r="D127" s="138">
        <f t="shared" si="43"/>
        <v>86.421999999999983</v>
      </c>
      <c r="E127" s="139">
        <f t="shared" si="43"/>
        <v>0</v>
      </c>
      <c r="F127" s="139">
        <f t="shared" si="43"/>
        <v>0</v>
      </c>
      <c r="G127" s="139">
        <f t="shared" si="43"/>
        <v>0</v>
      </c>
      <c r="H127" s="139">
        <f t="shared" si="43"/>
        <v>0</v>
      </c>
      <c r="I127" s="139">
        <f t="shared" si="43"/>
        <v>0</v>
      </c>
      <c r="J127" s="139">
        <f t="shared" si="43"/>
        <v>0</v>
      </c>
      <c r="K127" s="139">
        <f t="shared" si="43"/>
        <v>0</v>
      </c>
      <c r="L127" s="139">
        <f t="shared" si="43"/>
        <v>0</v>
      </c>
      <c r="M127" s="139">
        <f t="shared" si="43"/>
        <v>0</v>
      </c>
      <c r="N127" s="139">
        <f t="shared" si="43"/>
        <v>0</v>
      </c>
      <c r="O127" s="139">
        <f t="shared" si="43"/>
        <v>0</v>
      </c>
      <c r="P127" s="139">
        <f t="shared" si="43"/>
        <v>0</v>
      </c>
      <c r="Q127" s="139">
        <f t="shared" si="43"/>
        <v>0</v>
      </c>
      <c r="R127" s="140">
        <f t="shared" si="33"/>
        <v>0</v>
      </c>
      <c r="T127" s="141">
        <f t="shared" si="39"/>
        <v>0</v>
      </c>
      <c r="U127" s="141">
        <f t="shared" si="34"/>
        <v>-1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4">C124+C121+C90+C82+C73+C62+C48+C95+C76+C127</f>
        <v>5302.1419999999998</v>
      </c>
      <c r="D128" s="72">
        <f t="shared" si="44"/>
        <v>661.68861904761911</v>
      </c>
      <c r="E128" s="73">
        <f t="shared" si="44"/>
        <v>200</v>
      </c>
      <c r="F128" s="73">
        <f t="shared" si="44"/>
        <v>200</v>
      </c>
      <c r="G128" s="73">
        <f t="shared" si="44"/>
        <v>200</v>
      </c>
      <c r="H128" s="73">
        <f t="shared" si="44"/>
        <v>200</v>
      </c>
      <c r="I128" s="73">
        <f t="shared" si="44"/>
        <v>200</v>
      </c>
      <c r="J128" s="73">
        <f t="shared" si="44"/>
        <v>200</v>
      </c>
      <c r="K128" s="73">
        <f t="shared" si="44"/>
        <v>200</v>
      </c>
      <c r="L128" s="73">
        <f t="shared" si="44"/>
        <v>200</v>
      </c>
      <c r="M128" s="73">
        <f t="shared" si="44"/>
        <v>200</v>
      </c>
      <c r="N128" s="73">
        <f t="shared" si="44"/>
        <v>200</v>
      </c>
      <c r="O128" s="73">
        <f t="shared" si="44"/>
        <v>200</v>
      </c>
      <c r="P128" s="73">
        <f t="shared" si="44"/>
        <v>200</v>
      </c>
      <c r="Q128" s="73">
        <f t="shared" si="44"/>
        <v>2400</v>
      </c>
      <c r="R128" s="74">
        <f t="shared" si="33"/>
        <v>200</v>
      </c>
      <c r="T128" s="76">
        <f t="shared" si="39"/>
        <v>2.3191632459008796E-2</v>
      </c>
      <c r="U128" s="76">
        <f t="shared" si="34"/>
        <v>-0.54735274913421783</v>
      </c>
    </row>
    <row r="129" spans="1:21" x14ac:dyDescent="0.25">
      <c r="A129" s="78" t="s">
        <v>144</v>
      </c>
      <c r="B129" t="s">
        <v>48</v>
      </c>
      <c r="C129" s="79">
        <f t="shared" ref="C129:Q129" si="45">C34-C128</f>
        <v>28616.468000000015</v>
      </c>
      <c r="D129" s="80">
        <f t="shared" si="45"/>
        <v>2164.8622142857157</v>
      </c>
      <c r="E129" s="81">
        <f t="shared" si="45"/>
        <v>8423.8000000000029</v>
      </c>
      <c r="F129" s="81">
        <f t="shared" si="45"/>
        <v>8423.8000000000029</v>
      </c>
      <c r="G129" s="81">
        <f t="shared" si="45"/>
        <v>8423.8000000000029</v>
      </c>
      <c r="H129" s="81">
        <f t="shared" si="45"/>
        <v>8423.8000000000029</v>
      </c>
      <c r="I129" s="81">
        <f t="shared" si="45"/>
        <v>8423.8000000000029</v>
      </c>
      <c r="J129" s="81">
        <f t="shared" si="45"/>
        <v>8423.8000000000029</v>
      </c>
      <c r="K129" s="81">
        <f t="shared" si="45"/>
        <v>8423.8000000000029</v>
      </c>
      <c r="L129" s="81">
        <f t="shared" si="45"/>
        <v>8423.8000000000029</v>
      </c>
      <c r="M129" s="81">
        <f t="shared" si="45"/>
        <v>8423.8000000000029</v>
      </c>
      <c r="N129" s="81">
        <f t="shared" si="45"/>
        <v>8423.8000000000029</v>
      </c>
      <c r="O129" s="81">
        <f t="shared" si="45"/>
        <v>8423.8000000000029</v>
      </c>
      <c r="P129" s="81">
        <f t="shared" si="45"/>
        <v>8423.8000000000029</v>
      </c>
      <c r="Q129" s="81">
        <f t="shared" si="45"/>
        <v>101085.59999999998</v>
      </c>
      <c r="R129" s="82">
        <f t="shared" si="33"/>
        <v>8423.8000000000029</v>
      </c>
      <c r="T129" s="31">
        <f t="shared" si="39"/>
        <v>0.97680836754099121</v>
      </c>
      <c r="U129" s="31">
        <f t="shared" si="34"/>
        <v>2.5324275518558026</v>
      </c>
    </row>
    <row r="130" spans="1:21" x14ac:dyDescent="0.25">
      <c r="A130" s="78" t="s">
        <v>145</v>
      </c>
      <c r="B130" t="s">
        <v>48</v>
      </c>
      <c r="C130" s="339">
        <f t="shared" ref="C130:Q130" si="46">IFERROR(C129/C34,0)</f>
        <v>0.84368044563146904</v>
      </c>
      <c r="D130" s="340">
        <f t="shared" si="46"/>
        <v>0.7659024521178367</v>
      </c>
      <c r="E130" s="341">
        <f t="shared" si="46"/>
        <v>0.97680836754099121</v>
      </c>
      <c r="F130" s="341">
        <f t="shared" si="46"/>
        <v>0.97680836754099121</v>
      </c>
      <c r="G130" s="341">
        <f t="shared" si="46"/>
        <v>0.97680836754099121</v>
      </c>
      <c r="H130" s="341">
        <f t="shared" si="46"/>
        <v>0.97680836754099121</v>
      </c>
      <c r="I130" s="341">
        <f t="shared" si="46"/>
        <v>0.97680836754099121</v>
      </c>
      <c r="J130" s="341">
        <f t="shared" si="46"/>
        <v>0.97680836754099121</v>
      </c>
      <c r="K130" s="341">
        <f t="shared" si="46"/>
        <v>0.97680836754099121</v>
      </c>
      <c r="L130" s="341">
        <f t="shared" si="46"/>
        <v>0.97680836754099121</v>
      </c>
      <c r="M130" s="341">
        <f t="shared" si="46"/>
        <v>0.97680836754099121</v>
      </c>
      <c r="N130" s="341">
        <f t="shared" si="46"/>
        <v>0.97680836754099121</v>
      </c>
      <c r="O130" s="341">
        <f t="shared" si="46"/>
        <v>0.97680836754099121</v>
      </c>
      <c r="P130" s="341">
        <f t="shared" si="46"/>
        <v>0.97680836754099121</v>
      </c>
      <c r="Q130" s="341">
        <f t="shared" si="46"/>
        <v>0.97680836754099121</v>
      </c>
      <c r="R130" s="342">
        <f t="shared" si="33"/>
        <v>0.97680836754099143</v>
      </c>
      <c r="T130" s="31"/>
      <c r="U130" s="31">
        <f>IFERROR((Q130-C130)/C130,0)</f>
        <v>0.15779424852010168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7">AVERAGE(E132:P132)</f>
        <v>#DIV/0!</v>
      </c>
      <c r="S132" s="15"/>
      <c r="T132" s="62">
        <f t="shared" si="39"/>
        <v>0</v>
      </c>
      <c r="U132" s="62">
        <f t="shared" si="34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7"/>
        <v>#DIV/0!</v>
      </c>
      <c r="S133" s="15"/>
      <c r="T133" s="62">
        <f t="shared" si="39"/>
        <v>0</v>
      </c>
      <c r="U133" s="62">
        <f t="shared" si="34"/>
        <v>0</v>
      </c>
    </row>
    <row r="134" spans="1:21" x14ac:dyDescent="0.25">
      <c r="A134" s="63" t="s">
        <v>149</v>
      </c>
      <c r="C134" s="137">
        <f t="shared" ref="C134:D134" si="48">SUM(C132:C133)</f>
        <v>0</v>
      </c>
      <c r="D134" s="138">
        <f t="shared" si="48"/>
        <v>0</v>
      </c>
      <c r="E134" s="139">
        <f>SUM(E132:E133)</f>
        <v>0</v>
      </c>
      <c r="F134" s="139">
        <f t="shared" ref="F134:Q134" si="49">SUM(F132:F133)</f>
        <v>0</v>
      </c>
      <c r="G134" s="139">
        <f t="shared" si="49"/>
        <v>0</v>
      </c>
      <c r="H134" s="139">
        <f t="shared" si="49"/>
        <v>0</v>
      </c>
      <c r="I134" s="139">
        <f t="shared" si="49"/>
        <v>0</v>
      </c>
      <c r="J134" s="139">
        <f t="shared" si="49"/>
        <v>0</v>
      </c>
      <c r="K134" s="139">
        <f t="shared" si="49"/>
        <v>0</v>
      </c>
      <c r="L134" s="139">
        <f t="shared" si="49"/>
        <v>0</v>
      </c>
      <c r="M134" s="139">
        <f t="shared" si="49"/>
        <v>0</v>
      </c>
      <c r="N134" s="139">
        <f t="shared" si="49"/>
        <v>0</v>
      </c>
      <c r="O134" s="139">
        <f t="shared" si="49"/>
        <v>0</v>
      </c>
      <c r="P134" s="139">
        <f t="shared" si="49"/>
        <v>0</v>
      </c>
      <c r="Q134" s="139">
        <f t="shared" si="49"/>
        <v>0</v>
      </c>
      <c r="R134" s="140">
        <f>AVERAGE(E134:P134)</f>
        <v>0</v>
      </c>
      <c r="T134" s="141">
        <f t="shared" si="39"/>
        <v>0</v>
      </c>
      <c r="U134" s="141">
        <f t="shared" si="34"/>
        <v>0</v>
      </c>
    </row>
    <row r="135" spans="1:21" ht="22.5" x14ac:dyDescent="0.25">
      <c r="A135" s="63" t="s">
        <v>150</v>
      </c>
      <c r="C135" s="71">
        <f t="shared" ref="C135:D135" si="50">C134+C128</f>
        <v>5302.1419999999998</v>
      </c>
      <c r="D135" s="72">
        <f t="shared" si="50"/>
        <v>661.68861904761911</v>
      </c>
      <c r="E135" s="73">
        <f>E134+E128</f>
        <v>200</v>
      </c>
      <c r="F135" s="73">
        <f t="shared" ref="F135:P135" si="51">F134+F128</f>
        <v>200</v>
      </c>
      <c r="G135" s="73">
        <f t="shared" si="51"/>
        <v>200</v>
      </c>
      <c r="H135" s="73">
        <f t="shared" si="51"/>
        <v>200</v>
      </c>
      <c r="I135" s="73">
        <f t="shared" si="51"/>
        <v>200</v>
      </c>
      <c r="J135" s="73">
        <f t="shared" si="51"/>
        <v>200</v>
      </c>
      <c r="K135" s="73">
        <f t="shared" si="51"/>
        <v>200</v>
      </c>
      <c r="L135" s="73">
        <f t="shared" si="51"/>
        <v>200</v>
      </c>
      <c r="M135" s="73">
        <f t="shared" si="51"/>
        <v>200</v>
      </c>
      <c r="N135" s="73">
        <f t="shared" si="51"/>
        <v>200</v>
      </c>
      <c r="O135" s="73">
        <f t="shared" si="51"/>
        <v>200</v>
      </c>
      <c r="P135" s="73">
        <f t="shared" si="51"/>
        <v>200</v>
      </c>
      <c r="Q135" s="73">
        <f>Q134+Q128</f>
        <v>2400</v>
      </c>
      <c r="R135" s="74">
        <f t="shared" si="47"/>
        <v>200</v>
      </c>
      <c r="T135" s="76">
        <f t="shared" si="39"/>
        <v>2.3191632459008796E-2</v>
      </c>
      <c r="U135" s="76">
        <f t="shared" si="34"/>
        <v>-0.54735274913421783</v>
      </c>
    </row>
    <row r="136" spans="1:21" x14ac:dyDescent="0.25">
      <c r="A136" s="78" t="s">
        <v>151</v>
      </c>
      <c r="C136" s="79">
        <f t="shared" ref="C136:Q136" si="52">C34-C135</f>
        <v>28616.468000000015</v>
      </c>
      <c r="D136" s="80">
        <f t="shared" si="52"/>
        <v>2164.8622142857157</v>
      </c>
      <c r="E136" s="81">
        <f t="shared" si="52"/>
        <v>8423.8000000000029</v>
      </c>
      <c r="F136" s="81">
        <f t="shared" si="52"/>
        <v>8423.8000000000029</v>
      </c>
      <c r="G136" s="81">
        <f t="shared" si="52"/>
        <v>8423.8000000000029</v>
      </c>
      <c r="H136" s="81">
        <f t="shared" si="52"/>
        <v>8423.8000000000029</v>
      </c>
      <c r="I136" s="81">
        <f t="shared" si="52"/>
        <v>8423.8000000000029</v>
      </c>
      <c r="J136" s="81">
        <f t="shared" si="52"/>
        <v>8423.8000000000029</v>
      </c>
      <c r="K136" s="81">
        <f t="shared" si="52"/>
        <v>8423.8000000000029</v>
      </c>
      <c r="L136" s="81">
        <f t="shared" si="52"/>
        <v>8423.8000000000029</v>
      </c>
      <c r="M136" s="81">
        <f t="shared" si="52"/>
        <v>8423.8000000000029</v>
      </c>
      <c r="N136" s="81">
        <f t="shared" si="52"/>
        <v>8423.8000000000029</v>
      </c>
      <c r="O136" s="81">
        <f t="shared" si="52"/>
        <v>8423.8000000000029</v>
      </c>
      <c r="P136" s="81">
        <f t="shared" si="52"/>
        <v>8423.8000000000029</v>
      </c>
      <c r="Q136" s="81">
        <f t="shared" si="52"/>
        <v>101085.59999999998</v>
      </c>
      <c r="R136" s="82">
        <f>AVERAGE(E136:P136)</f>
        <v>8423.8000000000029</v>
      </c>
      <c r="T136" s="31">
        <f>Q136/$Q$34</f>
        <v>0.97680836754099121</v>
      </c>
      <c r="U136" s="31">
        <f t="shared" si="34"/>
        <v>2.5324275518558026</v>
      </c>
    </row>
    <row r="137" spans="1:21" ht="15.75" thickBot="1" x14ac:dyDescent="0.3">
      <c r="A137" s="78" t="s">
        <v>152</v>
      </c>
      <c r="C137" s="344">
        <f>IFERROR(C136/C34,"")</f>
        <v>0.84368044563146904</v>
      </c>
      <c r="D137" s="345">
        <f>IFERROR(D136/D34,"")</f>
        <v>0.7659024521178367</v>
      </c>
      <c r="E137" s="341">
        <f t="shared" ref="E137:Q137" si="53">E136/E34</f>
        <v>0.97680836754099121</v>
      </c>
      <c r="F137" s="341">
        <f t="shared" si="53"/>
        <v>0.97680836754099121</v>
      </c>
      <c r="G137" s="341">
        <f t="shared" si="53"/>
        <v>0.97680836754099121</v>
      </c>
      <c r="H137" s="341">
        <f t="shared" si="53"/>
        <v>0.97680836754099121</v>
      </c>
      <c r="I137" s="341">
        <f t="shared" si="53"/>
        <v>0.97680836754099121</v>
      </c>
      <c r="J137" s="341">
        <f t="shared" si="53"/>
        <v>0.97680836754099121</v>
      </c>
      <c r="K137" s="341">
        <f t="shared" si="53"/>
        <v>0.97680836754099121</v>
      </c>
      <c r="L137" s="341">
        <f t="shared" si="53"/>
        <v>0.97680836754099121</v>
      </c>
      <c r="M137" s="341">
        <f t="shared" si="53"/>
        <v>0.97680836754099121</v>
      </c>
      <c r="N137" s="341">
        <f t="shared" si="53"/>
        <v>0.97680836754099121</v>
      </c>
      <c r="O137" s="341">
        <f t="shared" si="53"/>
        <v>0.97680836754099121</v>
      </c>
      <c r="P137" s="341">
        <f t="shared" si="53"/>
        <v>0.97680836754099121</v>
      </c>
      <c r="Q137" s="341">
        <f t="shared" si="53"/>
        <v>0.97680836754099121</v>
      </c>
      <c r="R137" s="346">
        <f t="shared" si="47"/>
        <v>0.97680836754099143</v>
      </c>
      <c r="T137" s="31"/>
      <c r="U137" s="31">
        <f t="shared" si="34"/>
        <v>0.15779424852010168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4CD3-D893-4A4F-838F-AFD4B5E32951}">
  <dimension ref="A1:AB138"/>
  <sheetViews>
    <sheetView topLeftCell="C1" workbookViewId="0">
      <selection activeCell="W7" sqref="W7:AB24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41.42578125" customWidth="1"/>
    <col min="20" max="20" width="10" bestFit="1" customWidth="1"/>
    <col min="21" max="21" width="11.85546875" customWidth="1"/>
    <col min="25" max="25" width="14.140625" customWidth="1"/>
    <col min="26" max="26" width="18.5703125" customWidth="1"/>
    <col min="27" max="27" width="18.28515625" customWidth="1"/>
  </cols>
  <sheetData>
    <row r="1" spans="1:28" ht="18" x14ac:dyDescent="0.25">
      <c r="A1" s="401" t="s">
        <v>381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8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8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8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8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8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8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8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8" x14ac:dyDescent="0.25">
      <c r="A9" s="25"/>
      <c r="B9" s="15" t="s">
        <v>24</v>
      </c>
      <c r="C9" s="16">
        <v>3.34</v>
      </c>
      <c r="D9" s="17">
        <v>0.28000000000000003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9">
        <f t="shared" si="0"/>
        <v>24</v>
      </c>
      <c r="R9" s="20">
        <f t="shared" si="1"/>
        <v>2</v>
      </c>
      <c r="S9" s="15"/>
      <c r="T9" s="21"/>
      <c r="U9" s="22">
        <f t="shared" si="2"/>
        <v>6.1856287425149707</v>
      </c>
    </row>
    <row r="10" spans="1:28" x14ac:dyDescent="0.25">
      <c r="A10" s="15"/>
      <c r="B10" s="15" t="s">
        <v>25</v>
      </c>
      <c r="C10" s="16">
        <v>130.1</v>
      </c>
      <c r="D10" s="17">
        <v>10.84</v>
      </c>
      <c r="E10" s="18">
        <v>11</v>
      </c>
      <c r="F10" s="18">
        <v>11</v>
      </c>
      <c r="G10" s="18">
        <v>11</v>
      </c>
      <c r="H10" s="18">
        <v>11</v>
      </c>
      <c r="I10" s="18">
        <v>11</v>
      </c>
      <c r="J10" s="18">
        <v>11</v>
      </c>
      <c r="K10" s="18">
        <v>13</v>
      </c>
      <c r="L10" s="18">
        <v>13</v>
      </c>
      <c r="M10" s="18">
        <v>13</v>
      </c>
      <c r="N10" s="18">
        <v>13</v>
      </c>
      <c r="O10" s="18">
        <v>13</v>
      </c>
      <c r="P10" s="18">
        <v>13</v>
      </c>
      <c r="Q10" s="19">
        <f t="shared" si="0"/>
        <v>144</v>
      </c>
      <c r="R10" s="20">
        <f t="shared" si="1"/>
        <v>12</v>
      </c>
      <c r="S10" s="15"/>
      <c r="T10" s="21"/>
      <c r="U10" s="22">
        <f t="shared" si="2"/>
        <v>0.10684089162182941</v>
      </c>
    </row>
    <row r="11" spans="1:28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>AVERAGE(E11:P11)</f>
        <v>#DIV/0!</v>
      </c>
      <c r="S11" s="15"/>
      <c r="T11" s="21"/>
      <c r="U11" s="22">
        <f t="shared" si="2"/>
        <v>0</v>
      </c>
    </row>
    <row r="12" spans="1:28" x14ac:dyDescent="0.25">
      <c r="A12" s="15"/>
      <c r="B12" s="15" t="s">
        <v>27</v>
      </c>
      <c r="C12" s="16">
        <v>0</v>
      </c>
      <c r="D12" s="17">
        <v>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>
        <f t="shared" si="0"/>
        <v>0</v>
      </c>
      <c r="R12" s="335" t="e">
        <f>AVERAGE(E12:P12)</f>
        <v>#DIV/0!</v>
      </c>
      <c r="S12" s="15"/>
      <c r="T12" s="21"/>
      <c r="U12" s="22">
        <f t="shared" si="2"/>
        <v>0</v>
      </c>
    </row>
    <row r="13" spans="1:28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>AVERAGE(E13:P13)</f>
        <v>#DIV/0!</v>
      </c>
      <c r="S13" s="15"/>
      <c r="T13" s="21"/>
      <c r="U13" s="22">
        <f t="shared" si="2"/>
        <v>0</v>
      </c>
    </row>
    <row r="14" spans="1:28" x14ac:dyDescent="0.25">
      <c r="A14" s="25"/>
      <c r="B14" s="15" t="s">
        <v>29</v>
      </c>
      <c r="C14" s="26">
        <f>SUM(C7:C13)</f>
        <v>133.44</v>
      </c>
      <c r="D14" s="27">
        <f t="shared" ref="D14" si="3">SUM(D7:D13)</f>
        <v>11.12</v>
      </c>
      <c r="E14" s="28">
        <f>SUM(E7:E13)</f>
        <v>13</v>
      </c>
      <c r="F14" s="28">
        <f>SUM(F7:F13)</f>
        <v>13</v>
      </c>
      <c r="G14" s="28">
        <f t="shared" ref="G14:Q14" si="4">SUM(G7:G13)</f>
        <v>13</v>
      </c>
      <c r="H14" s="28">
        <f t="shared" si="4"/>
        <v>13</v>
      </c>
      <c r="I14" s="28">
        <f t="shared" si="4"/>
        <v>13</v>
      </c>
      <c r="J14" s="28">
        <f t="shared" si="4"/>
        <v>13</v>
      </c>
      <c r="K14" s="28">
        <f t="shared" si="4"/>
        <v>15</v>
      </c>
      <c r="L14" s="28">
        <f t="shared" si="4"/>
        <v>15</v>
      </c>
      <c r="M14" s="28">
        <f t="shared" si="4"/>
        <v>15</v>
      </c>
      <c r="N14" s="28">
        <f t="shared" si="4"/>
        <v>15</v>
      </c>
      <c r="O14" s="28">
        <f t="shared" si="4"/>
        <v>15</v>
      </c>
      <c r="P14" s="28">
        <f t="shared" si="4"/>
        <v>15</v>
      </c>
      <c r="Q14" s="28">
        <f t="shared" si="4"/>
        <v>168</v>
      </c>
      <c r="R14" s="29">
        <f t="shared" si="1"/>
        <v>14</v>
      </c>
      <c r="T14" s="30"/>
      <c r="U14" s="31">
        <f>IFERROR((Q14-C14)/C14,0)</f>
        <v>0.25899280575539568</v>
      </c>
    </row>
    <row r="15" spans="1:28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8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5">IFERROR((Q16-C16)/C16,"")</f>
        <v/>
      </c>
      <c r="W16"/>
      <c r="X16"/>
      <c r="Y16"/>
      <c r="Z16"/>
      <c r="AA16"/>
      <c r="AB16"/>
    </row>
    <row r="17" spans="1:28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5"/>
        <v/>
      </c>
      <c r="W17"/>
      <c r="X17"/>
      <c r="Y17"/>
      <c r="Z17"/>
      <c r="AA17"/>
      <c r="AB17"/>
    </row>
    <row r="18" spans="1:28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5"/>
        <v/>
      </c>
      <c r="W18"/>
      <c r="X18"/>
      <c r="Y18"/>
      <c r="Z18"/>
      <c r="AA18"/>
      <c r="AB18"/>
    </row>
    <row r="19" spans="1:28" s="44" customFormat="1" x14ac:dyDescent="0.25">
      <c r="B19" s="15" t="s">
        <v>34</v>
      </c>
      <c r="C19" s="40"/>
      <c r="D19" s="41"/>
      <c r="E19" s="42">
        <v>200</v>
      </c>
      <c r="F19" s="42">
        <v>200</v>
      </c>
      <c r="G19" s="42">
        <v>200</v>
      </c>
      <c r="H19" s="42">
        <v>200</v>
      </c>
      <c r="I19" s="42">
        <v>200</v>
      </c>
      <c r="J19" s="42">
        <v>200</v>
      </c>
      <c r="K19" s="42">
        <v>200</v>
      </c>
      <c r="L19" s="42">
        <v>200</v>
      </c>
      <c r="M19" s="42">
        <v>200</v>
      </c>
      <c r="N19" s="42">
        <v>200</v>
      </c>
      <c r="O19" s="42">
        <v>200</v>
      </c>
      <c r="P19" s="42">
        <v>200</v>
      </c>
      <c r="Q19" s="42">
        <f>AVERAGE(E19:P19)</f>
        <v>200</v>
      </c>
      <c r="R19" s="43">
        <f t="shared" si="1"/>
        <v>200</v>
      </c>
      <c r="S19" s="15"/>
      <c r="T19" s="21"/>
      <c r="U19" s="22" t="str">
        <f t="shared" si="5"/>
        <v/>
      </c>
      <c r="W19"/>
      <c r="X19"/>
      <c r="Y19"/>
      <c r="Z19"/>
      <c r="AA19"/>
      <c r="AB19"/>
    </row>
    <row r="20" spans="1:28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>AVERAGE(E20:P20)</f>
        <v>0</v>
      </c>
      <c r="S20" s="15"/>
      <c r="T20" s="21"/>
      <c r="U20" s="22" t="str">
        <f t="shared" si="5"/>
        <v/>
      </c>
      <c r="W20"/>
      <c r="X20"/>
      <c r="Y20"/>
      <c r="Z20"/>
      <c r="AA20"/>
      <c r="AB20"/>
    </row>
    <row r="21" spans="1:28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>AVERAGE(E21:P21)</f>
        <v>0</v>
      </c>
      <c r="S21" s="15"/>
      <c r="T21" s="21"/>
      <c r="U21" s="22" t="str">
        <f t="shared" si="5"/>
        <v/>
      </c>
      <c r="W21"/>
      <c r="X21"/>
      <c r="Y21"/>
      <c r="Z21"/>
      <c r="AA21"/>
      <c r="AB21"/>
    </row>
    <row r="22" spans="1:28" s="44" customFormat="1" x14ac:dyDescent="0.25">
      <c r="B22" s="15"/>
      <c r="C22" s="46"/>
      <c r="D22" s="47"/>
      <c r="E22" s="42"/>
      <c r="R22" s="48"/>
      <c r="S22" s="49"/>
      <c r="T22" s="50"/>
      <c r="U22" s="50"/>
      <c r="W22"/>
      <c r="X22"/>
      <c r="Y22"/>
      <c r="Z22"/>
      <c r="AA22"/>
      <c r="AB22"/>
    </row>
    <row r="23" spans="1:28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8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6">((K7*K16)+(K8*K17))*K4</f>
        <v>0</v>
      </c>
      <c r="L24" s="58">
        <f t="shared" si="6"/>
        <v>0</v>
      </c>
      <c r="M24" s="58">
        <f t="shared" si="6"/>
        <v>0</v>
      </c>
      <c r="N24" s="58">
        <f t="shared" si="6"/>
        <v>0</v>
      </c>
      <c r="O24" s="58">
        <f t="shared" si="6"/>
        <v>0</v>
      </c>
      <c r="P24" s="58">
        <f t="shared" si="6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7">IFERROR((Q24-C24)/C24,0)</f>
        <v>0</v>
      </c>
    </row>
    <row r="25" spans="1:28" x14ac:dyDescent="0.25">
      <c r="A25" s="25"/>
      <c r="B25" s="15" t="s">
        <v>39</v>
      </c>
      <c r="C25" s="56">
        <v>0</v>
      </c>
      <c r="D25" s="57">
        <f t="shared" ref="D25:D29" si="8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7"/>
        <v>0</v>
      </c>
    </row>
    <row r="26" spans="1:28" x14ac:dyDescent="0.25">
      <c r="A26" s="25"/>
      <c r="B26" s="15" t="s">
        <v>40</v>
      </c>
      <c r="C26" s="56">
        <v>403657.56</v>
      </c>
      <c r="D26" s="57">
        <f t="shared" si="8"/>
        <v>33638.129999999997</v>
      </c>
      <c r="E26" s="58">
        <f>(((E9*E18)*21.75)+(((E10*E19)*13.08)+(((E11*E20)*4.33))))</f>
        <v>41826</v>
      </c>
      <c r="F26" s="58">
        <f t="shared" ref="F26:O26" si="9">(((F9*F18)*21.75)+(((F10*F19)*13.08)+(((F11*F20)*4.33))))</f>
        <v>41826</v>
      </c>
      <c r="G26" s="58">
        <f t="shared" si="9"/>
        <v>41826</v>
      </c>
      <c r="H26" s="58">
        <f t="shared" si="9"/>
        <v>41826</v>
      </c>
      <c r="I26" s="58">
        <f t="shared" si="9"/>
        <v>41826</v>
      </c>
      <c r="J26" s="58">
        <f t="shared" si="9"/>
        <v>41826</v>
      </c>
      <c r="K26" s="58">
        <f t="shared" si="9"/>
        <v>47058</v>
      </c>
      <c r="L26" s="58">
        <f t="shared" si="9"/>
        <v>47058</v>
      </c>
      <c r="M26" s="58">
        <f t="shared" si="9"/>
        <v>47058</v>
      </c>
      <c r="N26" s="58">
        <f t="shared" si="9"/>
        <v>47058</v>
      </c>
      <c r="O26" s="58">
        <f t="shared" si="9"/>
        <v>47058</v>
      </c>
      <c r="P26" s="58">
        <f>(((P9*P18)*21.75)+(((P10*P19)*13.08)+(((P11*P20)*4.33))))</f>
        <v>47058</v>
      </c>
      <c r="Q26" s="59">
        <f>SUM(E26:P26)</f>
        <v>533304</v>
      </c>
      <c r="R26" s="60">
        <f>AVERAGE(E26:P26)</f>
        <v>44442</v>
      </c>
      <c r="S26" s="15"/>
      <c r="T26" s="61"/>
      <c r="U26" s="62">
        <f t="shared" si="7"/>
        <v>0.32117926888325837</v>
      </c>
    </row>
    <row r="27" spans="1:28" x14ac:dyDescent="0.25">
      <c r="A27" s="25"/>
      <c r="B27" s="15" t="s">
        <v>41</v>
      </c>
      <c r="C27" s="56">
        <v>0</v>
      </c>
      <c r="D27" s="57">
        <f t="shared" si="8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10">K13*K21*K4</f>
        <v>0</v>
      </c>
      <c r="L27" s="58">
        <f t="shared" si="10"/>
        <v>0</v>
      </c>
      <c r="M27" s="58">
        <f t="shared" si="10"/>
        <v>0</v>
      </c>
      <c r="N27" s="58">
        <f t="shared" si="10"/>
        <v>0</v>
      </c>
      <c r="O27" s="58">
        <f t="shared" si="10"/>
        <v>0</v>
      </c>
      <c r="P27" s="58">
        <f t="shared" si="10"/>
        <v>0</v>
      </c>
      <c r="Q27" s="59">
        <f>SUM(E27:P27)</f>
        <v>0</v>
      </c>
      <c r="R27" s="60">
        <f>AVERAGE(E27:P27)</f>
        <v>0</v>
      </c>
      <c r="S27" s="15"/>
      <c r="T27" s="61"/>
      <c r="U27" s="62">
        <f t="shared" si="7"/>
        <v>0</v>
      </c>
    </row>
    <row r="28" spans="1:28" x14ac:dyDescent="0.25">
      <c r="A28" s="25"/>
      <c r="B28" s="15" t="s">
        <v>42</v>
      </c>
      <c r="C28" s="56">
        <v>0</v>
      </c>
      <c r="D28" s="57">
        <f t="shared" si="8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10"/>
        <v>0</v>
      </c>
      <c r="L28" s="58">
        <f t="shared" si="10"/>
        <v>0</v>
      </c>
      <c r="M28" s="58">
        <f t="shared" si="10"/>
        <v>0</v>
      </c>
      <c r="N28" s="58">
        <f t="shared" si="10"/>
        <v>0</v>
      </c>
      <c r="O28" s="58">
        <f t="shared" si="10"/>
        <v>0</v>
      </c>
      <c r="P28" s="58">
        <f t="shared" si="10"/>
        <v>0</v>
      </c>
      <c r="Q28" s="59">
        <f>SUM(E28:P28)</f>
        <v>0</v>
      </c>
      <c r="R28" s="60">
        <f>AVERAGE(E28:P28)</f>
        <v>0</v>
      </c>
      <c r="S28" s="15"/>
      <c r="T28" s="61"/>
      <c r="U28" s="62">
        <f t="shared" si="7"/>
        <v>0</v>
      </c>
    </row>
    <row r="29" spans="1:28" x14ac:dyDescent="0.25">
      <c r="A29" s="63" t="s">
        <v>43</v>
      </c>
      <c r="B29" s="15"/>
      <c r="C29" s="64">
        <f>SUM(C24:C28)</f>
        <v>403657.56</v>
      </c>
      <c r="D29" s="57">
        <f t="shared" si="8"/>
        <v>33638.129999999997</v>
      </c>
      <c r="E29" s="66">
        <f t="shared" ref="E29:Q29" si="11">SUM(E24:E28)</f>
        <v>41826</v>
      </c>
      <c r="F29" s="66">
        <f t="shared" si="11"/>
        <v>41826</v>
      </c>
      <c r="G29" s="66">
        <f t="shared" si="11"/>
        <v>41826</v>
      </c>
      <c r="H29" s="66">
        <f t="shared" si="11"/>
        <v>41826</v>
      </c>
      <c r="I29" s="66">
        <f t="shared" si="11"/>
        <v>41826</v>
      </c>
      <c r="J29" s="66">
        <f t="shared" si="11"/>
        <v>41826</v>
      </c>
      <c r="K29" s="66">
        <f t="shared" si="11"/>
        <v>47058</v>
      </c>
      <c r="L29" s="66">
        <f t="shared" si="11"/>
        <v>47058</v>
      </c>
      <c r="M29" s="66">
        <f t="shared" si="11"/>
        <v>47058</v>
      </c>
      <c r="N29" s="66">
        <f t="shared" si="11"/>
        <v>47058</v>
      </c>
      <c r="O29" s="66">
        <f t="shared" si="11"/>
        <v>47058</v>
      </c>
      <c r="P29" s="66">
        <f t="shared" si="11"/>
        <v>47058</v>
      </c>
      <c r="Q29" s="66">
        <f t="shared" si="11"/>
        <v>533304</v>
      </c>
      <c r="R29" s="67">
        <f>AVERAGE(E29:P29)</f>
        <v>44442</v>
      </c>
      <c r="T29" s="68"/>
      <c r="U29" s="69">
        <f t="shared" si="7"/>
        <v>0.32117926888325837</v>
      </c>
    </row>
    <row r="30" spans="1:28" x14ac:dyDescent="0.25">
      <c r="A30" s="15" t="s">
        <v>44</v>
      </c>
      <c r="B30" s="15"/>
      <c r="C30" s="64"/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T30" s="69"/>
      <c r="U30" s="69"/>
    </row>
    <row r="31" spans="1:28" x14ac:dyDescent="0.25">
      <c r="A31" s="63"/>
      <c r="B31" s="15" t="s">
        <v>45</v>
      </c>
      <c r="C31" s="56">
        <v>-215349.22</v>
      </c>
      <c r="D31" s="57">
        <f>C31/12</f>
        <v>-17945.768333333333</v>
      </c>
      <c r="E31" s="58">
        <f t="shared" ref="E31:P31" si="12">-E26*0.7</f>
        <v>-29278.199999999997</v>
      </c>
      <c r="F31" s="58">
        <f t="shared" si="12"/>
        <v>-29278.199999999997</v>
      </c>
      <c r="G31" s="58">
        <f t="shared" si="12"/>
        <v>-29278.199999999997</v>
      </c>
      <c r="H31" s="58">
        <f t="shared" si="12"/>
        <v>-29278.199999999997</v>
      </c>
      <c r="I31" s="58">
        <f t="shared" si="12"/>
        <v>-29278.199999999997</v>
      </c>
      <c r="J31" s="58">
        <f t="shared" si="12"/>
        <v>-29278.199999999997</v>
      </c>
      <c r="K31" s="58">
        <f t="shared" si="12"/>
        <v>-32940.6</v>
      </c>
      <c r="L31" s="58">
        <f t="shared" si="12"/>
        <v>-32940.6</v>
      </c>
      <c r="M31" s="58">
        <f t="shared" si="12"/>
        <v>-32940.6</v>
      </c>
      <c r="N31" s="58">
        <f t="shared" si="12"/>
        <v>-32940.6</v>
      </c>
      <c r="O31" s="58">
        <f t="shared" si="12"/>
        <v>-32940.6</v>
      </c>
      <c r="P31" s="58">
        <f t="shared" si="12"/>
        <v>-32940.6</v>
      </c>
      <c r="Q31" s="59">
        <f>SUM(E31:P31)</f>
        <v>-373312.79999999993</v>
      </c>
      <c r="R31" s="60">
        <f>AVERAGE(E31:P31)</f>
        <v>-31109.399999999994</v>
      </c>
      <c r="S31" s="15"/>
      <c r="T31" s="61"/>
      <c r="U31" s="62">
        <f t="shared" si="7"/>
        <v>0.73352287972066921</v>
      </c>
    </row>
    <row r="32" spans="1:28" x14ac:dyDescent="0.25">
      <c r="A32" s="63" t="s">
        <v>46</v>
      </c>
      <c r="B32" s="15"/>
      <c r="C32" s="64">
        <f t="shared" ref="C32:D32" si="13">SUM(C31)</f>
        <v>-215349.22</v>
      </c>
      <c r="D32" s="65">
        <f t="shared" si="13"/>
        <v>-17945.768333333333</v>
      </c>
      <c r="E32" s="66">
        <f>SUM(E31)</f>
        <v>-29278.199999999997</v>
      </c>
      <c r="F32" s="66">
        <f>SUM(F31)</f>
        <v>-29278.199999999997</v>
      </c>
      <c r="G32" s="66">
        <f t="shared" ref="G32:P32" si="14">SUM(G31)</f>
        <v>-29278.199999999997</v>
      </c>
      <c r="H32" s="66">
        <f t="shared" si="14"/>
        <v>-29278.199999999997</v>
      </c>
      <c r="I32" s="66">
        <f t="shared" si="14"/>
        <v>-29278.199999999997</v>
      </c>
      <c r="J32" s="66">
        <f t="shared" si="14"/>
        <v>-29278.199999999997</v>
      </c>
      <c r="K32" s="66">
        <f t="shared" si="14"/>
        <v>-32940.6</v>
      </c>
      <c r="L32" s="66">
        <f t="shared" si="14"/>
        <v>-32940.6</v>
      </c>
      <c r="M32" s="66">
        <f t="shared" si="14"/>
        <v>-32940.6</v>
      </c>
      <c r="N32" s="66">
        <f t="shared" si="14"/>
        <v>-32940.6</v>
      </c>
      <c r="O32" s="66">
        <f t="shared" si="14"/>
        <v>-32940.6</v>
      </c>
      <c r="P32" s="66">
        <f t="shared" si="14"/>
        <v>-32940.6</v>
      </c>
      <c r="Q32" s="66">
        <f>SUM(Q31)</f>
        <v>-373312.79999999993</v>
      </c>
      <c r="R32" s="67">
        <f>AVERAGE(E32:P32)</f>
        <v>-31109.399999999994</v>
      </c>
      <c r="T32" s="68"/>
      <c r="U32" s="69">
        <f t="shared" si="7"/>
        <v>0.73352287972066921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5">C29+C32</f>
        <v>188308.34</v>
      </c>
      <c r="D33" s="352">
        <f t="shared" si="15"/>
        <v>15692.361666666664</v>
      </c>
      <c r="E33" s="353">
        <f>E29+E32</f>
        <v>12547.800000000003</v>
      </c>
      <c r="F33" s="353">
        <f>F29+F32</f>
        <v>12547.800000000003</v>
      </c>
      <c r="G33" s="353">
        <f t="shared" ref="G33:Q33" si="16">G29+G32</f>
        <v>12547.800000000003</v>
      </c>
      <c r="H33" s="353">
        <f t="shared" si="16"/>
        <v>12547.800000000003</v>
      </c>
      <c r="I33" s="353">
        <f t="shared" si="16"/>
        <v>12547.800000000003</v>
      </c>
      <c r="J33" s="353">
        <f t="shared" si="16"/>
        <v>12547.800000000003</v>
      </c>
      <c r="K33" s="353">
        <f t="shared" si="16"/>
        <v>14117.400000000001</v>
      </c>
      <c r="L33" s="353">
        <f t="shared" si="16"/>
        <v>14117.400000000001</v>
      </c>
      <c r="M33" s="353">
        <f t="shared" si="16"/>
        <v>14117.400000000001</v>
      </c>
      <c r="N33" s="353">
        <f t="shared" si="16"/>
        <v>14117.400000000001</v>
      </c>
      <c r="O33" s="353">
        <f t="shared" si="16"/>
        <v>14117.400000000001</v>
      </c>
      <c r="P33" s="353">
        <f t="shared" si="16"/>
        <v>14117.400000000001</v>
      </c>
      <c r="Q33" s="353">
        <f t="shared" si="16"/>
        <v>159991.20000000007</v>
      </c>
      <c r="R33" s="354">
        <f>AVERAGE(E33:P33)</f>
        <v>13332.599999999999</v>
      </c>
      <c r="T33" s="75"/>
      <c r="U33" s="76">
        <f t="shared" si="7"/>
        <v>-0.15037645172805372</v>
      </c>
    </row>
    <row r="34" spans="1:21" x14ac:dyDescent="0.25">
      <c r="A34" s="78" t="s">
        <v>49</v>
      </c>
      <c r="B34" t="s">
        <v>48</v>
      </c>
      <c r="C34" s="79">
        <f t="shared" ref="C34:D34" si="17">C33</f>
        <v>188308.34</v>
      </c>
      <c r="D34" s="80">
        <f t="shared" si="17"/>
        <v>15692.361666666664</v>
      </c>
      <c r="E34" s="81">
        <f>E33</f>
        <v>12547.800000000003</v>
      </c>
      <c r="F34" s="81">
        <f t="shared" ref="F34:Q34" si="18">F33</f>
        <v>12547.800000000003</v>
      </c>
      <c r="G34" s="81">
        <f t="shared" si="18"/>
        <v>12547.800000000003</v>
      </c>
      <c r="H34" s="81">
        <f t="shared" si="18"/>
        <v>12547.800000000003</v>
      </c>
      <c r="I34" s="81">
        <f t="shared" si="18"/>
        <v>12547.800000000003</v>
      </c>
      <c r="J34" s="81">
        <f t="shared" si="18"/>
        <v>12547.800000000003</v>
      </c>
      <c r="K34" s="81">
        <f t="shared" si="18"/>
        <v>14117.400000000001</v>
      </c>
      <c r="L34" s="81">
        <f t="shared" si="18"/>
        <v>14117.400000000001</v>
      </c>
      <c r="M34" s="81">
        <f t="shared" si="18"/>
        <v>14117.400000000001</v>
      </c>
      <c r="N34" s="81">
        <f t="shared" si="18"/>
        <v>14117.400000000001</v>
      </c>
      <c r="O34" s="81">
        <f t="shared" si="18"/>
        <v>14117.400000000001</v>
      </c>
      <c r="P34" s="81">
        <f t="shared" si="18"/>
        <v>14117.400000000001</v>
      </c>
      <c r="Q34" s="81">
        <f t="shared" si="18"/>
        <v>159991.20000000007</v>
      </c>
      <c r="R34" s="82">
        <f t="shared" si="1"/>
        <v>13332.599999999999</v>
      </c>
      <c r="T34" s="30"/>
      <c r="U34" s="31">
        <f t="shared" si="7"/>
        <v>-0.15037645172805372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>AVERAGE(E37:P37)</f>
        <v>#DIV/0!</v>
      </c>
      <c r="S37" s="15"/>
      <c r="T37" s="62">
        <f>Q37/$Q$34</f>
        <v>0</v>
      </c>
      <c r="U37" s="62">
        <f t="shared" si="7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9">SUM(E38:P38)</f>
        <v>0</v>
      </c>
      <c r="R38" s="89" t="e">
        <f t="shared" si="1"/>
        <v>#DIV/0!</v>
      </c>
      <c r="S38" s="15"/>
      <c r="T38" s="62">
        <f t="shared" ref="T38:T102" si="20">Q38/$Q$34</f>
        <v>0</v>
      </c>
      <c r="U38" s="62">
        <f t="shared" si="7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9"/>
        <v>0</v>
      </c>
      <c r="R39" s="89" t="e">
        <f t="shared" si="1"/>
        <v>#DIV/0!</v>
      </c>
      <c r="S39" s="15"/>
      <c r="T39" s="62">
        <f t="shared" si="20"/>
        <v>0</v>
      </c>
      <c r="U39" s="62">
        <f t="shared" si="7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9"/>
        <v>0</v>
      </c>
      <c r="R40" s="89" t="e">
        <f t="shared" si="1"/>
        <v>#DIV/0!</v>
      </c>
      <c r="S40" s="15"/>
      <c r="T40" s="62">
        <f t="shared" si="20"/>
        <v>0</v>
      </c>
      <c r="U40" s="62">
        <f t="shared" si="7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9"/>
        <v>0</v>
      </c>
      <c r="R41" s="89" t="e">
        <f t="shared" si="1"/>
        <v>#DIV/0!</v>
      </c>
      <c r="S41" s="15"/>
      <c r="T41" s="62">
        <f t="shared" si="20"/>
        <v>0</v>
      </c>
      <c r="U41" s="62">
        <f t="shared" si="7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9"/>
        <v>0</v>
      </c>
      <c r="R42" s="89" t="e">
        <f t="shared" si="1"/>
        <v>#DIV/0!</v>
      </c>
      <c r="S42" s="15"/>
      <c r="T42" s="62">
        <f t="shared" si="20"/>
        <v>0</v>
      </c>
      <c r="U42" s="62">
        <f t="shared" si="7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9"/>
        <v>0</v>
      </c>
      <c r="R43" s="89" t="e">
        <f t="shared" si="1"/>
        <v>#DIV/0!</v>
      </c>
      <c r="S43" s="15"/>
      <c r="T43" s="62">
        <f t="shared" si="20"/>
        <v>0</v>
      </c>
      <c r="U43" s="62">
        <f t="shared" si="7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9"/>
        <v>0</v>
      </c>
      <c r="R44" s="89" t="e">
        <f t="shared" si="1"/>
        <v>#DIV/0!</v>
      </c>
      <c r="S44" s="15"/>
      <c r="T44" s="62">
        <f t="shared" si="20"/>
        <v>0</v>
      </c>
      <c r="U44" s="62">
        <f t="shared" si="7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9"/>
        <v>0</v>
      </c>
      <c r="R45" s="89" t="e">
        <f t="shared" si="1"/>
        <v>#DIV/0!</v>
      </c>
      <c r="S45" s="15"/>
      <c r="T45" s="62">
        <f t="shared" si="20"/>
        <v>0</v>
      </c>
      <c r="U45" s="62">
        <f t="shared" si="7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9"/>
        <v>0</v>
      </c>
      <c r="R46" s="89" t="e">
        <f t="shared" si="1"/>
        <v>#DIV/0!</v>
      </c>
      <c r="S46" s="15"/>
      <c r="T46" s="62">
        <f t="shared" si="20"/>
        <v>0</v>
      </c>
      <c r="U46" s="62">
        <f t="shared" si="7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9"/>
        <v>0</v>
      </c>
      <c r="R47" s="89" t="e">
        <f t="shared" si="1"/>
        <v>#DIV/0!</v>
      </c>
      <c r="S47" s="15"/>
      <c r="T47" s="62">
        <f t="shared" si="20"/>
        <v>0</v>
      </c>
      <c r="U47" s="62">
        <f t="shared" si="7"/>
        <v>0</v>
      </c>
    </row>
    <row r="48" spans="1:21" x14ac:dyDescent="0.25">
      <c r="A48" s="63" t="s">
        <v>63</v>
      </c>
      <c r="B48" t="s">
        <v>48</v>
      </c>
      <c r="C48" s="91">
        <f t="shared" ref="C48:Q48" si="21">SUM(C37:C47)</f>
        <v>0</v>
      </c>
      <c r="D48" s="92">
        <f t="shared" si="21"/>
        <v>0</v>
      </c>
      <c r="E48" s="93">
        <f t="shared" si="21"/>
        <v>0</v>
      </c>
      <c r="F48" s="93">
        <f t="shared" si="21"/>
        <v>0</v>
      </c>
      <c r="G48" s="93">
        <f t="shared" si="21"/>
        <v>0</v>
      </c>
      <c r="H48" s="93">
        <f t="shared" si="21"/>
        <v>0</v>
      </c>
      <c r="I48" s="93">
        <f t="shared" si="21"/>
        <v>0</v>
      </c>
      <c r="J48" s="93">
        <f t="shared" si="21"/>
        <v>0</v>
      </c>
      <c r="K48" s="93">
        <f t="shared" si="21"/>
        <v>0</v>
      </c>
      <c r="L48" s="93">
        <f t="shared" si="21"/>
        <v>0</v>
      </c>
      <c r="M48" s="93">
        <f t="shared" si="21"/>
        <v>0</v>
      </c>
      <c r="N48" s="93">
        <f t="shared" si="21"/>
        <v>0</v>
      </c>
      <c r="O48" s="93">
        <f t="shared" si="21"/>
        <v>0</v>
      </c>
      <c r="P48" s="93">
        <f t="shared" si="21"/>
        <v>0</v>
      </c>
      <c r="Q48" s="93">
        <f t="shared" si="21"/>
        <v>0</v>
      </c>
      <c r="R48" s="94">
        <f t="shared" si="1"/>
        <v>0</v>
      </c>
      <c r="T48" s="96">
        <f t="shared" si="20"/>
        <v>0</v>
      </c>
      <c r="U48" s="96">
        <f t="shared" si="7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2">SUM(E50:P50)</f>
        <v>0</v>
      </c>
      <c r="R50" s="89" t="e">
        <f t="shared" si="1"/>
        <v>#DIV/0!</v>
      </c>
      <c r="S50" s="15"/>
      <c r="T50" s="62">
        <f t="shared" si="20"/>
        <v>0</v>
      </c>
      <c r="U50" s="62">
        <f t="shared" si="7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2"/>
        <v>0</v>
      </c>
      <c r="R51" s="89" t="e">
        <f t="shared" si="1"/>
        <v>#DIV/0!</v>
      </c>
      <c r="S51" s="15"/>
      <c r="T51" s="62">
        <f t="shared" si="20"/>
        <v>0</v>
      </c>
      <c r="U51" s="62">
        <f t="shared" si="7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2"/>
        <v>0</v>
      </c>
      <c r="R52" s="89" t="e">
        <f t="shared" si="1"/>
        <v>#DIV/0!</v>
      </c>
      <c r="S52" s="15"/>
      <c r="T52" s="62">
        <f t="shared" si="20"/>
        <v>0</v>
      </c>
      <c r="U52" s="62">
        <f t="shared" si="7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2"/>
        <v>0</v>
      </c>
      <c r="R53" s="89" t="e">
        <f t="shared" si="1"/>
        <v>#DIV/0!</v>
      </c>
      <c r="S53" s="15"/>
      <c r="T53" s="62">
        <f t="shared" si="20"/>
        <v>0</v>
      </c>
      <c r="U53" s="62">
        <f t="shared" si="7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2"/>
        <v>0</v>
      </c>
      <c r="R54" s="89" t="e">
        <f t="shared" si="1"/>
        <v>#DIV/0!</v>
      </c>
      <c r="S54" s="15"/>
      <c r="T54" s="62">
        <f t="shared" si="20"/>
        <v>0</v>
      </c>
      <c r="U54" s="62">
        <f t="shared" si="7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2"/>
        <v>0</v>
      </c>
      <c r="R55" s="89" t="e">
        <f t="shared" si="1"/>
        <v>#DIV/0!</v>
      </c>
      <c r="S55" s="15"/>
      <c r="T55" s="62">
        <f t="shared" si="20"/>
        <v>0</v>
      </c>
      <c r="U55" s="62">
        <f t="shared" si="7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ref="Q56:Q57" si="23">SUM(E56:P56)</f>
        <v>0</v>
      </c>
      <c r="R56" s="89" t="e">
        <f t="shared" si="1"/>
        <v>#DIV/0!</v>
      </c>
      <c r="S56" s="15"/>
      <c r="T56" s="62">
        <f t="shared" si="20"/>
        <v>0</v>
      </c>
      <c r="U56" s="62">
        <f t="shared" si="7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3"/>
        <v>0</v>
      </c>
      <c r="R57" s="89" t="e">
        <f t="shared" si="1"/>
        <v>#DIV/0!</v>
      </c>
      <c r="S57" s="15"/>
      <c r="T57" s="62">
        <f t="shared" si="20"/>
        <v>0</v>
      </c>
      <c r="U57" s="62">
        <f t="shared" si="7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2"/>
        <v>0</v>
      </c>
      <c r="R58" s="89" t="e">
        <f t="shared" si="1"/>
        <v>#DIV/0!</v>
      </c>
      <c r="S58" s="15"/>
      <c r="T58" s="62">
        <f t="shared" si="20"/>
        <v>0</v>
      </c>
      <c r="U58" s="62">
        <f t="shared" si="7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2"/>
        <v>0</v>
      </c>
      <c r="R59" s="89" t="e">
        <f t="shared" si="1"/>
        <v>#DIV/0!</v>
      </c>
      <c r="S59" s="15"/>
      <c r="T59" s="62">
        <f t="shared" si="20"/>
        <v>0</v>
      </c>
      <c r="U59" s="62">
        <f t="shared" si="7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2"/>
        <v>0</v>
      </c>
      <c r="R60" s="89" t="e">
        <f t="shared" si="1"/>
        <v>#DIV/0!</v>
      </c>
      <c r="S60" s="15"/>
      <c r="T60" s="62">
        <f t="shared" si="20"/>
        <v>0</v>
      </c>
      <c r="U60" s="62">
        <f t="shared" si="7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2"/>
        <v>0</v>
      </c>
      <c r="R61" s="89" t="e">
        <f t="shared" si="1"/>
        <v>#DIV/0!</v>
      </c>
      <c r="S61" s="15"/>
      <c r="T61" s="62">
        <f t="shared" si="20"/>
        <v>0</v>
      </c>
      <c r="U61" s="62">
        <f t="shared" si="7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4">SUM(C50:C61)</f>
        <v>0</v>
      </c>
      <c r="D62" s="92">
        <f t="shared" si="24"/>
        <v>0</v>
      </c>
      <c r="E62" s="93">
        <f>SUM(E50:E61)</f>
        <v>0</v>
      </c>
      <c r="F62" s="93">
        <f t="shared" ref="F62:Q62" si="25">SUM(F50:F61)</f>
        <v>0</v>
      </c>
      <c r="G62" s="93">
        <f t="shared" si="25"/>
        <v>0</v>
      </c>
      <c r="H62" s="93">
        <f t="shared" si="25"/>
        <v>0</v>
      </c>
      <c r="I62" s="93">
        <f t="shared" si="25"/>
        <v>0</v>
      </c>
      <c r="J62" s="93">
        <f t="shared" si="25"/>
        <v>0</v>
      </c>
      <c r="K62" s="93">
        <f t="shared" si="25"/>
        <v>0</v>
      </c>
      <c r="L62" s="93">
        <f t="shared" si="25"/>
        <v>0</v>
      </c>
      <c r="M62" s="93">
        <f t="shared" si="25"/>
        <v>0</v>
      </c>
      <c r="N62" s="93">
        <f t="shared" si="25"/>
        <v>0</v>
      </c>
      <c r="O62" s="93">
        <f t="shared" si="25"/>
        <v>0</v>
      </c>
      <c r="P62" s="93">
        <f t="shared" si="25"/>
        <v>0</v>
      </c>
      <c r="Q62" s="93">
        <f t="shared" si="25"/>
        <v>0</v>
      </c>
      <c r="R62" s="94">
        <f t="shared" si="1"/>
        <v>0</v>
      </c>
      <c r="T62" s="96">
        <f t="shared" si="20"/>
        <v>0</v>
      </c>
      <c r="U62" s="96">
        <f t="shared" si="7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20"/>
        <v>0</v>
      </c>
      <c r="U64" s="62">
        <f t="shared" si="7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20"/>
        <v>0</v>
      </c>
      <c r="U65" s="62">
        <f t="shared" si="7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20"/>
        <v>0</v>
      </c>
      <c r="U66" s="62">
        <f t="shared" si="7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6">SUM(E67:P67)</f>
        <v>0</v>
      </c>
      <c r="R67" s="89" t="e">
        <f t="shared" si="1"/>
        <v>#DIV/0!</v>
      </c>
      <c r="S67" s="15"/>
      <c r="T67" s="62">
        <f t="shared" si="20"/>
        <v>0</v>
      </c>
      <c r="U67" s="62">
        <f t="shared" si="7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6"/>
        <v>0</v>
      </c>
      <c r="R68" s="89" t="e">
        <f t="shared" si="1"/>
        <v>#DIV/0!</v>
      </c>
      <c r="S68" s="15"/>
      <c r="T68" s="62">
        <f t="shared" si="20"/>
        <v>0</v>
      </c>
      <c r="U68" s="62">
        <f t="shared" si="7"/>
        <v>0</v>
      </c>
    </row>
    <row r="69" spans="1:21" ht="23.25" x14ac:dyDescent="0.25">
      <c r="A69" s="25"/>
      <c r="B69" s="15" t="s">
        <v>84</v>
      </c>
      <c r="C69" s="56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6"/>
        <v>0</v>
      </c>
      <c r="R69" s="89" t="e">
        <f t="shared" si="1"/>
        <v>#DIV/0!</v>
      </c>
      <c r="S69" s="15"/>
      <c r="T69" s="62">
        <f t="shared" si="20"/>
        <v>0</v>
      </c>
      <c r="U69" s="62">
        <f t="shared" si="7"/>
        <v>0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6"/>
        <v>0</v>
      </c>
      <c r="R70" s="89" t="e">
        <f t="shared" si="1"/>
        <v>#DIV/0!</v>
      </c>
      <c r="S70" s="15"/>
      <c r="T70" s="62">
        <f t="shared" si="20"/>
        <v>0</v>
      </c>
      <c r="U70" s="62">
        <f t="shared" si="7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6"/>
        <v>0</v>
      </c>
      <c r="R71" s="89" t="e">
        <f t="shared" si="1"/>
        <v>#DIV/0!</v>
      </c>
      <c r="S71" s="15"/>
      <c r="T71" s="62">
        <f t="shared" si="20"/>
        <v>0</v>
      </c>
      <c r="U71" s="62">
        <f t="shared" si="7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6"/>
        <v>0</v>
      </c>
      <c r="R72" s="89" t="e">
        <f t="shared" si="1"/>
        <v>#DIV/0!</v>
      </c>
      <c r="S72" s="15"/>
      <c r="T72" s="62">
        <f t="shared" si="20"/>
        <v>0</v>
      </c>
      <c r="U72" s="62">
        <f t="shared" si="7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7">SUM(C64:C72)</f>
        <v>0</v>
      </c>
      <c r="D73" s="92">
        <f t="shared" si="27"/>
        <v>0</v>
      </c>
      <c r="E73" s="93">
        <f t="shared" si="27"/>
        <v>0</v>
      </c>
      <c r="F73" s="93">
        <f t="shared" si="27"/>
        <v>0</v>
      </c>
      <c r="G73" s="93">
        <f t="shared" si="27"/>
        <v>0</v>
      </c>
      <c r="H73" s="93">
        <f t="shared" si="27"/>
        <v>0</v>
      </c>
      <c r="I73" s="93">
        <f t="shared" si="27"/>
        <v>0</v>
      </c>
      <c r="J73" s="93">
        <f t="shared" si="27"/>
        <v>0</v>
      </c>
      <c r="K73" s="93">
        <f t="shared" si="27"/>
        <v>0</v>
      </c>
      <c r="L73" s="93">
        <f t="shared" si="27"/>
        <v>0</v>
      </c>
      <c r="M73" s="93">
        <f t="shared" si="27"/>
        <v>0</v>
      </c>
      <c r="N73" s="93">
        <f t="shared" si="27"/>
        <v>0</v>
      </c>
      <c r="O73" s="93">
        <f t="shared" si="27"/>
        <v>0</v>
      </c>
      <c r="P73" s="93">
        <f t="shared" si="27"/>
        <v>0</v>
      </c>
      <c r="Q73" s="93">
        <f t="shared" si="27"/>
        <v>0</v>
      </c>
      <c r="R73" s="94">
        <f t="shared" si="1"/>
        <v>0</v>
      </c>
      <c r="T73" s="96">
        <f t="shared" si="20"/>
        <v>0</v>
      </c>
      <c r="U73" s="96">
        <f t="shared" si="7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20"/>
        <v>0</v>
      </c>
      <c r="U75" s="62">
        <f t="shared" si="7"/>
        <v>0</v>
      </c>
    </row>
    <row r="76" spans="1:21" x14ac:dyDescent="0.25">
      <c r="A76" s="63" t="s">
        <v>91</v>
      </c>
      <c r="B76" s="15"/>
      <c r="C76" s="91">
        <f t="shared" ref="C76:D76" si="28">SUM(C75)</f>
        <v>0</v>
      </c>
      <c r="D76" s="92">
        <f t="shared" si="28"/>
        <v>0</v>
      </c>
      <c r="E76" s="93">
        <f>SUM(E75)</f>
        <v>0</v>
      </c>
      <c r="F76" s="93">
        <f t="shared" ref="F76:Q76" si="29">SUM(F75)</f>
        <v>0</v>
      </c>
      <c r="G76" s="93">
        <f t="shared" si="29"/>
        <v>0</v>
      </c>
      <c r="H76" s="93">
        <f t="shared" si="29"/>
        <v>0</v>
      </c>
      <c r="I76" s="93">
        <v>0</v>
      </c>
      <c r="J76" s="93">
        <v>0</v>
      </c>
      <c r="K76" s="93">
        <f t="shared" si="29"/>
        <v>0</v>
      </c>
      <c r="L76" s="93">
        <f t="shared" si="29"/>
        <v>0</v>
      </c>
      <c r="M76" s="93">
        <f t="shared" si="29"/>
        <v>0</v>
      </c>
      <c r="N76" s="93">
        <f t="shared" si="29"/>
        <v>0</v>
      </c>
      <c r="O76" s="93">
        <f t="shared" si="29"/>
        <v>0</v>
      </c>
      <c r="P76" s="93">
        <f t="shared" si="29"/>
        <v>0</v>
      </c>
      <c r="Q76" s="93">
        <f t="shared" si="29"/>
        <v>0</v>
      </c>
      <c r="R76" s="94">
        <f t="shared" si="1"/>
        <v>0</v>
      </c>
      <c r="T76" s="96">
        <f t="shared" si="20"/>
        <v>0</v>
      </c>
      <c r="U76" s="96">
        <f t="shared" si="7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/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20"/>
        <v>0</v>
      </c>
      <c r="U78" s="62">
        <f t="shared" si="7"/>
        <v>0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>AVERAGE(E79:P79)</f>
        <v>#DIV/0!</v>
      </c>
      <c r="S79" s="15"/>
      <c r="T79" s="62">
        <f t="shared" si="20"/>
        <v>0</v>
      </c>
      <c r="U79" s="62">
        <f t="shared" si="7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20"/>
        <v>0</v>
      </c>
      <c r="U80" s="62">
        <f t="shared" si="7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20"/>
        <v>0</v>
      </c>
      <c r="U81" s="62">
        <f t="shared" si="7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30">SUM(C78:C81)</f>
        <v>0</v>
      </c>
      <c r="D82" s="92">
        <f t="shared" si="30"/>
        <v>0</v>
      </c>
      <c r="E82" s="93">
        <f>SUM(E78:E81)</f>
        <v>0</v>
      </c>
      <c r="F82" s="93">
        <f t="shared" ref="F82:Q82" si="31">SUM(F78:F81)</f>
        <v>0</v>
      </c>
      <c r="G82" s="93">
        <f t="shared" si="31"/>
        <v>0</v>
      </c>
      <c r="H82" s="93">
        <f t="shared" si="31"/>
        <v>0</v>
      </c>
      <c r="I82" s="93">
        <f t="shared" si="31"/>
        <v>0</v>
      </c>
      <c r="J82" s="93">
        <f t="shared" si="31"/>
        <v>0</v>
      </c>
      <c r="K82" s="93">
        <f t="shared" si="31"/>
        <v>0</v>
      </c>
      <c r="L82" s="93">
        <f t="shared" si="31"/>
        <v>0</v>
      </c>
      <c r="M82" s="93">
        <f t="shared" si="31"/>
        <v>0</v>
      </c>
      <c r="N82" s="93">
        <f t="shared" si="31"/>
        <v>0</v>
      </c>
      <c r="O82" s="93">
        <f t="shared" si="31"/>
        <v>0</v>
      </c>
      <c r="P82" s="93">
        <f t="shared" si="31"/>
        <v>0</v>
      </c>
      <c r="Q82" s="93">
        <f t="shared" si="31"/>
        <v>0</v>
      </c>
      <c r="R82" s="94">
        <f t="shared" si="1"/>
        <v>0</v>
      </c>
      <c r="T82" s="96">
        <f t="shared" si="20"/>
        <v>0</v>
      </c>
      <c r="U82" s="96">
        <f t="shared" si="7"/>
        <v>0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>
        <f>108.08/10*12</f>
        <v>129.696</v>
      </c>
      <c r="D84" s="57">
        <f>C84/12</f>
        <v>10.808</v>
      </c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2">SUM(E84:P84)</f>
        <v>0</v>
      </c>
      <c r="R84" s="89" t="e">
        <f t="shared" si="1"/>
        <v>#DIV/0!</v>
      </c>
      <c r="S84" s="15"/>
      <c r="T84" s="62">
        <f t="shared" si="20"/>
        <v>0</v>
      </c>
      <c r="U84" s="62">
        <f t="shared" si="7"/>
        <v>-1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2"/>
        <v>0</v>
      </c>
      <c r="R85" s="89" t="e">
        <f t="shared" si="1"/>
        <v>#DIV/0!</v>
      </c>
      <c r="S85" s="15"/>
      <c r="T85" s="62">
        <f t="shared" si="20"/>
        <v>0</v>
      </c>
      <c r="U85" s="62">
        <f t="shared" si="7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2"/>
        <v>0</v>
      </c>
      <c r="R86" s="89" t="e">
        <f t="shared" si="1"/>
        <v>#DIV/0!</v>
      </c>
      <c r="S86" s="15"/>
      <c r="T86" s="62">
        <f t="shared" si="20"/>
        <v>0</v>
      </c>
      <c r="U86" s="62">
        <f t="shared" si="7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2"/>
        <v>0</v>
      </c>
      <c r="R87" s="89" t="e">
        <f t="shared" si="1"/>
        <v>#DIV/0!</v>
      </c>
      <c r="S87" s="15"/>
      <c r="T87" s="62">
        <f t="shared" si="20"/>
        <v>0</v>
      </c>
      <c r="U87" s="62">
        <f t="shared" si="7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2"/>
        <v>0</v>
      </c>
      <c r="R88" s="89" t="e">
        <f t="shared" ref="R88:R130" si="33">AVERAGE(E88:P88)</f>
        <v>#DIV/0!</v>
      </c>
      <c r="S88" s="15"/>
      <c r="T88" s="62">
        <f t="shared" si="20"/>
        <v>0</v>
      </c>
      <c r="U88" s="62">
        <f t="shared" si="7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2"/>
        <v>0</v>
      </c>
      <c r="R89" s="89" t="e">
        <f t="shared" si="33"/>
        <v>#DIV/0!</v>
      </c>
      <c r="S89" s="15"/>
      <c r="T89" s="62">
        <f t="shared" si="20"/>
        <v>0</v>
      </c>
      <c r="U89" s="62">
        <f t="shared" ref="U89:U137" si="34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5">SUM(C84:C89)</f>
        <v>129.696</v>
      </c>
      <c r="D90" s="92">
        <f t="shared" si="35"/>
        <v>10.808</v>
      </c>
      <c r="E90" s="93">
        <f t="shared" ref="E90:Q90" si="36">SUM(E84:E89)</f>
        <v>0</v>
      </c>
      <c r="F90" s="93">
        <f t="shared" si="36"/>
        <v>0</v>
      </c>
      <c r="G90" s="93">
        <f t="shared" si="36"/>
        <v>0</v>
      </c>
      <c r="H90" s="93">
        <f t="shared" si="36"/>
        <v>0</v>
      </c>
      <c r="I90" s="93">
        <f t="shared" si="36"/>
        <v>0</v>
      </c>
      <c r="J90" s="93">
        <f t="shared" si="36"/>
        <v>0</v>
      </c>
      <c r="K90" s="93">
        <f t="shared" si="36"/>
        <v>0</v>
      </c>
      <c r="L90" s="93">
        <f t="shared" si="36"/>
        <v>0</v>
      </c>
      <c r="M90" s="93">
        <f t="shared" si="36"/>
        <v>0</v>
      </c>
      <c r="N90" s="93">
        <f t="shared" si="36"/>
        <v>0</v>
      </c>
      <c r="O90" s="93">
        <f t="shared" si="36"/>
        <v>0</v>
      </c>
      <c r="P90" s="93">
        <f t="shared" si="36"/>
        <v>0</v>
      </c>
      <c r="Q90" s="93">
        <f t="shared" si="36"/>
        <v>0</v>
      </c>
      <c r="R90" s="94">
        <f>AVERAGE(E90:P90)</f>
        <v>0</v>
      </c>
      <c r="T90" s="96">
        <f t="shared" si="20"/>
        <v>0</v>
      </c>
      <c r="U90" s="96">
        <f t="shared" si="34"/>
        <v>-1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20"/>
        <v>0</v>
      </c>
      <c r="U92" s="62">
        <f t="shared" si="34"/>
        <v>0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3"/>
        <v>#DIV/0!</v>
      </c>
      <c r="S93" s="15"/>
      <c r="T93" s="62">
        <f t="shared" si="20"/>
        <v>0</v>
      </c>
      <c r="U93" s="62">
        <f t="shared" si="34"/>
        <v>0</v>
      </c>
    </row>
    <row r="94" spans="1:21" x14ac:dyDescent="0.25">
      <c r="A94" s="25"/>
      <c r="B94" s="15" t="s">
        <v>109</v>
      </c>
      <c r="C94" s="56"/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3"/>
        <v>#DIV/0!</v>
      </c>
      <c r="S94" s="15"/>
      <c r="T94" s="62">
        <f t="shared" si="20"/>
        <v>0</v>
      </c>
      <c r="U94" s="62">
        <f t="shared" si="34"/>
        <v>0</v>
      </c>
    </row>
    <row r="95" spans="1:21" x14ac:dyDescent="0.25">
      <c r="A95" s="63" t="s">
        <v>110</v>
      </c>
      <c r="B95" s="15"/>
      <c r="C95" s="91">
        <f t="shared" ref="C95:Q95" si="37">SUM(C92:C94)</f>
        <v>0</v>
      </c>
      <c r="D95" s="92">
        <f t="shared" si="37"/>
        <v>0</v>
      </c>
      <c r="E95" s="93">
        <f t="shared" si="37"/>
        <v>0</v>
      </c>
      <c r="F95" s="93">
        <f t="shared" si="37"/>
        <v>0</v>
      </c>
      <c r="G95" s="93">
        <f t="shared" si="37"/>
        <v>0</v>
      </c>
      <c r="H95" s="93">
        <f t="shared" si="37"/>
        <v>0</v>
      </c>
      <c r="I95" s="93">
        <f t="shared" si="37"/>
        <v>0</v>
      </c>
      <c r="J95" s="93">
        <f t="shared" si="37"/>
        <v>0</v>
      </c>
      <c r="K95" s="93">
        <f t="shared" si="37"/>
        <v>0</v>
      </c>
      <c r="L95" s="93">
        <f t="shared" si="37"/>
        <v>0</v>
      </c>
      <c r="M95" s="93">
        <f t="shared" si="37"/>
        <v>0</v>
      </c>
      <c r="N95" s="93">
        <f t="shared" si="37"/>
        <v>0</v>
      </c>
      <c r="O95" s="93">
        <f t="shared" si="37"/>
        <v>0</v>
      </c>
      <c r="P95" s="93">
        <f t="shared" si="37"/>
        <v>0</v>
      </c>
      <c r="Q95" s="93">
        <f t="shared" si="37"/>
        <v>0</v>
      </c>
      <c r="R95" s="94">
        <f t="shared" si="33"/>
        <v>0</v>
      </c>
      <c r="T95" s="96">
        <f t="shared" si="20"/>
        <v>0</v>
      </c>
      <c r="U95" s="96">
        <f t="shared" si="34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19" si="38">SUM(E97:P97)</f>
        <v>0</v>
      </c>
      <c r="R97" s="89" t="e">
        <f t="shared" si="33"/>
        <v>#DIV/0!</v>
      </c>
      <c r="S97" s="15"/>
      <c r="T97" s="62">
        <f t="shared" si="20"/>
        <v>0</v>
      </c>
      <c r="U97" s="62">
        <f t="shared" si="34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8"/>
        <v>0</v>
      </c>
      <c r="R98" s="89" t="e">
        <f t="shared" si="33"/>
        <v>#DIV/0!</v>
      </c>
      <c r="S98" s="15"/>
      <c r="T98" s="62">
        <f t="shared" si="20"/>
        <v>0</v>
      </c>
      <c r="U98" s="62">
        <f t="shared" si="34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8"/>
        <v>0</v>
      </c>
      <c r="R99" s="89" t="e">
        <f t="shared" si="33"/>
        <v>#DIV/0!</v>
      </c>
      <c r="S99" s="15"/>
      <c r="T99" s="62">
        <f t="shared" si="20"/>
        <v>0</v>
      </c>
      <c r="U99" s="62">
        <f t="shared" si="34"/>
        <v>0</v>
      </c>
    </row>
    <row r="100" spans="1:21" x14ac:dyDescent="0.25">
      <c r="A100" s="25"/>
      <c r="B100" s="15" t="s">
        <v>115</v>
      </c>
      <c r="C100" s="56"/>
      <c r="D100" s="57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38"/>
        <v>0</v>
      </c>
      <c r="R100" s="89" t="e">
        <f t="shared" si="33"/>
        <v>#DIV/0!</v>
      </c>
      <c r="S100" s="15"/>
      <c r="T100" s="62">
        <f t="shared" si="20"/>
        <v>0</v>
      </c>
      <c r="U100" s="62">
        <f t="shared" si="34"/>
        <v>0</v>
      </c>
    </row>
    <row r="101" spans="1:21" x14ac:dyDescent="0.25">
      <c r="A101" s="25"/>
      <c r="B101" s="15" t="s">
        <v>116</v>
      </c>
      <c r="C101" s="56">
        <f>400/10*12</f>
        <v>480</v>
      </c>
      <c r="D101" s="57">
        <f>C101*12</f>
        <v>5760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8"/>
        <v>0</v>
      </c>
      <c r="R101" s="89" t="e">
        <f t="shared" si="33"/>
        <v>#DIV/0!</v>
      </c>
      <c r="S101" s="15"/>
      <c r="T101" s="62">
        <f t="shared" si="20"/>
        <v>0</v>
      </c>
      <c r="U101" s="62">
        <f t="shared" si="34"/>
        <v>-1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8"/>
        <v>0</v>
      </c>
      <c r="R102" s="89" t="e">
        <f t="shared" si="33"/>
        <v>#DIV/0!</v>
      </c>
      <c r="S102" s="15"/>
      <c r="T102" s="62">
        <f t="shared" si="20"/>
        <v>0</v>
      </c>
      <c r="U102" s="62">
        <f t="shared" si="34"/>
        <v>0</v>
      </c>
    </row>
    <row r="103" spans="1:21" ht="23.25" x14ac:dyDescent="0.25">
      <c r="A103" s="25"/>
      <c r="B103" s="15" t="s">
        <v>118</v>
      </c>
      <c r="C103" s="56"/>
      <c r="D103" s="57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8"/>
        <v>0</v>
      </c>
      <c r="R103" s="89" t="e">
        <f t="shared" si="33"/>
        <v>#DIV/0!</v>
      </c>
      <c r="S103" s="15"/>
      <c r="T103" s="62">
        <f t="shared" ref="T103:T135" si="39">Q103/$Q$34</f>
        <v>0</v>
      </c>
      <c r="U103" s="62">
        <f t="shared" si="34"/>
        <v>0</v>
      </c>
    </row>
    <row r="104" spans="1:21" x14ac:dyDescent="0.25">
      <c r="A104" s="25"/>
      <c r="B104" s="15" t="s">
        <v>119</v>
      </c>
      <c r="C104" s="56">
        <v>5886.05</v>
      </c>
      <c r="D104" s="57">
        <f>C104/7</f>
        <v>840.86428571428576</v>
      </c>
      <c r="E104" s="58">
        <f>(50*(E7+E8))+(25*(E9+E10))+(10*(E11+E12))+(15*E13)</f>
        <v>325</v>
      </c>
      <c r="F104" s="58">
        <f t="shared" ref="F104:P104" si="40">(50*(F7+F8))+(25*(F9+F10))+(10*(F11+F12))+(15*F13)</f>
        <v>325</v>
      </c>
      <c r="G104" s="58">
        <f t="shared" si="40"/>
        <v>325</v>
      </c>
      <c r="H104" s="58">
        <f t="shared" si="40"/>
        <v>325</v>
      </c>
      <c r="I104" s="58">
        <f t="shared" si="40"/>
        <v>325</v>
      </c>
      <c r="J104" s="58">
        <f t="shared" si="40"/>
        <v>325</v>
      </c>
      <c r="K104" s="58">
        <f t="shared" si="40"/>
        <v>375</v>
      </c>
      <c r="L104" s="58">
        <f>(50*(L7+L8))+(25*(L9+L10))+(10*(L11+L12))+(15*L13)</f>
        <v>375</v>
      </c>
      <c r="M104" s="58">
        <f t="shared" si="40"/>
        <v>375</v>
      </c>
      <c r="N104" s="58">
        <f t="shared" si="40"/>
        <v>375</v>
      </c>
      <c r="O104" s="58">
        <f t="shared" si="40"/>
        <v>375</v>
      </c>
      <c r="P104" s="58">
        <f t="shared" si="40"/>
        <v>375</v>
      </c>
      <c r="Q104" s="58">
        <f t="shared" si="38"/>
        <v>4200</v>
      </c>
      <c r="R104" s="89">
        <f t="shared" si="33"/>
        <v>350</v>
      </c>
      <c r="S104" s="15"/>
      <c r="T104" s="62">
        <f t="shared" si="39"/>
        <v>2.6251443829410605E-2</v>
      </c>
      <c r="U104" s="62">
        <f t="shared" si="34"/>
        <v>-0.28644846713840355</v>
      </c>
    </row>
    <row r="105" spans="1:21" x14ac:dyDescent="0.25">
      <c r="A105" s="25"/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8"/>
        <v>0</v>
      </c>
      <c r="R105" s="89" t="e">
        <f t="shared" si="33"/>
        <v>#DIV/0!</v>
      </c>
      <c r="S105" s="15"/>
      <c r="T105" s="62">
        <f t="shared" si="39"/>
        <v>0</v>
      </c>
      <c r="U105" s="62">
        <f t="shared" si="34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38"/>
        <v>0</v>
      </c>
      <c r="R106" s="89" t="e">
        <f t="shared" si="33"/>
        <v>#DIV/0!</v>
      </c>
      <c r="S106" s="15"/>
      <c r="T106" s="62">
        <f t="shared" si="39"/>
        <v>0</v>
      </c>
      <c r="U106" s="62">
        <f t="shared" si="34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38"/>
        <v>0</v>
      </c>
      <c r="R107" s="89" t="e">
        <f t="shared" si="33"/>
        <v>#DIV/0!</v>
      </c>
      <c r="S107" s="15"/>
      <c r="T107" s="62">
        <f t="shared" si="39"/>
        <v>0</v>
      </c>
      <c r="U107" s="62">
        <f t="shared" si="34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38"/>
        <v>0</v>
      </c>
      <c r="R108" s="89" t="e">
        <f t="shared" si="33"/>
        <v>#DIV/0!</v>
      </c>
      <c r="S108" s="15"/>
      <c r="T108" s="62">
        <f t="shared" si="39"/>
        <v>0</v>
      </c>
      <c r="U108" s="62">
        <f t="shared" si="34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38"/>
        <v>0</v>
      </c>
      <c r="R109" s="89" t="e">
        <f t="shared" si="33"/>
        <v>#DIV/0!</v>
      </c>
      <c r="S109" s="15"/>
      <c r="T109" s="62">
        <f t="shared" si="39"/>
        <v>0</v>
      </c>
      <c r="U109" s="62">
        <f t="shared" si="34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38"/>
        <v>0</v>
      </c>
      <c r="R110" s="89" t="e">
        <f t="shared" si="33"/>
        <v>#DIV/0!</v>
      </c>
      <c r="S110" s="15"/>
      <c r="T110" s="62">
        <f t="shared" si="39"/>
        <v>0</v>
      </c>
      <c r="U110" s="62">
        <f t="shared" si="34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38"/>
        <v>0</v>
      </c>
      <c r="R111" s="89" t="e">
        <f t="shared" si="33"/>
        <v>#DIV/0!</v>
      </c>
      <c r="S111" s="15"/>
      <c r="T111" s="62">
        <f t="shared" si="39"/>
        <v>0</v>
      </c>
      <c r="U111" s="62">
        <f t="shared" si="34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38"/>
        <v>0</v>
      </c>
      <c r="R112" s="89" t="e">
        <f t="shared" si="33"/>
        <v>#DIV/0!</v>
      </c>
      <c r="S112" s="15"/>
      <c r="T112" s="62">
        <f t="shared" si="39"/>
        <v>0</v>
      </c>
      <c r="U112" s="62">
        <f t="shared" si="34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38"/>
        <v>0</v>
      </c>
      <c r="R113" s="89" t="e">
        <f t="shared" si="33"/>
        <v>#DIV/0!</v>
      </c>
      <c r="S113" s="15"/>
      <c r="T113" s="62">
        <f t="shared" si="39"/>
        <v>0</v>
      </c>
      <c r="U113" s="62">
        <f t="shared" si="34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>SUM(E114:P114)</f>
        <v>0</v>
      </c>
      <c r="R114" s="89" t="e">
        <f>AVERAGE(E114:P114)</f>
        <v>#DIV/0!</v>
      </c>
      <c r="S114" s="15"/>
      <c r="T114" s="62">
        <f t="shared" si="39"/>
        <v>0</v>
      </c>
      <c r="U114" s="62">
        <f t="shared" si="34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8"/>
        <v>0</v>
      </c>
      <c r="R115" s="89" t="e">
        <f t="shared" si="33"/>
        <v>#DIV/0!</v>
      </c>
      <c r="S115" s="15"/>
      <c r="T115" s="62">
        <f t="shared" si="39"/>
        <v>0</v>
      </c>
      <c r="U115" s="62">
        <f t="shared" si="34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8"/>
        <v>0</v>
      </c>
      <c r="R116" s="89" t="e">
        <f t="shared" si="33"/>
        <v>#DIV/0!</v>
      </c>
      <c r="S116" s="15"/>
      <c r="T116" s="62">
        <f t="shared" si="39"/>
        <v>0</v>
      </c>
      <c r="U116" s="62">
        <f t="shared" si="34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8"/>
        <v>0</v>
      </c>
      <c r="R117" s="89" t="e">
        <f t="shared" si="33"/>
        <v>#DIV/0!</v>
      </c>
      <c r="S117" s="15"/>
      <c r="T117" s="62">
        <f t="shared" si="39"/>
        <v>0</v>
      </c>
      <c r="U117" s="62">
        <f t="shared" si="34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8"/>
        <v>0</v>
      </c>
      <c r="R118" s="89" t="e">
        <f t="shared" si="33"/>
        <v>#DIV/0!</v>
      </c>
      <c r="S118" s="15"/>
      <c r="T118" s="62">
        <f t="shared" si="39"/>
        <v>0</v>
      </c>
      <c r="U118" s="62">
        <f t="shared" si="34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38"/>
        <v>0</v>
      </c>
      <c r="R119" s="89" t="e">
        <f t="shared" si="33"/>
        <v>#DIV/0!</v>
      </c>
      <c r="S119" s="15"/>
      <c r="T119" s="62">
        <f t="shared" si="39"/>
        <v>0</v>
      </c>
      <c r="U119" s="62">
        <f t="shared" si="34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>SUM(E120:P120)</f>
        <v>0</v>
      </c>
      <c r="R120" s="89" t="e">
        <f>AVERAGE(E120:P120)</f>
        <v>#DIV/0!</v>
      </c>
      <c r="S120" s="15"/>
      <c r="T120" s="62">
        <f t="shared" si="39"/>
        <v>0</v>
      </c>
      <c r="U120" s="62">
        <f t="shared" si="34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41">SUM(C97:C120)</f>
        <v>6366.05</v>
      </c>
      <c r="D121" s="92">
        <f t="shared" si="41"/>
        <v>6600.8642857142859</v>
      </c>
      <c r="E121" s="93">
        <f t="shared" si="41"/>
        <v>325</v>
      </c>
      <c r="F121" s="93">
        <f t="shared" si="41"/>
        <v>325</v>
      </c>
      <c r="G121" s="93">
        <f t="shared" si="41"/>
        <v>325</v>
      </c>
      <c r="H121" s="93">
        <f t="shared" si="41"/>
        <v>325</v>
      </c>
      <c r="I121" s="93">
        <f t="shared" si="41"/>
        <v>325</v>
      </c>
      <c r="J121" s="93">
        <f t="shared" si="41"/>
        <v>325</v>
      </c>
      <c r="K121" s="93">
        <f t="shared" si="41"/>
        <v>375</v>
      </c>
      <c r="L121" s="93">
        <f t="shared" si="41"/>
        <v>375</v>
      </c>
      <c r="M121" s="93">
        <f t="shared" si="41"/>
        <v>375</v>
      </c>
      <c r="N121" s="93">
        <f t="shared" si="41"/>
        <v>375</v>
      </c>
      <c r="O121" s="93">
        <f t="shared" si="41"/>
        <v>375</v>
      </c>
      <c r="P121" s="93">
        <f t="shared" si="41"/>
        <v>375</v>
      </c>
      <c r="Q121" s="93">
        <f t="shared" si="41"/>
        <v>4200</v>
      </c>
      <c r="R121" s="94">
        <f>AVERAGE(E121:P121)</f>
        <v>350</v>
      </c>
      <c r="T121" s="96">
        <f t="shared" si="39"/>
        <v>2.6251443829410605E-2</v>
      </c>
      <c r="U121" s="96">
        <f t="shared" si="34"/>
        <v>-0.34025023366137558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>SUM(E123:P123)</f>
        <v>0</v>
      </c>
      <c r="R123" s="89" t="e">
        <f t="shared" si="33"/>
        <v>#DIV/0!</v>
      </c>
      <c r="S123" s="15"/>
      <c r="T123" s="62">
        <f t="shared" si="39"/>
        <v>0</v>
      </c>
      <c r="U123" s="62">
        <f t="shared" si="34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2">SUM(C123:C123)</f>
        <v>0</v>
      </c>
      <c r="D124" s="92">
        <f t="shared" si="42"/>
        <v>0</v>
      </c>
      <c r="E124" s="93">
        <f t="shared" si="42"/>
        <v>0</v>
      </c>
      <c r="F124" s="93">
        <f t="shared" si="42"/>
        <v>0</v>
      </c>
      <c r="G124" s="93">
        <f t="shared" si="42"/>
        <v>0</v>
      </c>
      <c r="H124" s="93">
        <f t="shared" si="42"/>
        <v>0</v>
      </c>
      <c r="I124" s="93">
        <f t="shared" si="42"/>
        <v>0</v>
      </c>
      <c r="J124" s="93">
        <f t="shared" si="42"/>
        <v>0</v>
      </c>
      <c r="K124" s="93">
        <f t="shared" si="42"/>
        <v>0</v>
      </c>
      <c r="L124" s="93">
        <f t="shared" si="42"/>
        <v>0</v>
      </c>
      <c r="M124" s="93">
        <f t="shared" si="42"/>
        <v>0</v>
      </c>
      <c r="N124" s="93">
        <f t="shared" si="42"/>
        <v>0</v>
      </c>
      <c r="O124" s="93">
        <f t="shared" si="42"/>
        <v>0</v>
      </c>
      <c r="P124" s="93">
        <f t="shared" si="42"/>
        <v>0</v>
      </c>
      <c r="Q124" s="93">
        <f t="shared" si="42"/>
        <v>0</v>
      </c>
      <c r="R124" s="94">
        <f t="shared" si="33"/>
        <v>0</v>
      </c>
      <c r="T124" s="96">
        <f t="shared" si="39"/>
        <v>0</v>
      </c>
      <c r="U124" s="96">
        <f t="shared" si="34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f>3000/10*12</f>
        <v>3600</v>
      </c>
      <c r="D126" s="57">
        <f>C126/12</f>
        <v>300</v>
      </c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3"/>
        <v>#DIV/0!</v>
      </c>
      <c r="S126" s="15"/>
      <c r="T126" s="62">
        <f t="shared" si="39"/>
        <v>0</v>
      </c>
      <c r="U126" s="62">
        <f t="shared" si="34"/>
        <v>-1</v>
      </c>
    </row>
    <row r="127" spans="1:21" x14ac:dyDescent="0.25">
      <c r="A127" s="63" t="s">
        <v>142</v>
      </c>
      <c r="B127" s="15"/>
      <c r="C127" s="137">
        <f t="shared" ref="C127:Q127" si="43">SUM(C126:C126)</f>
        <v>3600</v>
      </c>
      <c r="D127" s="138">
        <f t="shared" si="43"/>
        <v>300</v>
      </c>
      <c r="E127" s="139">
        <f t="shared" si="43"/>
        <v>0</v>
      </c>
      <c r="F127" s="139">
        <f t="shared" si="43"/>
        <v>0</v>
      </c>
      <c r="G127" s="139">
        <f t="shared" si="43"/>
        <v>0</v>
      </c>
      <c r="H127" s="139">
        <f t="shared" si="43"/>
        <v>0</v>
      </c>
      <c r="I127" s="139">
        <f t="shared" si="43"/>
        <v>0</v>
      </c>
      <c r="J127" s="139">
        <f t="shared" si="43"/>
        <v>0</v>
      </c>
      <c r="K127" s="139">
        <f t="shared" si="43"/>
        <v>0</v>
      </c>
      <c r="L127" s="139">
        <f t="shared" si="43"/>
        <v>0</v>
      </c>
      <c r="M127" s="139">
        <f t="shared" si="43"/>
        <v>0</v>
      </c>
      <c r="N127" s="139">
        <f t="shared" si="43"/>
        <v>0</v>
      </c>
      <c r="O127" s="139">
        <f t="shared" si="43"/>
        <v>0</v>
      </c>
      <c r="P127" s="139">
        <f t="shared" si="43"/>
        <v>0</v>
      </c>
      <c r="Q127" s="139">
        <f t="shared" si="43"/>
        <v>0</v>
      </c>
      <c r="R127" s="140">
        <f t="shared" si="33"/>
        <v>0</v>
      </c>
      <c r="T127" s="141">
        <f t="shared" si="39"/>
        <v>0</v>
      </c>
      <c r="U127" s="141">
        <f t="shared" si="34"/>
        <v>-1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4">C124+C121+C90+C82+C73+C62+C48+C95+C76+C127</f>
        <v>10095.745999999999</v>
      </c>
      <c r="D128" s="72">
        <f t="shared" si="44"/>
        <v>6911.6722857142859</v>
      </c>
      <c r="E128" s="73">
        <f t="shared" si="44"/>
        <v>325</v>
      </c>
      <c r="F128" s="73">
        <f t="shared" si="44"/>
        <v>325</v>
      </c>
      <c r="G128" s="73">
        <f t="shared" si="44"/>
        <v>325</v>
      </c>
      <c r="H128" s="73">
        <f t="shared" si="44"/>
        <v>325</v>
      </c>
      <c r="I128" s="73">
        <f t="shared" si="44"/>
        <v>325</v>
      </c>
      <c r="J128" s="73">
        <f t="shared" si="44"/>
        <v>325</v>
      </c>
      <c r="K128" s="73">
        <f t="shared" si="44"/>
        <v>375</v>
      </c>
      <c r="L128" s="73">
        <f t="shared" si="44"/>
        <v>375</v>
      </c>
      <c r="M128" s="73">
        <f t="shared" si="44"/>
        <v>375</v>
      </c>
      <c r="N128" s="73">
        <f t="shared" si="44"/>
        <v>375</v>
      </c>
      <c r="O128" s="73">
        <f t="shared" si="44"/>
        <v>375</v>
      </c>
      <c r="P128" s="73">
        <f t="shared" si="44"/>
        <v>375</v>
      </c>
      <c r="Q128" s="73">
        <f t="shared" si="44"/>
        <v>4200</v>
      </c>
      <c r="R128" s="74">
        <f t="shared" si="33"/>
        <v>350</v>
      </c>
      <c r="T128" s="76">
        <f t="shared" si="39"/>
        <v>2.6251443829410605E-2</v>
      </c>
      <c r="U128" s="76">
        <f t="shared" si="34"/>
        <v>-0.58398319450588398</v>
      </c>
    </row>
    <row r="129" spans="1:21" x14ac:dyDescent="0.25">
      <c r="A129" s="78" t="s">
        <v>144</v>
      </c>
      <c r="B129" t="s">
        <v>48</v>
      </c>
      <c r="C129" s="79">
        <f t="shared" ref="C129:Q129" si="45">C34-C128</f>
        <v>178212.59399999998</v>
      </c>
      <c r="D129" s="80">
        <f t="shared" si="45"/>
        <v>8780.689380952379</v>
      </c>
      <c r="E129" s="81">
        <f t="shared" si="45"/>
        <v>12222.800000000003</v>
      </c>
      <c r="F129" s="81">
        <f t="shared" si="45"/>
        <v>12222.800000000003</v>
      </c>
      <c r="G129" s="81">
        <f t="shared" si="45"/>
        <v>12222.800000000003</v>
      </c>
      <c r="H129" s="81">
        <f t="shared" si="45"/>
        <v>12222.800000000003</v>
      </c>
      <c r="I129" s="81">
        <f t="shared" si="45"/>
        <v>12222.800000000003</v>
      </c>
      <c r="J129" s="81">
        <f t="shared" si="45"/>
        <v>12222.800000000003</v>
      </c>
      <c r="K129" s="81">
        <f t="shared" si="45"/>
        <v>13742.400000000001</v>
      </c>
      <c r="L129" s="81">
        <f t="shared" si="45"/>
        <v>13742.400000000001</v>
      </c>
      <c r="M129" s="81">
        <f t="shared" si="45"/>
        <v>13742.400000000001</v>
      </c>
      <c r="N129" s="81">
        <f t="shared" si="45"/>
        <v>13742.400000000001</v>
      </c>
      <c r="O129" s="81">
        <f t="shared" si="45"/>
        <v>13742.400000000001</v>
      </c>
      <c r="P129" s="81">
        <f t="shared" si="45"/>
        <v>13742.400000000001</v>
      </c>
      <c r="Q129" s="81">
        <f t="shared" si="45"/>
        <v>155791.20000000007</v>
      </c>
      <c r="R129" s="82">
        <f t="shared" si="33"/>
        <v>12982.599999999999</v>
      </c>
      <c r="T129" s="31">
        <f t="shared" si="39"/>
        <v>0.97374855617058942</v>
      </c>
      <c r="U129" s="31">
        <f t="shared" si="34"/>
        <v>-0.12581262354556108</v>
      </c>
    </row>
    <row r="130" spans="1:21" x14ac:dyDescent="0.25">
      <c r="A130" s="78" t="s">
        <v>145</v>
      </c>
      <c r="B130" t="s">
        <v>48</v>
      </c>
      <c r="C130" s="339">
        <f t="shared" ref="C130:Q130" si="46">IFERROR(C129/C34,0)</f>
        <v>0.9463871541749026</v>
      </c>
      <c r="D130" s="340">
        <f t="shared" si="46"/>
        <v>0.55955181045846702</v>
      </c>
      <c r="E130" s="341">
        <f t="shared" si="46"/>
        <v>0.97409904525096036</v>
      </c>
      <c r="F130" s="341">
        <f t="shared" si="46"/>
        <v>0.97409904525096036</v>
      </c>
      <c r="G130" s="341">
        <f t="shared" si="46"/>
        <v>0.97409904525096036</v>
      </c>
      <c r="H130" s="341">
        <f t="shared" si="46"/>
        <v>0.97409904525096036</v>
      </c>
      <c r="I130" s="341">
        <f t="shared" si="46"/>
        <v>0.97409904525096036</v>
      </c>
      <c r="J130" s="341">
        <f t="shared" si="46"/>
        <v>0.97409904525096036</v>
      </c>
      <c r="K130" s="341">
        <f t="shared" si="46"/>
        <v>0.97343703514811508</v>
      </c>
      <c r="L130" s="341">
        <f t="shared" si="46"/>
        <v>0.97343703514811508</v>
      </c>
      <c r="M130" s="341">
        <f t="shared" si="46"/>
        <v>0.97343703514811508</v>
      </c>
      <c r="N130" s="341">
        <f t="shared" si="46"/>
        <v>0.97343703514811508</v>
      </c>
      <c r="O130" s="341">
        <f t="shared" si="46"/>
        <v>0.97343703514811508</v>
      </c>
      <c r="P130" s="341">
        <f t="shared" si="46"/>
        <v>0.97343703514811508</v>
      </c>
      <c r="Q130" s="341">
        <f t="shared" si="46"/>
        <v>0.97374855617058942</v>
      </c>
      <c r="R130" s="342">
        <f t="shared" si="33"/>
        <v>0.97376804019953755</v>
      </c>
      <c r="T130" s="31"/>
      <c r="U130" s="31">
        <f>IFERROR((Q130-C130)/C130,0)</f>
        <v>2.8911425810234672E-2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7">AVERAGE(E132:P132)</f>
        <v>#DIV/0!</v>
      </c>
      <c r="S132" s="15"/>
      <c r="T132" s="62">
        <f t="shared" si="39"/>
        <v>0</v>
      </c>
      <c r="U132" s="62">
        <f t="shared" si="34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7"/>
        <v>#DIV/0!</v>
      </c>
      <c r="S133" s="15"/>
      <c r="T133" s="62">
        <f t="shared" si="39"/>
        <v>0</v>
      </c>
      <c r="U133" s="62">
        <f t="shared" si="34"/>
        <v>0</v>
      </c>
    </row>
    <row r="134" spans="1:21" x14ac:dyDescent="0.25">
      <c r="A134" s="63" t="s">
        <v>149</v>
      </c>
      <c r="C134" s="137">
        <f t="shared" ref="C134:D134" si="48">SUM(C132:C133)</f>
        <v>0</v>
      </c>
      <c r="D134" s="138">
        <f t="shared" si="48"/>
        <v>0</v>
      </c>
      <c r="E134" s="139">
        <f>SUM(E132:E133)</f>
        <v>0</v>
      </c>
      <c r="F134" s="139">
        <f t="shared" ref="F134:Q134" si="49">SUM(F132:F133)</f>
        <v>0</v>
      </c>
      <c r="G134" s="139">
        <f t="shared" si="49"/>
        <v>0</v>
      </c>
      <c r="H134" s="139">
        <f t="shared" si="49"/>
        <v>0</v>
      </c>
      <c r="I134" s="139">
        <f t="shared" si="49"/>
        <v>0</v>
      </c>
      <c r="J134" s="139">
        <f t="shared" si="49"/>
        <v>0</v>
      </c>
      <c r="K134" s="139">
        <f t="shared" si="49"/>
        <v>0</v>
      </c>
      <c r="L134" s="139">
        <f t="shared" si="49"/>
        <v>0</v>
      </c>
      <c r="M134" s="139">
        <f t="shared" si="49"/>
        <v>0</v>
      </c>
      <c r="N134" s="139">
        <f t="shared" si="49"/>
        <v>0</v>
      </c>
      <c r="O134" s="139">
        <f t="shared" si="49"/>
        <v>0</v>
      </c>
      <c r="P134" s="139">
        <f t="shared" si="49"/>
        <v>0</v>
      </c>
      <c r="Q134" s="139">
        <f t="shared" si="49"/>
        <v>0</v>
      </c>
      <c r="R134" s="140">
        <f>AVERAGE(E134:P134)</f>
        <v>0</v>
      </c>
      <c r="T134" s="141">
        <f t="shared" si="39"/>
        <v>0</v>
      </c>
      <c r="U134" s="141">
        <f t="shared" si="34"/>
        <v>0</v>
      </c>
    </row>
    <row r="135" spans="1:21" ht="22.5" x14ac:dyDescent="0.25">
      <c r="A135" s="63" t="s">
        <v>150</v>
      </c>
      <c r="C135" s="71">
        <f t="shared" ref="C135:D135" si="50">C134+C128</f>
        <v>10095.745999999999</v>
      </c>
      <c r="D135" s="72">
        <f t="shared" si="50"/>
        <v>6911.6722857142859</v>
      </c>
      <c r="E135" s="73">
        <f>E134+E128</f>
        <v>325</v>
      </c>
      <c r="F135" s="73">
        <f t="shared" ref="F135:P135" si="51">F134+F128</f>
        <v>325</v>
      </c>
      <c r="G135" s="73">
        <f t="shared" si="51"/>
        <v>325</v>
      </c>
      <c r="H135" s="73">
        <f t="shared" si="51"/>
        <v>325</v>
      </c>
      <c r="I135" s="73">
        <f t="shared" si="51"/>
        <v>325</v>
      </c>
      <c r="J135" s="73">
        <f t="shared" si="51"/>
        <v>325</v>
      </c>
      <c r="K135" s="73">
        <f t="shared" si="51"/>
        <v>375</v>
      </c>
      <c r="L135" s="73">
        <f t="shared" si="51"/>
        <v>375</v>
      </c>
      <c r="M135" s="73">
        <f t="shared" si="51"/>
        <v>375</v>
      </c>
      <c r="N135" s="73">
        <f t="shared" si="51"/>
        <v>375</v>
      </c>
      <c r="O135" s="73">
        <f t="shared" si="51"/>
        <v>375</v>
      </c>
      <c r="P135" s="73">
        <f t="shared" si="51"/>
        <v>375</v>
      </c>
      <c r="Q135" s="73">
        <f>Q134+Q128</f>
        <v>4200</v>
      </c>
      <c r="R135" s="74">
        <f t="shared" si="47"/>
        <v>350</v>
      </c>
      <c r="T135" s="76">
        <f t="shared" si="39"/>
        <v>2.6251443829410605E-2</v>
      </c>
      <c r="U135" s="76">
        <f t="shared" si="34"/>
        <v>-0.58398319450588398</v>
      </c>
    </row>
    <row r="136" spans="1:21" x14ac:dyDescent="0.25">
      <c r="A136" s="78" t="s">
        <v>151</v>
      </c>
      <c r="C136" s="79">
        <f t="shared" ref="C136:Q136" si="52">C34-C135</f>
        <v>178212.59399999998</v>
      </c>
      <c r="D136" s="80">
        <f t="shared" si="52"/>
        <v>8780.689380952379</v>
      </c>
      <c r="E136" s="81">
        <f t="shared" si="52"/>
        <v>12222.800000000003</v>
      </c>
      <c r="F136" s="81">
        <f t="shared" si="52"/>
        <v>12222.800000000003</v>
      </c>
      <c r="G136" s="81">
        <f t="shared" si="52"/>
        <v>12222.800000000003</v>
      </c>
      <c r="H136" s="81">
        <f t="shared" si="52"/>
        <v>12222.800000000003</v>
      </c>
      <c r="I136" s="81">
        <f t="shared" si="52"/>
        <v>12222.800000000003</v>
      </c>
      <c r="J136" s="81">
        <f t="shared" si="52"/>
        <v>12222.800000000003</v>
      </c>
      <c r="K136" s="81">
        <f t="shared" si="52"/>
        <v>13742.400000000001</v>
      </c>
      <c r="L136" s="81">
        <f t="shared" si="52"/>
        <v>13742.400000000001</v>
      </c>
      <c r="M136" s="81">
        <f t="shared" si="52"/>
        <v>13742.400000000001</v>
      </c>
      <c r="N136" s="81">
        <f t="shared" si="52"/>
        <v>13742.400000000001</v>
      </c>
      <c r="O136" s="81">
        <f t="shared" si="52"/>
        <v>13742.400000000001</v>
      </c>
      <c r="P136" s="81">
        <f t="shared" si="52"/>
        <v>13742.400000000001</v>
      </c>
      <c r="Q136" s="81">
        <f t="shared" si="52"/>
        <v>155791.20000000007</v>
      </c>
      <c r="R136" s="82">
        <f>AVERAGE(E136:P136)</f>
        <v>12982.599999999999</v>
      </c>
      <c r="T136" s="31">
        <f>Q136/$Q$34</f>
        <v>0.97374855617058942</v>
      </c>
      <c r="U136" s="31">
        <f t="shared" si="34"/>
        <v>-0.12581262354556108</v>
      </c>
    </row>
    <row r="137" spans="1:21" ht="15.75" thickBot="1" x14ac:dyDescent="0.3">
      <c r="A137" s="78" t="s">
        <v>152</v>
      </c>
      <c r="C137" s="344">
        <f>IFERROR(C136/C34,"")</f>
        <v>0.9463871541749026</v>
      </c>
      <c r="D137" s="345">
        <f>IFERROR(D136/D34,"")</f>
        <v>0.55955181045846702</v>
      </c>
      <c r="E137" s="341">
        <f t="shared" ref="E137:Q137" si="53">E136/E34</f>
        <v>0.97409904525096036</v>
      </c>
      <c r="F137" s="341">
        <f t="shared" si="53"/>
        <v>0.97409904525096036</v>
      </c>
      <c r="G137" s="341">
        <f t="shared" si="53"/>
        <v>0.97409904525096036</v>
      </c>
      <c r="H137" s="341">
        <f t="shared" si="53"/>
        <v>0.97409904525096036</v>
      </c>
      <c r="I137" s="341">
        <f t="shared" si="53"/>
        <v>0.97409904525096036</v>
      </c>
      <c r="J137" s="341">
        <f t="shared" si="53"/>
        <v>0.97409904525096036</v>
      </c>
      <c r="K137" s="341">
        <f t="shared" si="53"/>
        <v>0.97343703514811508</v>
      </c>
      <c r="L137" s="341">
        <f t="shared" si="53"/>
        <v>0.97343703514811508</v>
      </c>
      <c r="M137" s="341">
        <f t="shared" si="53"/>
        <v>0.97343703514811508</v>
      </c>
      <c r="N137" s="341">
        <f t="shared" si="53"/>
        <v>0.97343703514811508</v>
      </c>
      <c r="O137" s="341">
        <f t="shared" si="53"/>
        <v>0.97343703514811508</v>
      </c>
      <c r="P137" s="341">
        <f t="shared" si="53"/>
        <v>0.97343703514811508</v>
      </c>
      <c r="Q137" s="341">
        <f t="shared" si="53"/>
        <v>0.97374855617058942</v>
      </c>
      <c r="R137" s="346">
        <f t="shared" si="47"/>
        <v>0.97376804019953755</v>
      </c>
      <c r="T137" s="181"/>
      <c r="U137" s="181">
        <f t="shared" si="34"/>
        <v>2.8911425810234672E-2</v>
      </c>
    </row>
    <row r="138" spans="1:21" x14ac:dyDescent="0.25">
      <c r="Q138" s="185"/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C198-3997-40D6-82C8-843A3B9B39EF}">
  <dimension ref="A1:AA137"/>
  <sheetViews>
    <sheetView topLeftCell="C1" workbookViewId="0">
      <selection activeCell="X6" sqref="X6:AA24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85546875" customWidth="1"/>
    <col min="19" max="19" width="36.42578125" customWidth="1"/>
    <col min="20" max="20" width="10" bestFit="1" customWidth="1"/>
    <col min="21" max="21" width="11.85546875" customWidth="1"/>
    <col min="24" max="24" width="12.42578125" customWidth="1"/>
    <col min="25" max="25" width="14.28515625" customWidth="1"/>
    <col min="26" max="26" width="13.42578125" customWidth="1"/>
    <col min="27" max="27" width="16.7109375" customWidth="1"/>
  </cols>
  <sheetData>
    <row r="1" spans="1:27" ht="18" x14ac:dyDescent="0.25">
      <c r="A1" s="401" t="s">
        <v>382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7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7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7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7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7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7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7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7" x14ac:dyDescent="0.25">
      <c r="A9" s="25"/>
      <c r="B9" s="15" t="s">
        <v>24</v>
      </c>
      <c r="C9" s="16">
        <v>8.35</v>
      </c>
      <c r="D9" s="17">
        <v>0.7</v>
      </c>
      <c r="E9" s="18">
        <v>1</v>
      </c>
      <c r="F9" s="18">
        <v>1</v>
      </c>
      <c r="G9" s="18">
        <v>1</v>
      </c>
      <c r="H9" s="18">
        <v>1</v>
      </c>
      <c r="I9" s="18">
        <v>1</v>
      </c>
      <c r="J9" s="18">
        <v>1</v>
      </c>
      <c r="K9" s="18">
        <v>1</v>
      </c>
      <c r="L9" s="18">
        <v>1</v>
      </c>
      <c r="M9" s="18">
        <v>1</v>
      </c>
      <c r="N9" s="18">
        <v>1</v>
      </c>
      <c r="O9" s="18">
        <v>1</v>
      </c>
      <c r="P9" s="18">
        <v>1</v>
      </c>
      <c r="Q9" s="19">
        <f t="shared" si="0"/>
        <v>12</v>
      </c>
      <c r="R9" s="20">
        <f t="shared" si="1"/>
        <v>1</v>
      </c>
      <c r="S9" s="15"/>
      <c r="T9" s="21"/>
      <c r="U9" s="22">
        <f t="shared" si="2"/>
        <v>0.43712574850299407</v>
      </c>
    </row>
    <row r="10" spans="1:27" x14ac:dyDescent="0.25">
      <c r="A10" s="15"/>
      <c r="B10" s="15" t="s">
        <v>25</v>
      </c>
      <c r="C10" s="16">
        <v>118.24</v>
      </c>
      <c r="D10" s="17">
        <v>9.85</v>
      </c>
      <c r="E10" s="18">
        <v>11</v>
      </c>
      <c r="F10" s="18">
        <v>11</v>
      </c>
      <c r="G10" s="18">
        <v>11</v>
      </c>
      <c r="H10" s="18">
        <v>11</v>
      </c>
      <c r="I10" s="18">
        <v>11</v>
      </c>
      <c r="J10" s="18">
        <v>11</v>
      </c>
      <c r="K10" s="18">
        <v>11</v>
      </c>
      <c r="L10" s="18">
        <v>11</v>
      </c>
      <c r="M10" s="18">
        <v>11</v>
      </c>
      <c r="N10" s="18">
        <v>11</v>
      </c>
      <c r="O10" s="18">
        <v>11</v>
      </c>
      <c r="P10" s="18">
        <v>11</v>
      </c>
      <c r="Q10" s="19">
        <f t="shared" si="0"/>
        <v>132</v>
      </c>
      <c r="R10" s="20">
        <f t="shared" si="1"/>
        <v>11</v>
      </c>
      <c r="S10" s="15"/>
      <c r="T10" s="21"/>
      <c r="U10" s="22">
        <f t="shared" si="2"/>
        <v>0.11637347767253049</v>
      </c>
    </row>
    <row r="11" spans="1:27" x14ac:dyDescent="0.25">
      <c r="A11" s="15"/>
      <c r="B11" s="15" t="s">
        <v>26</v>
      </c>
      <c r="C11" s="16">
        <v>4.0199999999999996</v>
      </c>
      <c r="D11" s="17">
        <v>0.34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>
        <v>1</v>
      </c>
      <c r="K11" s="18">
        <v>2</v>
      </c>
      <c r="L11" s="18">
        <v>2</v>
      </c>
      <c r="M11" s="18">
        <v>2</v>
      </c>
      <c r="N11" s="18">
        <v>2</v>
      </c>
      <c r="O11" s="18">
        <v>2</v>
      </c>
      <c r="P11" s="18">
        <v>2</v>
      </c>
      <c r="Q11" s="19">
        <f t="shared" si="0"/>
        <v>18</v>
      </c>
      <c r="R11" s="20">
        <f t="shared" si="1"/>
        <v>1.5</v>
      </c>
      <c r="S11" s="15"/>
      <c r="T11" s="21"/>
      <c r="U11" s="22">
        <f t="shared" si="2"/>
        <v>3.477611940298508</v>
      </c>
    </row>
    <row r="12" spans="1:27" x14ac:dyDescent="0.25">
      <c r="A12" s="15"/>
      <c r="B12" s="15" t="s">
        <v>27</v>
      </c>
      <c r="C12" s="16">
        <v>0</v>
      </c>
      <c r="D12" s="17">
        <v>0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9">
        <f t="shared" si="0"/>
        <v>0</v>
      </c>
      <c r="R12" s="335" t="e">
        <f t="shared" si="1"/>
        <v>#DIV/0!</v>
      </c>
      <c r="S12" s="15"/>
      <c r="T12" s="21"/>
      <c r="U12" s="22">
        <f t="shared" si="2"/>
        <v>0</v>
      </c>
    </row>
    <row r="13" spans="1:27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 t="shared" si="1"/>
        <v>#DIV/0!</v>
      </c>
      <c r="S13" s="15"/>
      <c r="T13" s="21"/>
      <c r="U13" s="22">
        <f t="shared" si="2"/>
        <v>0</v>
      </c>
    </row>
    <row r="14" spans="1:27" x14ac:dyDescent="0.25">
      <c r="A14" s="25"/>
      <c r="B14" s="15" t="s">
        <v>29</v>
      </c>
      <c r="C14" s="26">
        <f>SUM(C7:C13)</f>
        <v>130.60999999999999</v>
      </c>
      <c r="D14" s="27">
        <f t="shared" ref="D14:Q14" si="3">SUM(D7:D13)</f>
        <v>10.889999999999999</v>
      </c>
      <c r="E14" s="28">
        <f t="shared" si="3"/>
        <v>13</v>
      </c>
      <c r="F14" s="28">
        <f t="shared" si="3"/>
        <v>13</v>
      </c>
      <c r="G14" s="28">
        <f t="shared" si="3"/>
        <v>13</v>
      </c>
      <c r="H14" s="28">
        <f t="shared" si="3"/>
        <v>13</v>
      </c>
      <c r="I14" s="28">
        <f t="shared" si="3"/>
        <v>13</v>
      </c>
      <c r="J14" s="28">
        <f t="shared" si="3"/>
        <v>13</v>
      </c>
      <c r="K14" s="28">
        <f t="shared" si="3"/>
        <v>14</v>
      </c>
      <c r="L14" s="28">
        <f t="shared" si="3"/>
        <v>14</v>
      </c>
      <c r="M14" s="28">
        <f t="shared" si="3"/>
        <v>14</v>
      </c>
      <c r="N14" s="28">
        <f t="shared" si="3"/>
        <v>14</v>
      </c>
      <c r="O14" s="28">
        <f t="shared" si="3"/>
        <v>14</v>
      </c>
      <c r="P14" s="28">
        <f t="shared" si="3"/>
        <v>14</v>
      </c>
      <c r="Q14" s="28">
        <f t="shared" si="3"/>
        <v>162</v>
      </c>
      <c r="R14" s="29">
        <f t="shared" si="1"/>
        <v>13.5</v>
      </c>
      <c r="T14" s="30"/>
      <c r="U14" s="31">
        <f>IFERROR((Q14-C14)/C14,0)</f>
        <v>0.24033381823750111</v>
      </c>
    </row>
    <row r="15" spans="1:27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7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X16"/>
      <c r="Y16"/>
      <c r="Z16"/>
      <c r="AA16"/>
    </row>
    <row r="17" spans="1:27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X17"/>
      <c r="Y17"/>
      <c r="Z17"/>
      <c r="AA17"/>
    </row>
    <row r="18" spans="1:27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4"/>
        <v/>
      </c>
      <c r="X18"/>
      <c r="Y18"/>
      <c r="Z18"/>
      <c r="AA18"/>
    </row>
    <row r="19" spans="1:27" s="44" customFormat="1" x14ac:dyDescent="0.25">
      <c r="B19" s="15" t="s">
        <v>34</v>
      </c>
      <c r="C19" s="40"/>
      <c r="D19" s="41"/>
      <c r="E19" s="42">
        <v>200</v>
      </c>
      <c r="F19" s="42">
        <v>200</v>
      </c>
      <c r="G19" s="42">
        <v>200</v>
      </c>
      <c r="H19" s="42">
        <v>200</v>
      </c>
      <c r="I19" s="42">
        <v>200</v>
      </c>
      <c r="J19" s="42">
        <v>200</v>
      </c>
      <c r="K19" s="42">
        <v>200</v>
      </c>
      <c r="L19" s="42">
        <v>200</v>
      </c>
      <c r="M19" s="42">
        <v>200</v>
      </c>
      <c r="N19" s="42">
        <v>200</v>
      </c>
      <c r="O19" s="42">
        <v>200</v>
      </c>
      <c r="P19" s="42">
        <v>200</v>
      </c>
      <c r="Q19" s="42">
        <f>AVERAGE(E19:P19)</f>
        <v>200</v>
      </c>
      <c r="R19" s="43">
        <f t="shared" si="1"/>
        <v>200</v>
      </c>
      <c r="S19" s="15"/>
      <c r="T19" s="21"/>
      <c r="U19" s="22" t="str">
        <f t="shared" si="4"/>
        <v/>
      </c>
      <c r="X19"/>
      <c r="Y19"/>
      <c r="Z19"/>
      <c r="AA19"/>
    </row>
    <row r="20" spans="1:27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 t="shared" si="1"/>
        <v>0</v>
      </c>
      <c r="S20" s="15"/>
      <c r="T20" s="21"/>
      <c r="U20" s="22" t="str">
        <f t="shared" si="4"/>
        <v/>
      </c>
      <c r="X20"/>
      <c r="Y20"/>
      <c r="Z20"/>
      <c r="AA20"/>
    </row>
    <row r="21" spans="1:27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 t="shared" si="1"/>
        <v>0</v>
      </c>
      <c r="S21" s="15"/>
      <c r="T21" s="21"/>
      <c r="U21" s="22" t="str">
        <f t="shared" si="4"/>
        <v/>
      </c>
      <c r="X21"/>
      <c r="Y21"/>
      <c r="Z21"/>
      <c r="AA21"/>
    </row>
    <row r="22" spans="1:27" s="44" customFormat="1" x14ac:dyDescent="0.25">
      <c r="B22" s="15"/>
      <c r="C22" s="46"/>
      <c r="D22" s="47"/>
      <c r="E22" s="42"/>
      <c r="R22" s="48"/>
      <c r="S22" s="49"/>
      <c r="T22" s="50"/>
      <c r="U22" s="50"/>
      <c r="X22"/>
      <c r="Y22"/>
      <c r="Z22"/>
      <c r="AA22"/>
    </row>
    <row r="23" spans="1:27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7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15"/>
    </row>
    <row r="25" spans="1:27" x14ac:dyDescent="0.25">
      <c r="A25" s="25"/>
      <c r="B25" s="15" t="s">
        <v>39</v>
      </c>
      <c r="C25" s="56">
        <v>0</v>
      </c>
      <c r="D25" s="57">
        <f t="shared" ref="D25:D29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6"/>
        <v>0</v>
      </c>
      <c r="V25" s="15"/>
    </row>
    <row r="26" spans="1:27" x14ac:dyDescent="0.25">
      <c r="A26" s="25"/>
      <c r="B26" s="15" t="s">
        <v>40</v>
      </c>
      <c r="C26" s="56">
        <v>327940.15000000002</v>
      </c>
      <c r="D26" s="57">
        <f t="shared" si="7"/>
        <v>27328.345833333336</v>
      </c>
      <c r="E26" s="58">
        <f>(((E9*E18)*21.75)+(((E10*E19)*13.08)+(((E11*E20)*4.33))))</f>
        <v>35301</v>
      </c>
      <c r="F26" s="58">
        <f t="shared" ref="F26:O26" si="8">(((F9*F18)*21.75)+(((F10*F19)*13.08)+(((F11*F20)*4.33))))</f>
        <v>35301</v>
      </c>
      <c r="G26" s="58">
        <f t="shared" si="8"/>
        <v>35301</v>
      </c>
      <c r="H26" s="58">
        <f t="shared" si="8"/>
        <v>35301</v>
      </c>
      <c r="I26" s="58">
        <f t="shared" si="8"/>
        <v>35301</v>
      </c>
      <c r="J26" s="58">
        <f t="shared" si="8"/>
        <v>35301</v>
      </c>
      <c r="K26" s="58">
        <f t="shared" si="8"/>
        <v>35301</v>
      </c>
      <c r="L26" s="58">
        <f t="shared" si="8"/>
        <v>35301</v>
      </c>
      <c r="M26" s="58">
        <f t="shared" si="8"/>
        <v>35301</v>
      </c>
      <c r="N26" s="58">
        <f t="shared" si="8"/>
        <v>35301</v>
      </c>
      <c r="O26" s="58">
        <f t="shared" si="8"/>
        <v>35301</v>
      </c>
      <c r="P26" s="58">
        <f>(((P9*P18)*21.75)+(((P10*P19)*13.08)+(((P11*P20)*4.33))))</f>
        <v>35301</v>
      </c>
      <c r="Q26" s="59">
        <f>SUM(E26:P26)</f>
        <v>423612</v>
      </c>
      <c r="R26" s="60">
        <f>AVERAGE(E26:P26)</f>
        <v>35301</v>
      </c>
      <c r="S26" s="15"/>
      <c r="T26" s="61"/>
      <c r="U26" s="62">
        <f t="shared" si="6"/>
        <v>0.29173570238349883</v>
      </c>
      <c r="V26" s="15"/>
    </row>
    <row r="27" spans="1:27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 t="shared" si="1"/>
        <v>0</v>
      </c>
      <c r="S27" s="15"/>
      <c r="T27" s="61"/>
      <c r="U27" s="62">
        <f t="shared" si="6"/>
        <v>0</v>
      </c>
      <c r="V27" s="15"/>
    </row>
    <row r="28" spans="1:27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9"/>
        <v>0</v>
      </c>
      <c r="L28" s="58">
        <f t="shared" si="9"/>
        <v>0</v>
      </c>
      <c r="M28" s="58">
        <f t="shared" si="9"/>
        <v>0</v>
      </c>
      <c r="N28" s="58">
        <f t="shared" si="9"/>
        <v>0</v>
      </c>
      <c r="O28" s="58">
        <f t="shared" si="9"/>
        <v>0</v>
      </c>
      <c r="P28" s="58">
        <f t="shared" si="9"/>
        <v>0</v>
      </c>
      <c r="Q28" s="59">
        <f>SUM(E28:P28)</f>
        <v>0</v>
      </c>
      <c r="R28" s="60">
        <f t="shared" si="1"/>
        <v>0</v>
      </c>
      <c r="S28" s="15"/>
      <c r="T28" s="61"/>
      <c r="U28" s="62">
        <f t="shared" si="6"/>
        <v>0</v>
      </c>
      <c r="V28" s="15"/>
    </row>
    <row r="29" spans="1:27" x14ac:dyDescent="0.25">
      <c r="A29" s="63" t="s">
        <v>43</v>
      </c>
      <c r="B29" s="15"/>
      <c r="C29" s="347">
        <f>SUM(C24:C28)</f>
        <v>327940.15000000002</v>
      </c>
      <c r="D29" s="57">
        <f t="shared" si="7"/>
        <v>27328.345833333336</v>
      </c>
      <c r="E29" s="348">
        <f t="shared" ref="E29:Q29" si="10">SUM(E24:E28)</f>
        <v>35301</v>
      </c>
      <c r="F29" s="348">
        <f t="shared" si="10"/>
        <v>35301</v>
      </c>
      <c r="G29" s="348">
        <f t="shared" si="10"/>
        <v>35301</v>
      </c>
      <c r="H29" s="348">
        <f t="shared" si="10"/>
        <v>35301</v>
      </c>
      <c r="I29" s="348">
        <f t="shared" si="10"/>
        <v>35301</v>
      </c>
      <c r="J29" s="348">
        <f t="shared" si="10"/>
        <v>35301</v>
      </c>
      <c r="K29" s="348">
        <f t="shared" si="10"/>
        <v>35301</v>
      </c>
      <c r="L29" s="348">
        <f t="shared" si="10"/>
        <v>35301</v>
      </c>
      <c r="M29" s="348">
        <f t="shared" si="10"/>
        <v>35301</v>
      </c>
      <c r="N29" s="348">
        <f t="shared" si="10"/>
        <v>35301</v>
      </c>
      <c r="O29" s="348">
        <f t="shared" si="10"/>
        <v>35301</v>
      </c>
      <c r="P29" s="348">
        <f t="shared" si="10"/>
        <v>35301</v>
      </c>
      <c r="Q29" s="348">
        <f t="shared" si="10"/>
        <v>423612</v>
      </c>
      <c r="R29" s="349">
        <f>AVERAGE(E29:P29)</f>
        <v>35301</v>
      </c>
      <c r="T29" s="68"/>
      <c r="U29" s="69">
        <f t="shared" si="6"/>
        <v>0.29173570238349883</v>
      </c>
    </row>
    <row r="30" spans="1:27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7" x14ac:dyDescent="0.25">
      <c r="A31" s="63"/>
      <c r="B31" s="15" t="s">
        <v>45</v>
      </c>
      <c r="C31" s="56">
        <v>-238034.44</v>
      </c>
      <c r="D31" s="57">
        <f>C31/12</f>
        <v>-19836.203333333335</v>
      </c>
      <c r="E31" s="58">
        <f t="shared" ref="E31:P31" si="11">-E26*0.7</f>
        <v>-24710.699999999997</v>
      </c>
      <c r="F31" s="58">
        <f t="shared" si="11"/>
        <v>-24710.699999999997</v>
      </c>
      <c r="G31" s="58">
        <f t="shared" si="11"/>
        <v>-24710.699999999997</v>
      </c>
      <c r="H31" s="58">
        <f t="shared" si="11"/>
        <v>-24710.699999999997</v>
      </c>
      <c r="I31" s="58">
        <f t="shared" si="11"/>
        <v>-24710.699999999997</v>
      </c>
      <c r="J31" s="58">
        <f t="shared" si="11"/>
        <v>-24710.699999999997</v>
      </c>
      <c r="K31" s="58">
        <f t="shared" si="11"/>
        <v>-24710.699999999997</v>
      </c>
      <c r="L31" s="58">
        <f t="shared" si="11"/>
        <v>-24710.699999999997</v>
      </c>
      <c r="M31" s="58">
        <f t="shared" si="11"/>
        <v>-24710.699999999997</v>
      </c>
      <c r="N31" s="58">
        <f t="shared" si="11"/>
        <v>-24710.699999999997</v>
      </c>
      <c r="O31" s="58">
        <f t="shared" si="11"/>
        <v>-24710.699999999997</v>
      </c>
      <c r="P31" s="58">
        <f t="shared" si="11"/>
        <v>-24710.699999999997</v>
      </c>
      <c r="Q31" s="59">
        <f>SUM(E31:P31)</f>
        <v>-296528.40000000002</v>
      </c>
      <c r="R31" s="60">
        <f>AVERAGE(E31:P31)</f>
        <v>-24710.7</v>
      </c>
      <c r="S31" s="15"/>
      <c r="T31" s="61"/>
      <c r="U31" s="62">
        <f t="shared" si="6"/>
        <v>0.24573738153184901</v>
      </c>
    </row>
    <row r="32" spans="1:27" x14ac:dyDescent="0.25">
      <c r="A32" s="63" t="s">
        <v>46</v>
      </c>
      <c r="B32" s="15"/>
      <c r="C32" s="347">
        <f t="shared" ref="C32:D32" si="12">SUM(C31)</f>
        <v>-238034.44</v>
      </c>
      <c r="D32" s="350">
        <f t="shared" si="12"/>
        <v>-19836.203333333335</v>
      </c>
      <c r="E32" s="348">
        <f>SUM(E31)</f>
        <v>-24710.699999999997</v>
      </c>
      <c r="F32" s="348">
        <f>SUM(F31)</f>
        <v>-24710.699999999997</v>
      </c>
      <c r="G32" s="348">
        <f t="shared" ref="G32:P32" si="13">SUM(G31)</f>
        <v>-24710.699999999997</v>
      </c>
      <c r="H32" s="348">
        <f t="shared" si="13"/>
        <v>-24710.699999999997</v>
      </c>
      <c r="I32" s="348">
        <f t="shared" si="13"/>
        <v>-24710.699999999997</v>
      </c>
      <c r="J32" s="348">
        <f t="shared" si="13"/>
        <v>-24710.699999999997</v>
      </c>
      <c r="K32" s="348">
        <f t="shared" si="13"/>
        <v>-24710.699999999997</v>
      </c>
      <c r="L32" s="348">
        <f t="shared" si="13"/>
        <v>-24710.699999999997</v>
      </c>
      <c r="M32" s="348">
        <f t="shared" si="13"/>
        <v>-24710.699999999997</v>
      </c>
      <c r="N32" s="348">
        <f t="shared" si="13"/>
        <v>-24710.699999999997</v>
      </c>
      <c r="O32" s="348">
        <f t="shared" si="13"/>
        <v>-24710.699999999997</v>
      </c>
      <c r="P32" s="348">
        <f t="shared" si="13"/>
        <v>-24710.699999999997</v>
      </c>
      <c r="Q32" s="348">
        <f>SUM(Q31)</f>
        <v>-296528.40000000002</v>
      </c>
      <c r="R32" s="349">
        <f>AVERAGE(E32:P32)</f>
        <v>-24710.7</v>
      </c>
      <c r="T32" s="68"/>
      <c r="U32" s="69">
        <f t="shared" si="6"/>
        <v>0.24573738153184901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4">C29+C32</f>
        <v>89905.710000000021</v>
      </c>
      <c r="D33" s="352">
        <f t="shared" si="14"/>
        <v>7492.1425000000017</v>
      </c>
      <c r="E33" s="353">
        <f>E29+E32</f>
        <v>10590.300000000003</v>
      </c>
      <c r="F33" s="353">
        <f>F29+F32</f>
        <v>10590.300000000003</v>
      </c>
      <c r="G33" s="353">
        <f t="shared" ref="G33:Q33" si="15">G29+G32</f>
        <v>10590.300000000003</v>
      </c>
      <c r="H33" s="353">
        <f t="shared" si="15"/>
        <v>10590.300000000003</v>
      </c>
      <c r="I33" s="353">
        <f t="shared" si="15"/>
        <v>10590.300000000003</v>
      </c>
      <c r="J33" s="353">
        <f t="shared" si="15"/>
        <v>10590.300000000003</v>
      </c>
      <c r="K33" s="353">
        <f t="shared" si="15"/>
        <v>10590.300000000003</v>
      </c>
      <c r="L33" s="353">
        <f t="shared" si="15"/>
        <v>10590.300000000003</v>
      </c>
      <c r="M33" s="353">
        <f t="shared" si="15"/>
        <v>10590.300000000003</v>
      </c>
      <c r="N33" s="353">
        <f t="shared" si="15"/>
        <v>10590.300000000003</v>
      </c>
      <c r="O33" s="353">
        <f t="shared" si="15"/>
        <v>10590.300000000003</v>
      </c>
      <c r="P33" s="353">
        <f t="shared" si="15"/>
        <v>10590.300000000003</v>
      </c>
      <c r="Q33" s="353">
        <f t="shared" si="15"/>
        <v>127083.59999999998</v>
      </c>
      <c r="R33" s="354">
        <f>AVERAGE(E33:P33)</f>
        <v>10590.300000000003</v>
      </c>
      <c r="T33" s="75"/>
      <c r="U33" s="76">
        <f t="shared" si="6"/>
        <v>0.41352089872823367</v>
      </c>
    </row>
    <row r="34" spans="1:21" x14ac:dyDescent="0.25">
      <c r="A34" s="78" t="s">
        <v>49</v>
      </c>
      <c r="B34" t="s">
        <v>48</v>
      </c>
      <c r="C34" s="355">
        <f t="shared" ref="C34:D34" si="16">C33</f>
        <v>89905.710000000021</v>
      </c>
      <c r="D34" s="356">
        <f t="shared" si="16"/>
        <v>7492.1425000000017</v>
      </c>
      <c r="E34" s="357">
        <f>E33</f>
        <v>10590.300000000003</v>
      </c>
      <c r="F34" s="357">
        <f t="shared" ref="F34:Q34" si="17">F33</f>
        <v>10590.300000000003</v>
      </c>
      <c r="G34" s="357">
        <f t="shared" si="17"/>
        <v>10590.300000000003</v>
      </c>
      <c r="H34" s="357">
        <f t="shared" si="17"/>
        <v>10590.300000000003</v>
      </c>
      <c r="I34" s="357">
        <f t="shared" si="17"/>
        <v>10590.300000000003</v>
      </c>
      <c r="J34" s="357">
        <f t="shared" si="17"/>
        <v>10590.300000000003</v>
      </c>
      <c r="K34" s="357">
        <f t="shared" si="17"/>
        <v>10590.300000000003</v>
      </c>
      <c r="L34" s="357">
        <f t="shared" si="17"/>
        <v>10590.300000000003</v>
      </c>
      <c r="M34" s="357">
        <f t="shared" si="17"/>
        <v>10590.300000000003</v>
      </c>
      <c r="N34" s="357">
        <f t="shared" si="17"/>
        <v>10590.300000000003</v>
      </c>
      <c r="O34" s="357">
        <f t="shared" si="17"/>
        <v>10590.300000000003</v>
      </c>
      <c r="P34" s="357">
        <f t="shared" si="17"/>
        <v>10590.300000000003</v>
      </c>
      <c r="Q34" s="357">
        <f t="shared" si="17"/>
        <v>127083.59999999998</v>
      </c>
      <c r="R34" s="358">
        <f t="shared" si="1"/>
        <v>10590.300000000003</v>
      </c>
      <c r="T34" s="30"/>
      <c r="U34" s="31">
        <f t="shared" si="6"/>
        <v>0.41352089872823367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 t="shared" si="1"/>
        <v>#DIV/0!</v>
      </c>
      <c r="S37" s="15"/>
      <c r="T37" s="62">
        <f>Q37/$Q$34</f>
        <v>0</v>
      </c>
      <c r="U37" s="62">
        <f t="shared" si="6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8">SUM(E38:P38)</f>
        <v>0</v>
      </c>
      <c r="R38" s="89" t="e">
        <f t="shared" si="1"/>
        <v>#DIV/0!</v>
      </c>
      <c r="S38" s="15"/>
      <c r="T38" s="62">
        <f t="shared" ref="T38:T102" si="19">Q38/$Q$34</f>
        <v>0</v>
      </c>
      <c r="U38" s="62">
        <f t="shared" si="6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8"/>
        <v>0</v>
      </c>
      <c r="R39" s="89" t="e">
        <f t="shared" si="1"/>
        <v>#DIV/0!</v>
      </c>
      <c r="S39" s="15"/>
      <c r="T39" s="62">
        <f t="shared" si="19"/>
        <v>0</v>
      </c>
      <c r="U39" s="62">
        <f t="shared" si="6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8"/>
        <v>0</v>
      </c>
      <c r="R40" s="89" t="e">
        <f t="shared" si="1"/>
        <v>#DIV/0!</v>
      </c>
      <c r="S40" s="15"/>
      <c r="T40" s="62">
        <f t="shared" si="19"/>
        <v>0</v>
      </c>
      <c r="U40" s="62">
        <f t="shared" si="6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8"/>
        <v>0</v>
      </c>
      <c r="R41" s="89" t="e">
        <f t="shared" si="1"/>
        <v>#DIV/0!</v>
      </c>
      <c r="S41" s="15"/>
      <c r="T41" s="62">
        <f t="shared" si="19"/>
        <v>0</v>
      </c>
      <c r="U41" s="62">
        <f t="shared" si="6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8"/>
        <v>0</v>
      </c>
      <c r="R42" s="89" t="e">
        <f t="shared" si="1"/>
        <v>#DIV/0!</v>
      </c>
      <c r="S42" s="15"/>
      <c r="T42" s="62">
        <f t="shared" si="19"/>
        <v>0</v>
      </c>
      <c r="U42" s="62">
        <f t="shared" si="6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8"/>
        <v>0</v>
      </c>
      <c r="R43" s="89" t="e">
        <f t="shared" si="1"/>
        <v>#DIV/0!</v>
      </c>
      <c r="S43" s="15"/>
      <c r="T43" s="62">
        <f t="shared" si="19"/>
        <v>0</v>
      </c>
      <c r="U43" s="62">
        <f t="shared" si="6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8"/>
        <v>0</v>
      </c>
      <c r="R44" s="89" t="e">
        <f t="shared" si="1"/>
        <v>#DIV/0!</v>
      </c>
      <c r="S44" s="15"/>
      <c r="T44" s="62">
        <f t="shared" si="19"/>
        <v>0</v>
      </c>
      <c r="U44" s="62">
        <f t="shared" si="6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8"/>
        <v>0</v>
      </c>
      <c r="R45" s="89" t="e">
        <f t="shared" si="1"/>
        <v>#DIV/0!</v>
      </c>
      <c r="S45" s="15"/>
      <c r="T45" s="62">
        <f t="shared" si="19"/>
        <v>0</v>
      </c>
      <c r="U45" s="62">
        <f t="shared" si="6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8"/>
        <v>0</v>
      </c>
      <c r="R46" s="89" t="e">
        <f t="shared" si="1"/>
        <v>#DIV/0!</v>
      </c>
      <c r="S46" s="15"/>
      <c r="T46" s="62">
        <f t="shared" si="19"/>
        <v>0</v>
      </c>
      <c r="U46" s="62">
        <f t="shared" si="6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8"/>
        <v>0</v>
      </c>
      <c r="R47" s="89" t="e">
        <f t="shared" si="1"/>
        <v>#DIV/0!</v>
      </c>
      <c r="S47" s="15"/>
      <c r="T47" s="62">
        <f t="shared" si="19"/>
        <v>0</v>
      </c>
      <c r="U47" s="62">
        <f t="shared" si="6"/>
        <v>0</v>
      </c>
    </row>
    <row r="48" spans="1:21" x14ac:dyDescent="0.25">
      <c r="A48" s="63" t="s">
        <v>63</v>
      </c>
      <c r="B48" t="s">
        <v>48</v>
      </c>
      <c r="C48" s="91">
        <f t="shared" ref="C48:Q48" si="20">SUM(C37:C47)</f>
        <v>0</v>
      </c>
      <c r="D48" s="92">
        <f t="shared" si="20"/>
        <v>0</v>
      </c>
      <c r="E48" s="93">
        <f t="shared" si="20"/>
        <v>0</v>
      </c>
      <c r="F48" s="93">
        <f t="shared" si="20"/>
        <v>0</v>
      </c>
      <c r="G48" s="93">
        <f t="shared" si="20"/>
        <v>0</v>
      </c>
      <c r="H48" s="93">
        <f t="shared" si="20"/>
        <v>0</v>
      </c>
      <c r="I48" s="93">
        <f t="shared" si="20"/>
        <v>0</v>
      </c>
      <c r="J48" s="93">
        <f t="shared" si="20"/>
        <v>0</v>
      </c>
      <c r="K48" s="93">
        <f t="shared" si="20"/>
        <v>0</v>
      </c>
      <c r="L48" s="93">
        <f t="shared" si="20"/>
        <v>0</v>
      </c>
      <c r="M48" s="93">
        <f t="shared" si="20"/>
        <v>0</v>
      </c>
      <c r="N48" s="93">
        <f t="shared" si="20"/>
        <v>0</v>
      </c>
      <c r="O48" s="93">
        <f t="shared" si="20"/>
        <v>0</v>
      </c>
      <c r="P48" s="93">
        <f t="shared" si="20"/>
        <v>0</v>
      </c>
      <c r="Q48" s="93">
        <f t="shared" si="20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1">SUM(E50:P50)</f>
        <v>0</v>
      </c>
      <c r="R50" s="89" t="e">
        <f t="shared" si="1"/>
        <v>#DIV/0!</v>
      </c>
      <c r="S50" s="15"/>
      <c r="T50" s="62">
        <f t="shared" si="19"/>
        <v>0</v>
      </c>
      <c r="U50" s="62">
        <f t="shared" si="6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1"/>
        <v>0</v>
      </c>
      <c r="R51" s="89" t="e">
        <f t="shared" si="1"/>
        <v>#DIV/0!</v>
      </c>
      <c r="S51" s="15"/>
      <c r="T51" s="62">
        <f t="shared" si="19"/>
        <v>0</v>
      </c>
      <c r="U51" s="62">
        <f t="shared" si="6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1"/>
        <v>0</v>
      </c>
      <c r="R52" s="89" t="e">
        <f t="shared" si="1"/>
        <v>#DIV/0!</v>
      </c>
      <c r="S52" s="15"/>
      <c r="T52" s="62">
        <f t="shared" si="19"/>
        <v>0</v>
      </c>
      <c r="U52" s="62">
        <f t="shared" si="6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1"/>
        <v>0</v>
      </c>
      <c r="R53" s="89" t="e">
        <f t="shared" si="1"/>
        <v>#DIV/0!</v>
      </c>
      <c r="S53" s="15"/>
      <c r="T53" s="62">
        <f t="shared" si="19"/>
        <v>0</v>
      </c>
      <c r="U53" s="62">
        <f t="shared" si="6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1"/>
        <v>0</v>
      </c>
      <c r="R54" s="89" t="e">
        <f t="shared" si="1"/>
        <v>#DIV/0!</v>
      </c>
      <c r="S54" s="15"/>
      <c r="T54" s="62">
        <f t="shared" si="19"/>
        <v>0</v>
      </c>
      <c r="U54" s="62">
        <f t="shared" si="6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1"/>
        <v>0</v>
      </c>
      <c r="R55" s="89" t="e">
        <f t="shared" si="1"/>
        <v>#DIV/0!</v>
      </c>
      <c r="S55" s="15"/>
      <c r="T55" s="62">
        <f t="shared" si="19"/>
        <v>0</v>
      </c>
      <c r="U55" s="62">
        <f t="shared" si="6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ref="Q56:Q57" si="22">SUM(E56:P56)</f>
        <v>0</v>
      </c>
      <c r="R56" s="89" t="e">
        <f t="shared" si="1"/>
        <v>#DIV/0!</v>
      </c>
      <c r="S56" s="15"/>
      <c r="T56" s="62">
        <f t="shared" si="19"/>
        <v>0</v>
      </c>
      <c r="U56" s="62">
        <f t="shared" si="6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2"/>
        <v>0</v>
      </c>
      <c r="R57" s="89" t="e">
        <f t="shared" si="1"/>
        <v>#DIV/0!</v>
      </c>
      <c r="S57" s="15"/>
      <c r="T57" s="62">
        <f t="shared" si="19"/>
        <v>0</v>
      </c>
      <c r="U57" s="62">
        <f t="shared" si="6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1"/>
        <v>0</v>
      </c>
      <c r="R58" s="89" t="e">
        <f t="shared" si="1"/>
        <v>#DIV/0!</v>
      </c>
      <c r="S58" s="15"/>
      <c r="T58" s="62">
        <f t="shared" si="19"/>
        <v>0</v>
      </c>
      <c r="U58" s="62">
        <f t="shared" si="6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1"/>
        <v>0</v>
      </c>
      <c r="R59" s="89" t="e">
        <f t="shared" si="1"/>
        <v>#DIV/0!</v>
      </c>
      <c r="S59" s="15"/>
      <c r="T59" s="62">
        <f t="shared" si="19"/>
        <v>0</v>
      </c>
      <c r="U59" s="62">
        <f t="shared" si="6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1"/>
        <v>0</v>
      </c>
      <c r="R60" s="89" t="e">
        <f t="shared" si="1"/>
        <v>#DIV/0!</v>
      </c>
      <c r="S60" s="15"/>
      <c r="T60" s="62">
        <f t="shared" si="19"/>
        <v>0</v>
      </c>
      <c r="U60" s="62">
        <f t="shared" si="6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1"/>
        <v>0</v>
      </c>
      <c r="R61" s="89" t="e">
        <f t="shared" si="1"/>
        <v>#DIV/0!</v>
      </c>
      <c r="S61" s="15"/>
      <c r="T61" s="62">
        <f t="shared" si="19"/>
        <v>0</v>
      </c>
      <c r="U61" s="62">
        <f t="shared" si="6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3">SUM(C50:C61)</f>
        <v>0</v>
      </c>
      <c r="D62" s="92">
        <f t="shared" si="23"/>
        <v>0</v>
      </c>
      <c r="E62" s="93">
        <f>SUM(E50:E61)</f>
        <v>0</v>
      </c>
      <c r="F62" s="93">
        <f t="shared" ref="F62:Q62" si="24">SUM(F50:F61)</f>
        <v>0</v>
      </c>
      <c r="G62" s="93">
        <f t="shared" si="24"/>
        <v>0</v>
      </c>
      <c r="H62" s="93">
        <f t="shared" si="24"/>
        <v>0</v>
      </c>
      <c r="I62" s="93">
        <f t="shared" si="24"/>
        <v>0</v>
      </c>
      <c r="J62" s="93">
        <f t="shared" si="24"/>
        <v>0</v>
      </c>
      <c r="K62" s="93">
        <f t="shared" si="24"/>
        <v>0</v>
      </c>
      <c r="L62" s="93">
        <f t="shared" si="24"/>
        <v>0</v>
      </c>
      <c r="M62" s="93">
        <f t="shared" si="24"/>
        <v>0</v>
      </c>
      <c r="N62" s="93">
        <f t="shared" si="24"/>
        <v>0</v>
      </c>
      <c r="O62" s="93">
        <f t="shared" si="24"/>
        <v>0</v>
      </c>
      <c r="P62" s="93">
        <f t="shared" si="24"/>
        <v>0</v>
      </c>
      <c r="Q62" s="93">
        <f t="shared" si="24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19"/>
        <v>0</v>
      </c>
      <c r="U64" s="62">
        <f t="shared" si="6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19"/>
        <v>0</v>
      </c>
      <c r="U65" s="62">
        <f t="shared" si="6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19"/>
        <v>0</v>
      </c>
      <c r="U66" s="62">
        <f t="shared" si="6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5">SUM(E67:P67)</f>
        <v>0</v>
      </c>
      <c r="R67" s="89" t="e">
        <f t="shared" si="1"/>
        <v>#DIV/0!</v>
      </c>
      <c r="S67" s="15"/>
      <c r="T67" s="62">
        <f t="shared" si="19"/>
        <v>0</v>
      </c>
      <c r="U67" s="62">
        <f t="shared" si="6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5"/>
        <v>0</v>
      </c>
      <c r="R68" s="89" t="e">
        <f t="shared" si="1"/>
        <v>#DIV/0!</v>
      </c>
      <c r="S68" s="15"/>
      <c r="T68" s="62">
        <f t="shared" si="19"/>
        <v>0</v>
      </c>
      <c r="U68" s="62">
        <f t="shared" si="6"/>
        <v>0</v>
      </c>
    </row>
    <row r="69" spans="1:21" ht="23.25" x14ac:dyDescent="0.25">
      <c r="A69" s="25"/>
      <c r="B69" s="15" t="s">
        <v>84</v>
      </c>
      <c r="C69" s="56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5"/>
        <v>0</v>
      </c>
      <c r="R69" s="89" t="e">
        <f t="shared" si="1"/>
        <v>#DIV/0!</v>
      </c>
      <c r="S69" s="15"/>
      <c r="T69" s="62">
        <f t="shared" si="19"/>
        <v>0</v>
      </c>
      <c r="U69" s="62">
        <f t="shared" si="6"/>
        <v>0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5"/>
        <v>0</v>
      </c>
      <c r="R70" s="89" t="e">
        <f t="shared" si="1"/>
        <v>#DIV/0!</v>
      </c>
      <c r="S70" s="15"/>
      <c r="T70" s="62">
        <f t="shared" si="19"/>
        <v>0</v>
      </c>
      <c r="U70" s="62">
        <f t="shared" si="6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5"/>
        <v>0</v>
      </c>
      <c r="R71" s="89" t="e">
        <f t="shared" si="1"/>
        <v>#DIV/0!</v>
      </c>
      <c r="S71" s="15"/>
      <c r="T71" s="62">
        <f t="shared" si="19"/>
        <v>0</v>
      </c>
      <c r="U71" s="62">
        <f t="shared" si="6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5"/>
        <v>0</v>
      </c>
      <c r="R72" s="89" t="e">
        <f t="shared" si="1"/>
        <v>#DIV/0!</v>
      </c>
      <c r="S72" s="15"/>
      <c r="T72" s="62">
        <f t="shared" si="19"/>
        <v>0</v>
      </c>
      <c r="U72" s="62">
        <f t="shared" si="6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6">SUM(C64:C72)</f>
        <v>0</v>
      </c>
      <c r="D73" s="92">
        <f t="shared" si="26"/>
        <v>0</v>
      </c>
      <c r="E73" s="93">
        <f t="shared" si="26"/>
        <v>0</v>
      </c>
      <c r="F73" s="93">
        <f t="shared" si="26"/>
        <v>0</v>
      </c>
      <c r="G73" s="93">
        <f t="shared" si="26"/>
        <v>0</v>
      </c>
      <c r="H73" s="93">
        <f t="shared" si="26"/>
        <v>0</v>
      </c>
      <c r="I73" s="93">
        <f t="shared" si="26"/>
        <v>0</v>
      </c>
      <c r="J73" s="93">
        <f t="shared" si="26"/>
        <v>0</v>
      </c>
      <c r="K73" s="93">
        <f t="shared" si="26"/>
        <v>0</v>
      </c>
      <c r="L73" s="93">
        <f t="shared" si="26"/>
        <v>0</v>
      </c>
      <c r="M73" s="93">
        <f t="shared" si="26"/>
        <v>0</v>
      </c>
      <c r="N73" s="93">
        <f t="shared" si="26"/>
        <v>0</v>
      </c>
      <c r="O73" s="93">
        <f t="shared" si="26"/>
        <v>0</v>
      </c>
      <c r="P73" s="93">
        <f t="shared" si="26"/>
        <v>0</v>
      </c>
      <c r="Q73" s="93">
        <f t="shared" si="26"/>
        <v>0</v>
      </c>
      <c r="R73" s="94">
        <f t="shared" si="1"/>
        <v>0</v>
      </c>
      <c r="T73" s="96">
        <f t="shared" si="19"/>
        <v>0</v>
      </c>
      <c r="U73" s="96">
        <f t="shared" si="6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19"/>
        <v>0</v>
      </c>
      <c r="U75" s="62">
        <f t="shared" si="6"/>
        <v>0</v>
      </c>
    </row>
    <row r="76" spans="1:21" x14ac:dyDescent="0.25">
      <c r="A76" s="63" t="s">
        <v>91</v>
      </c>
      <c r="B76" s="15"/>
      <c r="C76" s="91">
        <f t="shared" ref="C76:D76" si="27">SUM(C75)</f>
        <v>0</v>
      </c>
      <c r="D76" s="92">
        <f t="shared" si="27"/>
        <v>0</v>
      </c>
      <c r="E76" s="93">
        <f>SUM(E75)</f>
        <v>0</v>
      </c>
      <c r="F76" s="93">
        <f t="shared" ref="F76:Q76" si="28">SUM(F75)</f>
        <v>0</v>
      </c>
      <c r="G76" s="93">
        <f t="shared" si="28"/>
        <v>0</v>
      </c>
      <c r="H76" s="93">
        <f t="shared" si="28"/>
        <v>0</v>
      </c>
      <c r="I76" s="93">
        <v>0</v>
      </c>
      <c r="J76" s="93">
        <v>0</v>
      </c>
      <c r="K76" s="93">
        <f t="shared" si="28"/>
        <v>0</v>
      </c>
      <c r="L76" s="93">
        <f t="shared" si="28"/>
        <v>0</v>
      </c>
      <c r="M76" s="93">
        <f t="shared" si="28"/>
        <v>0</v>
      </c>
      <c r="N76" s="93">
        <f t="shared" si="28"/>
        <v>0</v>
      </c>
      <c r="O76" s="93">
        <f t="shared" si="28"/>
        <v>0</v>
      </c>
      <c r="P76" s="93">
        <f t="shared" si="28"/>
        <v>0</v>
      </c>
      <c r="Q76" s="93">
        <f t="shared" si="28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>
        <f>660/10*12</f>
        <v>792</v>
      </c>
      <c r="D78" s="57">
        <f>C78/12</f>
        <v>66</v>
      </c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19"/>
        <v>0</v>
      </c>
      <c r="U78" s="62">
        <f t="shared" si="6"/>
        <v>-1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 t="shared" si="1"/>
        <v>#DIV/0!</v>
      </c>
      <c r="S79" s="15"/>
      <c r="T79" s="62">
        <f t="shared" si="19"/>
        <v>0</v>
      </c>
      <c r="U79" s="62">
        <f t="shared" si="6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19"/>
        <v>0</v>
      </c>
      <c r="U80" s="62">
        <f t="shared" si="6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19"/>
        <v>0</v>
      </c>
      <c r="U81" s="62">
        <f t="shared" si="6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29">SUM(C78:C81)</f>
        <v>792</v>
      </c>
      <c r="D82" s="92">
        <f t="shared" si="29"/>
        <v>66</v>
      </c>
      <c r="E82" s="93">
        <f>SUM(E78:E81)</f>
        <v>0</v>
      </c>
      <c r="F82" s="93">
        <f t="shared" ref="F82:Q82" si="30">SUM(F78:F81)</f>
        <v>0</v>
      </c>
      <c r="G82" s="93">
        <f t="shared" si="30"/>
        <v>0</v>
      </c>
      <c r="H82" s="93">
        <f t="shared" si="30"/>
        <v>0</v>
      </c>
      <c r="I82" s="93">
        <f t="shared" si="30"/>
        <v>0</v>
      </c>
      <c r="J82" s="93">
        <f t="shared" si="30"/>
        <v>0</v>
      </c>
      <c r="K82" s="93">
        <f t="shared" si="30"/>
        <v>0</v>
      </c>
      <c r="L82" s="93">
        <f t="shared" si="30"/>
        <v>0</v>
      </c>
      <c r="M82" s="93">
        <f t="shared" si="30"/>
        <v>0</v>
      </c>
      <c r="N82" s="93">
        <f t="shared" si="30"/>
        <v>0</v>
      </c>
      <c r="O82" s="93">
        <f t="shared" si="30"/>
        <v>0</v>
      </c>
      <c r="P82" s="93">
        <f t="shared" si="30"/>
        <v>0</v>
      </c>
      <c r="Q82" s="93">
        <f t="shared" si="30"/>
        <v>0</v>
      </c>
      <c r="R82" s="94">
        <f t="shared" si="1"/>
        <v>0</v>
      </c>
      <c r="T82" s="96">
        <f t="shared" si="19"/>
        <v>0</v>
      </c>
      <c r="U82" s="96">
        <f t="shared" si="6"/>
        <v>-1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/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1">SUM(E84:P84)</f>
        <v>0</v>
      </c>
      <c r="R84" s="89" t="e">
        <f t="shared" si="1"/>
        <v>#DIV/0!</v>
      </c>
      <c r="S84" s="15"/>
      <c r="T84" s="62">
        <f t="shared" si="19"/>
        <v>0</v>
      </c>
      <c r="U84" s="62">
        <f t="shared" si="6"/>
        <v>0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1"/>
        <v>0</v>
      </c>
      <c r="R85" s="89" t="e">
        <f t="shared" si="1"/>
        <v>#DIV/0!</v>
      </c>
      <c r="S85" s="15"/>
      <c r="T85" s="62">
        <f t="shared" si="19"/>
        <v>0</v>
      </c>
      <c r="U85" s="62">
        <f t="shared" si="6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1"/>
        <v>0</v>
      </c>
      <c r="R86" s="89" t="e">
        <f t="shared" si="1"/>
        <v>#DIV/0!</v>
      </c>
      <c r="S86" s="15"/>
      <c r="T86" s="62">
        <f t="shared" si="19"/>
        <v>0</v>
      </c>
      <c r="U86" s="62">
        <f t="shared" si="6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1"/>
        <v>0</v>
      </c>
      <c r="R87" s="89" t="e">
        <f t="shared" si="1"/>
        <v>#DIV/0!</v>
      </c>
      <c r="S87" s="15"/>
      <c r="T87" s="62">
        <f t="shared" si="19"/>
        <v>0</v>
      </c>
      <c r="U87" s="62">
        <f t="shared" si="6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1"/>
        <v>0</v>
      </c>
      <c r="R88" s="89" t="e">
        <f t="shared" ref="R88:R130" si="32">AVERAGE(E88:P88)</f>
        <v>#DIV/0!</v>
      </c>
      <c r="S88" s="15"/>
      <c r="T88" s="62">
        <f t="shared" si="19"/>
        <v>0</v>
      </c>
      <c r="U88" s="62">
        <f t="shared" si="6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1"/>
        <v>0</v>
      </c>
      <c r="R89" s="89" t="e">
        <f t="shared" si="32"/>
        <v>#DIV/0!</v>
      </c>
      <c r="S89" s="15"/>
      <c r="T89" s="62">
        <f t="shared" si="19"/>
        <v>0</v>
      </c>
      <c r="U89" s="62">
        <f t="shared" ref="U89:U137" si="33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4">SUM(C84:C89)</f>
        <v>0</v>
      </c>
      <c r="D90" s="92">
        <f t="shared" si="34"/>
        <v>0</v>
      </c>
      <c r="E90" s="93">
        <f t="shared" ref="E90:Q90" si="35">SUM(E84:E89)</f>
        <v>0</v>
      </c>
      <c r="F90" s="93">
        <f t="shared" si="35"/>
        <v>0</v>
      </c>
      <c r="G90" s="93">
        <f t="shared" si="35"/>
        <v>0</v>
      </c>
      <c r="H90" s="93">
        <f t="shared" si="35"/>
        <v>0</v>
      </c>
      <c r="I90" s="93">
        <f t="shared" si="35"/>
        <v>0</v>
      </c>
      <c r="J90" s="93">
        <f t="shared" si="35"/>
        <v>0</v>
      </c>
      <c r="K90" s="93">
        <f t="shared" si="35"/>
        <v>0</v>
      </c>
      <c r="L90" s="93">
        <f t="shared" si="35"/>
        <v>0</v>
      </c>
      <c r="M90" s="93">
        <f t="shared" si="35"/>
        <v>0</v>
      </c>
      <c r="N90" s="93">
        <f t="shared" si="35"/>
        <v>0</v>
      </c>
      <c r="O90" s="93">
        <f t="shared" si="35"/>
        <v>0</v>
      </c>
      <c r="P90" s="93">
        <f t="shared" si="35"/>
        <v>0</v>
      </c>
      <c r="Q90" s="93">
        <f t="shared" si="35"/>
        <v>0</v>
      </c>
      <c r="R90" s="94">
        <f>AVERAGE(E90:P90)</f>
        <v>0</v>
      </c>
      <c r="T90" s="96">
        <f t="shared" si="19"/>
        <v>0</v>
      </c>
      <c r="U90" s="96">
        <f t="shared" si="33"/>
        <v>0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19"/>
        <v>0</v>
      </c>
      <c r="U92" s="62">
        <f t="shared" si="33"/>
        <v>0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2"/>
        <v>#DIV/0!</v>
      </c>
      <c r="S93" s="15"/>
      <c r="T93" s="62">
        <f t="shared" si="19"/>
        <v>0</v>
      </c>
      <c r="U93" s="62">
        <f t="shared" si="33"/>
        <v>0</v>
      </c>
    </row>
    <row r="94" spans="1:21" x14ac:dyDescent="0.25">
      <c r="A94" s="25"/>
      <c r="B94" s="15" t="s">
        <v>109</v>
      </c>
      <c r="C94" s="56"/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2"/>
        <v>#DIV/0!</v>
      </c>
      <c r="S94" s="15"/>
      <c r="T94" s="62">
        <f t="shared" si="19"/>
        <v>0</v>
      </c>
      <c r="U94" s="62">
        <f t="shared" si="33"/>
        <v>0</v>
      </c>
    </row>
    <row r="95" spans="1:21" x14ac:dyDescent="0.25">
      <c r="A95" s="63" t="s">
        <v>110</v>
      </c>
      <c r="B95" s="15"/>
      <c r="C95" s="91">
        <f t="shared" ref="C95:Q95" si="36">SUM(C92:C94)</f>
        <v>0</v>
      </c>
      <c r="D95" s="92">
        <f t="shared" si="36"/>
        <v>0</v>
      </c>
      <c r="E95" s="93">
        <f t="shared" si="36"/>
        <v>0</v>
      </c>
      <c r="F95" s="93">
        <f t="shared" si="36"/>
        <v>0</v>
      </c>
      <c r="G95" s="93">
        <f t="shared" si="36"/>
        <v>0</v>
      </c>
      <c r="H95" s="93">
        <f t="shared" si="36"/>
        <v>0</v>
      </c>
      <c r="I95" s="93">
        <f t="shared" si="36"/>
        <v>0</v>
      </c>
      <c r="J95" s="93">
        <f t="shared" si="36"/>
        <v>0</v>
      </c>
      <c r="K95" s="93">
        <f t="shared" si="36"/>
        <v>0</v>
      </c>
      <c r="L95" s="93">
        <f t="shared" si="36"/>
        <v>0</v>
      </c>
      <c r="M95" s="93">
        <f t="shared" si="36"/>
        <v>0</v>
      </c>
      <c r="N95" s="93">
        <f t="shared" si="36"/>
        <v>0</v>
      </c>
      <c r="O95" s="93">
        <f t="shared" si="36"/>
        <v>0</v>
      </c>
      <c r="P95" s="93">
        <f t="shared" si="36"/>
        <v>0</v>
      </c>
      <c r="Q95" s="93">
        <f t="shared" si="36"/>
        <v>0</v>
      </c>
      <c r="R95" s="94">
        <f t="shared" si="32"/>
        <v>0</v>
      </c>
      <c r="T95" s="96">
        <f t="shared" si="19"/>
        <v>0</v>
      </c>
      <c r="U95" s="96">
        <f t="shared" si="33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20" si="37">SUM(E97:P97)</f>
        <v>0</v>
      </c>
      <c r="R97" s="89" t="e">
        <f t="shared" si="32"/>
        <v>#DIV/0!</v>
      </c>
      <c r="S97" s="15"/>
      <c r="T97" s="62">
        <f t="shared" si="19"/>
        <v>0</v>
      </c>
      <c r="U97" s="62">
        <f t="shared" si="33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7"/>
        <v>0</v>
      </c>
      <c r="R98" s="89" t="e">
        <f t="shared" si="32"/>
        <v>#DIV/0!</v>
      </c>
      <c r="S98" s="15"/>
      <c r="T98" s="62">
        <f t="shared" si="19"/>
        <v>0</v>
      </c>
      <c r="U98" s="62">
        <f t="shared" si="33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7"/>
        <v>0</v>
      </c>
      <c r="R99" s="89" t="e">
        <f t="shared" si="32"/>
        <v>#DIV/0!</v>
      </c>
      <c r="S99" s="15"/>
      <c r="T99" s="62">
        <f t="shared" si="19"/>
        <v>0</v>
      </c>
      <c r="U99" s="62">
        <f t="shared" si="33"/>
        <v>0</v>
      </c>
    </row>
    <row r="100" spans="1:21" x14ac:dyDescent="0.25">
      <c r="A100" s="25"/>
      <c r="B100" s="15" t="s">
        <v>115</v>
      </c>
      <c r="C100" s="56"/>
      <c r="D100" s="57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>
        <f t="shared" si="37"/>
        <v>0</v>
      </c>
      <c r="R100" s="89" t="e">
        <f t="shared" si="32"/>
        <v>#DIV/0!</v>
      </c>
      <c r="S100" s="15"/>
      <c r="T100" s="62">
        <f t="shared" si="19"/>
        <v>0</v>
      </c>
      <c r="U100" s="62">
        <f t="shared" si="33"/>
        <v>0</v>
      </c>
    </row>
    <row r="101" spans="1:21" x14ac:dyDescent="0.25">
      <c r="A101" s="25"/>
      <c r="B101" s="15" t="s">
        <v>116</v>
      </c>
      <c r="C101" s="56">
        <f>520/10*12</f>
        <v>624</v>
      </c>
      <c r="D101" s="57">
        <f>C101/12</f>
        <v>52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7"/>
        <v>0</v>
      </c>
      <c r="R101" s="89" t="e">
        <f t="shared" si="32"/>
        <v>#DIV/0!</v>
      </c>
      <c r="S101" s="15"/>
      <c r="T101" s="62">
        <f t="shared" si="19"/>
        <v>0</v>
      </c>
      <c r="U101" s="62">
        <f t="shared" si="33"/>
        <v>-1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7"/>
        <v>0</v>
      </c>
      <c r="R102" s="89" t="e">
        <f t="shared" si="32"/>
        <v>#DIV/0!</v>
      </c>
      <c r="S102" s="15"/>
      <c r="T102" s="62">
        <f t="shared" si="19"/>
        <v>0</v>
      </c>
      <c r="U102" s="62">
        <f t="shared" si="33"/>
        <v>0</v>
      </c>
    </row>
    <row r="103" spans="1:21" ht="23.25" x14ac:dyDescent="0.25">
      <c r="A103" s="25"/>
      <c r="B103" s="15" t="s">
        <v>118</v>
      </c>
      <c r="C103" s="56">
        <f>180.24/10*12</f>
        <v>216.28800000000001</v>
      </c>
      <c r="D103" s="57">
        <f>C103/12</f>
        <v>18.024000000000001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7"/>
        <v>0</v>
      </c>
      <c r="R103" s="89" t="e">
        <f t="shared" si="32"/>
        <v>#DIV/0!</v>
      </c>
      <c r="S103" s="15"/>
      <c r="T103" s="62">
        <f t="shared" ref="T103:T135" si="38">Q103/$Q$34</f>
        <v>0</v>
      </c>
      <c r="U103" s="62">
        <f t="shared" si="33"/>
        <v>-1</v>
      </c>
    </row>
    <row r="104" spans="1:21" x14ac:dyDescent="0.25">
      <c r="A104" s="25"/>
      <c r="B104" s="15" t="s">
        <v>119</v>
      </c>
      <c r="C104" s="56">
        <v>5487.19</v>
      </c>
      <c r="D104" s="57">
        <f>C104/7</f>
        <v>783.88428571428562</v>
      </c>
      <c r="E104" s="58">
        <f>(50*(E7+E8))+(25*(E9+E10))+(10*(E11+E12))+(15*E13)</f>
        <v>310</v>
      </c>
      <c r="F104" s="58">
        <f t="shared" ref="F104:P104" si="39">(50*(F7+F8))+(25*(F9+F10))+(10*(F11+F12))+(15*F13)</f>
        <v>310</v>
      </c>
      <c r="G104" s="58">
        <f t="shared" si="39"/>
        <v>310</v>
      </c>
      <c r="H104" s="58">
        <f t="shared" si="39"/>
        <v>310</v>
      </c>
      <c r="I104" s="58">
        <f t="shared" si="39"/>
        <v>310</v>
      </c>
      <c r="J104" s="58">
        <f t="shared" si="39"/>
        <v>310</v>
      </c>
      <c r="K104" s="58">
        <f t="shared" si="39"/>
        <v>320</v>
      </c>
      <c r="L104" s="58">
        <f>(50*(L7+L8))+(25*(L9+L10))+(10*(L11+L12))+(15*L13)</f>
        <v>320</v>
      </c>
      <c r="M104" s="58">
        <f t="shared" si="39"/>
        <v>320</v>
      </c>
      <c r="N104" s="58">
        <f t="shared" si="39"/>
        <v>320</v>
      </c>
      <c r="O104" s="58">
        <f t="shared" si="39"/>
        <v>320</v>
      </c>
      <c r="P104" s="58">
        <f t="shared" si="39"/>
        <v>320</v>
      </c>
      <c r="Q104" s="58">
        <f t="shared" si="37"/>
        <v>3780</v>
      </c>
      <c r="R104" s="89">
        <f t="shared" si="32"/>
        <v>315</v>
      </c>
      <c r="S104" s="15"/>
      <c r="T104" s="62">
        <f t="shared" si="38"/>
        <v>2.9744199881023205E-2</v>
      </c>
      <c r="U104" s="62">
        <f t="shared" si="33"/>
        <v>-0.31112281513853168</v>
      </c>
    </row>
    <row r="105" spans="1:21" x14ac:dyDescent="0.25">
      <c r="A105" s="25"/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7"/>
        <v>0</v>
      </c>
      <c r="R105" s="89" t="e">
        <f t="shared" si="32"/>
        <v>#DIV/0!</v>
      </c>
      <c r="S105" s="15"/>
      <c r="T105" s="62">
        <f t="shared" si="38"/>
        <v>0</v>
      </c>
      <c r="U105" s="62">
        <f t="shared" si="33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37"/>
        <v>0</v>
      </c>
      <c r="R106" s="89" t="e">
        <f t="shared" si="32"/>
        <v>#DIV/0!</v>
      </c>
      <c r="S106" s="15"/>
      <c r="T106" s="62">
        <f t="shared" si="38"/>
        <v>0</v>
      </c>
      <c r="U106" s="62">
        <f t="shared" si="33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37"/>
        <v>0</v>
      </c>
      <c r="R107" s="89" t="e">
        <f t="shared" si="32"/>
        <v>#DIV/0!</v>
      </c>
      <c r="S107" s="15"/>
      <c r="T107" s="62">
        <f t="shared" si="38"/>
        <v>0</v>
      </c>
      <c r="U107" s="62">
        <f t="shared" si="33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37"/>
        <v>0</v>
      </c>
      <c r="R108" s="89" t="e">
        <f t="shared" si="32"/>
        <v>#DIV/0!</v>
      </c>
      <c r="S108" s="15"/>
      <c r="T108" s="62">
        <f t="shared" si="38"/>
        <v>0</v>
      </c>
      <c r="U108" s="62">
        <f t="shared" si="33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37"/>
        <v>0</v>
      </c>
      <c r="R109" s="89" t="e">
        <f t="shared" si="32"/>
        <v>#DIV/0!</v>
      </c>
      <c r="S109" s="15"/>
      <c r="T109" s="62">
        <f t="shared" si="38"/>
        <v>0</v>
      </c>
      <c r="U109" s="62">
        <f t="shared" si="33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37"/>
        <v>0</v>
      </c>
      <c r="R110" s="89" t="e">
        <f t="shared" si="32"/>
        <v>#DIV/0!</v>
      </c>
      <c r="S110" s="15"/>
      <c r="T110" s="62">
        <f t="shared" si="38"/>
        <v>0</v>
      </c>
      <c r="U110" s="62">
        <f t="shared" si="33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37"/>
        <v>0</v>
      </c>
      <c r="R111" s="89" t="e">
        <f t="shared" si="32"/>
        <v>#DIV/0!</v>
      </c>
      <c r="S111" s="15"/>
      <c r="T111" s="62">
        <f t="shared" si="38"/>
        <v>0</v>
      </c>
      <c r="U111" s="62">
        <f t="shared" si="33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37"/>
        <v>0</v>
      </c>
      <c r="R112" s="89" t="e">
        <f t="shared" si="32"/>
        <v>#DIV/0!</v>
      </c>
      <c r="S112" s="15"/>
      <c r="T112" s="62">
        <f t="shared" si="38"/>
        <v>0</v>
      </c>
      <c r="U112" s="62">
        <f t="shared" si="33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37"/>
        <v>0</v>
      </c>
      <c r="R113" s="89" t="e">
        <f t="shared" si="32"/>
        <v>#DIV/0!</v>
      </c>
      <c r="S113" s="15"/>
      <c r="T113" s="62">
        <f t="shared" si="38"/>
        <v>0</v>
      </c>
      <c r="U113" s="62">
        <f t="shared" si="33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37"/>
        <v>0</v>
      </c>
      <c r="R114" s="89" t="e">
        <f t="shared" si="32"/>
        <v>#DIV/0!</v>
      </c>
      <c r="S114" s="15"/>
      <c r="T114" s="62">
        <f t="shared" si="38"/>
        <v>0</v>
      </c>
      <c r="U114" s="62">
        <f t="shared" si="33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7"/>
        <v>0</v>
      </c>
      <c r="R115" s="89" t="e">
        <f t="shared" si="32"/>
        <v>#DIV/0!</v>
      </c>
      <c r="S115" s="15"/>
      <c r="T115" s="62">
        <f t="shared" si="38"/>
        <v>0</v>
      </c>
      <c r="U115" s="62">
        <f t="shared" si="33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7"/>
        <v>0</v>
      </c>
      <c r="R116" s="89" t="e">
        <f t="shared" si="32"/>
        <v>#DIV/0!</v>
      </c>
      <c r="S116" s="15"/>
      <c r="T116" s="62">
        <f t="shared" si="38"/>
        <v>0</v>
      </c>
      <c r="U116" s="62">
        <f t="shared" si="33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7"/>
        <v>0</v>
      </c>
      <c r="R117" s="89" t="e">
        <f t="shared" si="32"/>
        <v>#DIV/0!</v>
      </c>
      <c r="S117" s="15"/>
      <c r="T117" s="62">
        <f t="shared" si="38"/>
        <v>0</v>
      </c>
      <c r="U117" s="62">
        <f t="shared" si="33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7"/>
        <v>0</v>
      </c>
      <c r="R118" s="89" t="e">
        <f t="shared" si="32"/>
        <v>#DIV/0!</v>
      </c>
      <c r="S118" s="15"/>
      <c r="T118" s="62">
        <f t="shared" si="38"/>
        <v>0</v>
      </c>
      <c r="U118" s="62">
        <f t="shared" si="33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 t="shared" si="37"/>
        <v>0</v>
      </c>
      <c r="R119" s="89" t="e">
        <f t="shared" si="32"/>
        <v>#DIV/0!</v>
      </c>
      <c r="S119" s="15"/>
      <c r="T119" s="62">
        <f t="shared" si="38"/>
        <v>0</v>
      </c>
      <c r="U119" s="62">
        <f t="shared" si="33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37"/>
        <v>0</v>
      </c>
      <c r="R120" s="89" t="e">
        <f t="shared" si="32"/>
        <v>#DIV/0!</v>
      </c>
      <c r="S120" s="15"/>
      <c r="T120" s="62">
        <f t="shared" si="38"/>
        <v>0</v>
      </c>
      <c r="U120" s="62">
        <f t="shared" si="33"/>
        <v>0</v>
      </c>
    </row>
    <row r="121" spans="1:21" x14ac:dyDescent="0.25">
      <c r="A121" s="63" t="s">
        <v>136</v>
      </c>
      <c r="B121" s="15" t="s">
        <v>48</v>
      </c>
      <c r="C121" s="91">
        <f t="shared" ref="C121:D121" si="40">SUM(C97:C120)</f>
        <v>6327.4779999999992</v>
      </c>
      <c r="D121" s="92">
        <f t="shared" si="40"/>
        <v>853.90828571428563</v>
      </c>
      <c r="E121" s="93">
        <f t="shared" ref="E121:Q121" si="41">SUM(E97:E120)</f>
        <v>310</v>
      </c>
      <c r="F121" s="93">
        <f t="shared" si="41"/>
        <v>310</v>
      </c>
      <c r="G121" s="93">
        <f t="shared" si="41"/>
        <v>310</v>
      </c>
      <c r="H121" s="93">
        <f t="shared" si="41"/>
        <v>310</v>
      </c>
      <c r="I121" s="93">
        <f t="shared" si="41"/>
        <v>310</v>
      </c>
      <c r="J121" s="93">
        <f t="shared" si="41"/>
        <v>310</v>
      </c>
      <c r="K121" s="93">
        <f t="shared" si="41"/>
        <v>320</v>
      </c>
      <c r="L121" s="93">
        <f t="shared" si="41"/>
        <v>320</v>
      </c>
      <c r="M121" s="93">
        <f t="shared" si="41"/>
        <v>320</v>
      </c>
      <c r="N121" s="93">
        <f t="shared" si="41"/>
        <v>320</v>
      </c>
      <c r="O121" s="93">
        <f t="shared" si="41"/>
        <v>320</v>
      </c>
      <c r="P121" s="93">
        <f t="shared" si="41"/>
        <v>320</v>
      </c>
      <c r="Q121" s="93">
        <f t="shared" si="41"/>
        <v>3780</v>
      </c>
      <c r="R121" s="94">
        <f>AVERAGE(E121:P121)</f>
        <v>315</v>
      </c>
      <c r="T121" s="96">
        <f t="shared" si="38"/>
        <v>2.9744199881023205E-2</v>
      </c>
      <c r="U121" s="96">
        <f t="shared" si="33"/>
        <v>-0.40260558788193329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/>
      <c r="D123" s="57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>
        <f>SUM(E123:P123)</f>
        <v>0</v>
      </c>
      <c r="R123" s="89" t="e">
        <f t="shared" si="32"/>
        <v>#DIV/0!</v>
      </c>
      <c r="S123" s="15"/>
      <c r="T123" s="62">
        <f t="shared" si="38"/>
        <v>0</v>
      </c>
      <c r="U123" s="62">
        <f t="shared" si="33"/>
        <v>0</v>
      </c>
    </row>
    <row r="124" spans="1:21" x14ac:dyDescent="0.25">
      <c r="A124" s="63" t="s">
        <v>139</v>
      </c>
      <c r="B124" s="15" t="s">
        <v>48</v>
      </c>
      <c r="C124" s="91">
        <f t="shared" ref="C124:Q124" si="42">SUM(C123:C123)</f>
        <v>0</v>
      </c>
      <c r="D124" s="92">
        <f t="shared" si="42"/>
        <v>0</v>
      </c>
      <c r="E124" s="93">
        <f t="shared" si="42"/>
        <v>0</v>
      </c>
      <c r="F124" s="93">
        <f t="shared" si="42"/>
        <v>0</v>
      </c>
      <c r="G124" s="93">
        <f t="shared" si="42"/>
        <v>0</v>
      </c>
      <c r="H124" s="93">
        <f t="shared" si="42"/>
        <v>0</v>
      </c>
      <c r="I124" s="93">
        <f t="shared" si="42"/>
        <v>0</v>
      </c>
      <c r="J124" s="93">
        <f t="shared" si="42"/>
        <v>0</v>
      </c>
      <c r="K124" s="93">
        <f t="shared" si="42"/>
        <v>0</v>
      </c>
      <c r="L124" s="93">
        <f t="shared" si="42"/>
        <v>0</v>
      </c>
      <c r="M124" s="93">
        <f t="shared" si="42"/>
        <v>0</v>
      </c>
      <c r="N124" s="93">
        <f t="shared" si="42"/>
        <v>0</v>
      </c>
      <c r="O124" s="93">
        <f t="shared" si="42"/>
        <v>0</v>
      </c>
      <c r="P124" s="93">
        <f t="shared" si="42"/>
        <v>0</v>
      </c>
      <c r="Q124" s="93">
        <f t="shared" si="42"/>
        <v>0</v>
      </c>
      <c r="R124" s="94">
        <f t="shared" si="32"/>
        <v>0</v>
      </c>
      <c r="T124" s="96">
        <f t="shared" si="38"/>
        <v>0</v>
      </c>
      <c r="U124" s="96">
        <f t="shared" si="33"/>
        <v>0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f>305/10*12</f>
        <v>366</v>
      </c>
      <c r="D126" s="57">
        <f>C126/12</f>
        <v>30.5</v>
      </c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2"/>
        <v>#DIV/0!</v>
      </c>
      <c r="S126" s="15"/>
      <c r="T126" s="62">
        <f t="shared" si="38"/>
        <v>0</v>
      </c>
      <c r="U126" s="62">
        <f t="shared" si="33"/>
        <v>-1</v>
      </c>
    </row>
    <row r="127" spans="1:21" x14ac:dyDescent="0.25">
      <c r="A127" s="63" t="s">
        <v>142</v>
      </c>
      <c r="B127" s="15"/>
      <c r="C127" s="137">
        <f t="shared" ref="C127:Q127" si="43">SUM(C126:C126)</f>
        <v>366</v>
      </c>
      <c r="D127" s="138">
        <f t="shared" si="43"/>
        <v>30.5</v>
      </c>
      <c r="E127" s="139">
        <f t="shared" si="43"/>
        <v>0</v>
      </c>
      <c r="F127" s="139">
        <f t="shared" si="43"/>
        <v>0</v>
      </c>
      <c r="G127" s="139">
        <f t="shared" si="43"/>
        <v>0</v>
      </c>
      <c r="H127" s="139">
        <f t="shared" si="43"/>
        <v>0</v>
      </c>
      <c r="I127" s="139">
        <f t="shared" si="43"/>
        <v>0</v>
      </c>
      <c r="J127" s="139">
        <f t="shared" si="43"/>
        <v>0</v>
      </c>
      <c r="K127" s="139">
        <f t="shared" si="43"/>
        <v>0</v>
      </c>
      <c r="L127" s="139">
        <f t="shared" si="43"/>
        <v>0</v>
      </c>
      <c r="M127" s="139">
        <f t="shared" si="43"/>
        <v>0</v>
      </c>
      <c r="N127" s="139">
        <f t="shared" si="43"/>
        <v>0</v>
      </c>
      <c r="O127" s="139">
        <f t="shared" si="43"/>
        <v>0</v>
      </c>
      <c r="P127" s="139">
        <f t="shared" si="43"/>
        <v>0</v>
      </c>
      <c r="Q127" s="139">
        <f t="shared" si="43"/>
        <v>0</v>
      </c>
      <c r="R127" s="140">
        <f t="shared" si="32"/>
        <v>0</v>
      </c>
      <c r="T127" s="141">
        <f t="shared" si="38"/>
        <v>0</v>
      </c>
      <c r="U127" s="141">
        <f t="shared" si="33"/>
        <v>-1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4">C124+C121+C90+C82+C73+C62+C48+C95+C76+C127</f>
        <v>7485.4779999999992</v>
      </c>
      <c r="D128" s="72">
        <f t="shared" si="44"/>
        <v>950.40828571428563</v>
      </c>
      <c r="E128" s="73">
        <f t="shared" si="44"/>
        <v>310</v>
      </c>
      <c r="F128" s="73">
        <f t="shared" si="44"/>
        <v>310</v>
      </c>
      <c r="G128" s="73">
        <f t="shared" si="44"/>
        <v>310</v>
      </c>
      <c r="H128" s="73">
        <f t="shared" si="44"/>
        <v>310</v>
      </c>
      <c r="I128" s="73">
        <f t="shared" si="44"/>
        <v>310</v>
      </c>
      <c r="J128" s="73">
        <f t="shared" si="44"/>
        <v>310</v>
      </c>
      <c r="K128" s="73">
        <f t="shared" si="44"/>
        <v>320</v>
      </c>
      <c r="L128" s="73">
        <f t="shared" si="44"/>
        <v>320</v>
      </c>
      <c r="M128" s="73">
        <f t="shared" si="44"/>
        <v>320</v>
      </c>
      <c r="N128" s="73">
        <f t="shared" si="44"/>
        <v>320</v>
      </c>
      <c r="O128" s="73">
        <f t="shared" si="44"/>
        <v>320</v>
      </c>
      <c r="P128" s="73">
        <f t="shared" si="44"/>
        <v>320</v>
      </c>
      <c r="Q128" s="73">
        <f t="shared" si="44"/>
        <v>3780</v>
      </c>
      <c r="R128" s="74">
        <f t="shared" si="32"/>
        <v>315</v>
      </c>
      <c r="T128" s="76">
        <f t="shared" si="38"/>
        <v>2.9744199881023205E-2</v>
      </c>
      <c r="U128" s="76">
        <f t="shared" si="33"/>
        <v>-0.49502222837339172</v>
      </c>
    </row>
    <row r="129" spans="1:21" x14ac:dyDescent="0.25">
      <c r="A129" s="78" t="s">
        <v>144</v>
      </c>
      <c r="B129" t="s">
        <v>48</v>
      </c>
      <c r="C129" s="79">
        <f t="shared" ref="C129:Q129" si="45">C34-C128</f>
        <v>82420.232000000018</v>
      </c>
      <c r="D129" s="80">
        <f t="shared" si="45"/>
        <v>6541.734214285716</v>
      </c>
      <c r="E129" s="81">
        <f t="shared" si="45"/>
        <v>10280.300000000003</v>
      </c>
      <c r="F129" s="81">
        <f t="shared" si="45"/>
        <v>10280.300000000003</v>
      </c>
      <c r="G129" s="81">
        <f t="shared" si="45"/>
        <v>10280.300000000003</v>
      </c>
      <c r="H129" s="81">
        <f t="shared" si="45"/>
        <v>10280.300000000003</v>
      </c>
      <c r="I129" s="81">
        <f t="shared" si="45"/>
        <v>10280.300000000003</v>
      </c>
      <c r="J129" s="81">
        <f t="shared" si="45"/>
        <v>10280.300000000003</v>
      </c>
      <c r="K129" s="81">
        <f t="shared" si="45"/>
        <v>10270.300000000003</v>
      </c>
      <c r="L129" s="81">
        <f t="shared" si="45"/>
        <v>10270.300000000003</v>
      </c>
      <c r="M129" s="81">
        <f t="shared" si="45"/>
        <v>10270.300000000003</v>
      </c>
      <c r="N129" s="81">
        <f t="shared" si="45"/>
        <v>10270.300000000003</v>
      </c>
      <c r="O129" s="81">
        <f t="shared" si="45"/>
        <v>10270.300000000003</v>
      </c>
      <c r="P129" s="81">
        <f t="shared" si="45"/>
        <v>10270.300000000003</v>
      </c>
      <c r="Q129" s="81">
        <f t="shared" si="45"/>
        <v>123303.59999999998</v>
      </c>
      <c r="R129" s="82">
        <f t="shared" si="32"/>
        <v>10275.300000000003</v>
      </c>
      <c r="T129" s="31">
        <f t="shared" si="38"/>
        <v>0.97025580011897683</v>
      </c>
      <c r="U129" s="31">
        <f t="shared" si="33"/>
        <v>0.49603558504906842</v>
      </c>
    </row>
    <row r="130" spans="1:21" x14ac:dyDescent="0.25">
      <c r="A130" s="78" t="s">
        <v>145</v>
      </c>
      <c r="B130" t="s">
        <v>48</v>
      </c>
      <c r="C130" s="339">
        <f t="shared" ref="C130:Q130" si="46">IFERROR(C129/C34,0)</f>
        <v>0.91674079432774624</v>
      </c>
      <c r="D130" s="340">
        <f t="shared" si="46"/>
        <v>0.87314599452502595</v>
      </c>
      <c r="E130" s="341">
        <f t="shared" si="46"/>
        <v>0.9707279302758185</v>
      </c>
      <c r="F130" s="341">
        <f t="shared" si="46"/>
        <v>0.9707279302758185</v>
      </c>
      <c r="G130" s="341">
        <f t="shared" si="46"/>
        <v>0.9707279302758185</v>
      </c>
      <c r="H130" s="341">
        <f t="shared" si="46"/>
        <v>0.9707279302758185</v>
      </c>
      <c r="I130" s="341">
        <f t="shared" si="46"/>
        <v>0.9707279302758185</v>
      </c>
      <c r="J130" s="341">
        <f t="shared" si="46"/>
        <v>0.9707279302758185</v>
      </c>
      <c r="K130" s="341">
        <f t="shared" si="46"/>
        <v>0.96978366996213516</v>
      </c>
      <c r="L130" s="341">
        <f t="shared" si="46"/>
        <v>0.96978366996213516</v>
      </c>
      <c r="M130" s="341">
        <f t="shared" si="46"/>
        <v>0.96978366996213516</v>
      </c>
      <c r="N130" s="341">
        <f t="shared" si="46"/>
        <v>0.96978366996213516</v>
      </c>
      <c r="O130" s="341">
        <f t="shared" si="46"/>
        <v>0.96978366996213516</v>
      </c>
      <c r="P130" s="341">
        <f t="shared" si="46"/>
        <v>0.96978366996213516</v>
      </c>
      <c r="Q130" s="341">
        <f t="shared" si="46"/>
        <v>0.97025580011897683</v>
      </c>
      <c r="R130" s="342">
        <f t="shared" si="32"/>
        <v>0.97025580011897672</v>
      </c>
      <c r="T130" s="31"/>
      <c r="U130" s="31">
        <f>IFERROR((Q130-C130)/C130,0)</f>
        <v>5.837528571036657E-2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7">AVERAGE(E132:P132)</f>
        <v>#DIV/0!</v>
      </c>
      <c r="S132" s="15"/>
      <c r="T132" s="62">
        <f t="shared" si="38"/>
        <v>0</v>
      </c>
      <c r="U132" s="62">
        <f t="shared" si="33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7"/>
        <v>#DIV/0!</v>
      </c>
      <c r="S133" s="15"/>
      <c r="T133" s="62">
        <f t="shared" si="38"/>
        <v>0</v>
      </c>
      <c r="U133" s="62">
        <f t="shared" si="33"/>
        <v>0</v>
      </c>
    </row>
    <row r="134" spans="1:21" x14ac:dyDescent="0.25">
      <c r="A134" s="63" t="s">
        <v>149</v>
      </c>
      <c r="C134" s="137">
        <f t="shared" ref="C134:D134" si="48">SUM(C132:C133)</f>
        <v>0</v>
      </c>
      <c r="D134" s="138">
        <f t="shared" si="48"/>
        <v>0</v>
      </c>
      <c r="E134" s="139">
        <f>SUM(E132:E133)</f>
        <v>0</v>
      </c>
      <c r="F134" s="139">
        <f t="shared" ref="F134:Q134" si="49">SUM(F132:F133)</f>
        <v>0</v>
      </c>
      <c r="G134" s="139">
        <f t="shared" si="49"/>
        <v>0</v>
      </c>
      <c r="H134" s="139">
        <f t="shared" si="49"/>
        <v>0</v>
      </c>
      <c r="I134" s="139">
        <f t="shared" si="49"/>
        <v>0</v>
      </c>
      <c r="J134" s="139">
        <f t="shared" si="49"/>
        <v>0</v>
      </c>
      <c r="K134" s="139">
        <f t="shared" si="49"/>
        <v>0</v>
      </c>
      <c r="L134" s="139">
        <f t="shared" si="49"/>
        <v>0</v>
      </c>
      <c r="M134" s="139">
        <f t="shared" si="49"/>
        <v>0</v>
      </c>
      <c r="N134" s="139">
        <f t="shared" si="49"/>
        <v>0</v>
      </c>
      <c r="O134" s="139">
        <f t="shared" si="49"/>
        <v>0</v>
      </c>
      <c r="P134" s="139">
        <f t="shared" si="49"/>
        <v>0</v>
      </c>
      <c r="Q134" s="139">
        <f t="shared" si="49"/>
        <v>0</v>
      </c>
      <c r="R134" s="140">
        <f>AVERAGE(E134:P134)</f>
        <v>0</v>
      </c>
      <c r="T134" s="141">
        <f t="shared" si="38"/>
        <v>0</v>
      </c>
      <c r="U134" s="141">
        <f t="shared" si="33"/>
        <v>0</v>
      </c>
    </row>
    <row r="135" spans="1:21" ht="22.5" x14ac:dyDescent="0.25">
      <c r="A135" s="63" t="s">
        <v>150</v>
      </c>
      <c r="C135" s="71">
        <f t="shared" ref="C135:D135" si="50">C134+C128</f>
        <v>7485.4779999999992</v>
      </c>
      <c r="D135" s="72">
        <f t="shared" si="50"/>
        <v>950.40828571428563</v>
      </c>
      <c r="E135" s="73">
        <f>E134+E128</f>
        <v>310</v>
      </c>
      <c r="F135" s="73">
        <f t="shared" ref="F135:P135" si="51">F134+F128</f>
        <v>310</v>
      </c>
      <c r="G135" s="73">
        <f t="shared" si="51"/>
        <v>310</v>
      </c>
      <c r="H135" s="73">
        <f t="shared" si="51"/>
        <v>310</v>
      </c>
      <c r="I135" s="73">
        <f t="shared" si="51"/>
        <v>310</v>
      </c>
      <c r="J135" s="73">
        <f t="shared" si="51"/>
        <v>310</v>
      </c>
      <c r="K135" s="73">
        <f t="shared" si="51"/>
        <v>320</v>
      </c>
      <c r="L135" s="73">
        <f t="shared" si="51"/>
        <v>320</v>
      </c>
      <c r="M135" s="73">
        <f t="shared" si="51"/>
        <v>320</v>
      </c>
      <c r="N135" s="73">
        <f t="shared" si="51"/>
        <v>320</v>
      </c>
      <c r="O135" s="73">
        <f t="shared" si="51"/>
        <v>320</v>
      </c>
      <c r="P135" s="73">
        <f t="shared" si="51"/>
        <v>320</v>
      </c>
      <c r="Q135" s="73">
        <f>Q134+Q128</f>
        <v>3780</v>
      </c>
      <c r="R135" s="74">
        <f t="shared" si="47"/>
        <v>315</v>
      </c>
      <c r="T135" s="76">
        <f t="shared" si="38"/>
        <v>2.9744199881023205E-2</v>
      </c>
      <c r="U135" s="76">
        <f t="shared" si="33"/>
        <v>-0.49502222837339172</v>
      </c>
    </row>
    <row r="136" spans="1:21" x14ac:dyDescent="0.25">
      <c r="A136" s="78" t="s">
        <v>151</v>
      </c>
      <c r="C136" s="79">
        <f t="shared" ref="C136:Q136" si="52">C34-C135</f>
        <v>82420.232000000018</v>
      </c>
      <c r="D136" s="80">
        <f t="shared" si="52"/>
        <v>6541.734214285716</v>
      </c>
      <c r="E136" s="81">
        <f t="shared" si="52"/>
        <v>10280.300000000003</v>
      </c>
      <c r="F136" s="81">
        <f t="shared" si="52"/>
        <v>10280.300000000003</v>
      </c>
      <c r="G136" s="81">
        <f t="shared" si="52"/>
        <v>10280.300000000003</v>
      </c>
      <c r="H136" s="81">
        <f t="shared" si="52"/>
        <v>10280.300000000003</v>
      </c>
      <c r="I136" s="81">
        <f t="shared" si="52"/>
        <v>10280.300000000003</v>
      </c>
      <c r="J136" s="81">
        <f t="shared" si="52"/>
        <v>10280.300000000003</v>
      </c>
      <c r="K136" s="81">
        <f t="shared" si="52"/>
        <v>10270.300000000003</v>
      </c>
      <c r="L136" s="81">
        <f t="shared" si="52"/>
        <v>10270.300000000003</v>
      </c>
      <c r="M136" s="81">
        <f t="shared" si="52"/>
        <v>10270.300000000003</v>
      </c>
      <c r="N136" s="81">
        <f t="shared" si="52"/>
        <v>10270.300000000003</v>
      </c>
      <c r="O136" s="81">
        <f t="shared" si="52"/>
        <v>10270.300000000003</v>
      </c>
      <c r="P136" s="81">
        <f t="shared" si="52"/>
        <v>10270.300000000003</v>
      </c>
      <c r="Q136" s="81">
        <f t="shared" si="52"/>
        <v>123303.59999999998</v>
      </c>
      <c r="R136" s="82">
        <f>AVERAGE(E136:P136)</f>
        <v>10275.300000000003</v>
      </c>
      <c r="T136" s="31">
        <f>Q136/$Q$34</f>
        <v>0.97025580011897683</v>
      </c>
      <c r="U136" s="31">
        <f t="shared" si="33"/>
        <v>0.49603558504906842</v>
      </c>
    </row>
    <row r="137" spans="1:21" ht="15.75" thickBot="1" x14ac:dyDescent="0.3">
      <c r="A137" s="78" t="s">
        <v>152</v>
      </c>
      <c r="C137" s="344">
        <f>IFERROR(C136/C34,"")</f>
        <v>0.91674079432774624</v>
      </c>
      <c r="D137" s="345">
        <f>IFERROR(D136/D34,"")</f>
        <v>0.87314599452502595</v>
      </c>
      <c r="E137" s="341">
        <f t="shared" ref="E137:Q137" si="53">E136/E34</f>
        <v>0.9707279302758185</v>
      </c>
      <c r="F137" s="341">
        <f t="shared" si="53"/>
        <v>0.9707279302758185</v>
      </c>
      <c r="G137" s="341">
        <f t="shared" si="53"/>
        <v>0.9707279302758185</v>
      </c>
      <c r="H137" s="341">
        <f t="shared" si="53"/>
        <v>0.9707279302758185</v>
      </c>
      <c r="I137" s="341">
        <f t="shared" si="53"/>
        <v>0.9707279302758185</v>
      </c>
      <c r="J137" s="341">
        <f t="shared" si="53"/>
        <v>0.9707279302758185</v>
      </c>
      <c r="K137" s="341">
        <f t="shared" si="53"/>
        <v>0.96978366996213516</v>
      </c>
      <c r="L137" s="341">
        <f t="shared" si="53"/>
        <v>0.96978366996213516</v>
      </c>
      <c r="M137" s="341">
        <f t="shared" si="53"/>
        <v>0.96978366996213516</v>
      </c>
      <c r="N137" s="341">
        <f t="shared" si="53"/>
        <v>0.96978366996213516</v>
      </c>
      <c r="O137" s="341">
        <f t="shared" si="53"/>
        <v>0.96978366996213516</v>
      </c>
      <c r="P137" s="341">
        <f t="shared" si="53"/>
        <v>0.96978366996213516</v>
      </c>
      <c r="Q137" s="341">
        <f t="shared" si="53"/>
        <v>0.97025580011897683</v>
      </c>
      <c r="R137" s="346">
        <f t="shared" si="47"/>
        <v>0.97025580011897672</v>
      </c>
      <c r="T137" s="181"/>
      <c r="U137" s="181">
        <f t="shared" si="33"/>
        <v>5.837528571036657E-2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AE00-1BDA-4092-AD96-419951CA71B8}">
  <dimension ref="A1:AA137"/>
  <sheetViews>
    <sheetView workbookViewId="0">
      <selection activeCell="A17" sqref="A17"/>
    </sheetView>
  </sheetViews>
  <sheetFormatPr defaultRowHeight="15" x14ac:dyDescent="0.25"/>
  <cols>
    <col min="1" max="2" width="30.5703125" bestFit="1" customWidth="1"/>
    <col min="3" max="4" width="10.5703125" customWidth="1"/>
    <col min="5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7.85546875" bestFit="1" customWidth="1"/>
    <col min="12" max="12" width="8.5703125" bestFit="1" customWidth="1"/>
    <col min="14" max="15" width="8.42578125" bestFit="1" customWidth="1"/>
    <col min="16" max="16" width="8.5703125" bestFit="1" customWidth="1"/>
    <col min="17" max="17" width="9.42578125" bestFit="1" customWidth="1"/>
    <col min="18" max="18" width="7.5703125" bestFit="1" customWidth="1"/>
    <col min="19" max="19" width="39.42578125" customWidth="1"/>
    <col min="20" max="20" width="10" bestFit="1" customWidth="1"/>
    <col min="21" max="21" width="11.85546875" customWidth="1"/>
    <col min="24" max="24" width="13.140625" customWidth="1"/>
    <col min="25" max="25" width="13.85546875" customWidth="1"/>
    <col min="26" max="26" width="14.5703125" customWidth="1"/>
    <col min="27" max="27" width="16" customWidth="1"/>
  </cols>
  <sheetData>
    <row r="1" spans="1:27" ht="18" x14ac:dyDescent="0.25">
      <c r="A1" s="401" t="s">
        <v>383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7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7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7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7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7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T6" s="13" t="s">
        <v>19</v>
      </c>
      <c r="U6" s="13" t="s">
        <v>153</v>
      </c>
    </row>
    <row r="7" spans="1:27" x14ac:dyDescent="0.25">
      <c r="A7" s="15" t="s">
        <v>21</v>
      </c>
      <c r="B7" s="15" t="s">
        <v>22</v>
      </c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>
        <f t="shared" ref="Q7:Q13" si="0">SUM(E7:P7)</f>
        <v>0</v>
      </c>
      <c r="R7" s="335" t="e">
        <f>AVERAGE(E7:P7)</f>
        <v>#DIV/0!</v>
      </c>
      <c r="S7" s="15"/>
      <c r="T7" s="21"/>
      <c r="U7" s="22">
        <f>IFERROR((Q7-C7)/C7,0)</f>
        <v>0</v>
      </c>
    </row>
    <row r="8" spans="1:27" x14ac:dyDescent="0.25">
      <c r="A8" s="25"/>
      <c r="B8" s="15" t="s">
        <v>23</v>
      </c>
      <c r="C8" s="16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>
        <f t="shared" si="0"/>
        <v>0</v>
      </c>
      <c r="R8" s="335" t="e">
        <f t="shared" ref="R8:R87" si="1">AVERAGE(E8:P8)</f>
        <v>#DIV/0!</v>
      </c>
      <c r="S8" s="15"/>
      <c r="T8" s="21"/>
      <c r="U8" s="22">
        <f t="shared" ref="U8:U13" si="2">IFERROR((Q8-C8)/C8,0)</f>
        <v>0</v>
      </c>
    </row>
    <row r="9" spans="1:27" x14ac:dyDescent="0.25">
      <c r="A9" s="25"/>
      <c r="B9" s="15" t="s">
        <v>24</v>
      </c>
      <c r="C9" s="16">
        <v>24.023999999999997</v>
      </c>
      <c r="D9" s="17">
        <v>2.0019999999999998</v>
      </c>
      <c r="E9" s="18">
        <v>3</v>
      </c>
      <c r="F9" s="18">
        <v>3</v>
      </c>
      <c r="G9" s="18">
        <v>3</v>
      </c>
      <c r="H9" s="18">
        <v>3</v>
      </c>
      <c r="I9" s="18">
        <v>3</v>
      </c>
      <c r="J9" s="18">
        <v>3</v>
      </c>
      <c r="K9" s="18">
        <v>3</v>
      </c>
      <c r="L9" s="18">
        <v>3</v>
      </c>
      <c r="M9" s="18">
        <v>3</v>
      </c>
      <c r="N9" s="18">
        <v>3</v>
      </c>
      <c r="O9" s="18">
        <v>3</v>
      </c>
      <c r="P9" s="18">
        <v>3</v>
      </c>
      <c r="Q9" s="19">
        <f t="shared" si="0"/>
        <v>36</v>
      </c>
      <c r="R9" s="20">
        <f t="shared" si="1"/>
        <v>3</v>
      </c>
      <c r="S9" s="15"/>
      <c r="T9" s="21"/>
      <c r="U9" s="22">
        <f t="shared" si="2"/>
        <v>0.49850149850149866</v>
      </c>
    </row>
    <row r="10" spans="1:27" x14ac:dyDescent="0.25">
      <c r="A10" s="15"/>
      <c r="B10" s="15" t="s">
        <v>25</v>
      </c>
      <c r="C10" s="16">
        <v>177.12</v>
      </c>
      <c r="D10" s="17">
        <v>14.76</v>
      </c>
      <c r="E10" s="18">
        <v>16</v>
      </c>
      <c r="F10" s="18">
        <v>16</v>
      </c>
      <c r="G10" s="18">
        <v>16</v>
      </c>
      <c r="H10" s="18">
        <v>16</v>
      </c>
      <c r="I10" s="18">
        <v>16</v>
      </c>
      <c r="J10" s="18">
        <v>16</v>
      </c>
      <c r="K10" s="18">
        <v>16</v>
      </c>
      <c r="L10" s="18">
        <v>16</v>
      </c>
      <c r="M10" s="18">
        <v>16</v>
      </c>
      <c r="N10" s="18">
        <v>16</v>
      </c>
      <c r="O10" s="18">
        <v>16</v>
      </c>
      <c r="P10" s="18">
        <v>16</v>
      </c>
      <c r="Q10" s="19">
        <f t="shared" si="0"/>
        <v>192</v>
      </c>
      <c r="R10" s="20">
        <f t="shared" si="1"/>
        <v>16</v>
      </c>
      <c r="S10" s="15"/>
      <c r="T10" s="21"/>
      <c r="U10" s="22">
        <f t="shared" si="2"/>
        <v>8.4010840108401055E-2</v>
      </c>
    </row>
    <row r="11" spans="1:27" x14ac:dyDescent="0.25">
      <c r="A11" s="15"/>
      <c r="B11" s="15" t="s">
        <v>26</v>
      </c>
      <c r="C11" s="16">
        <v>0</v>
      </c>
      <c r="D11" s="17">
        <v>0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9">
        <f t="shared" si="0"/>
        <v>0</v>
      </c>
      <c r="R11" s="335" t="e">
        <f t="shared" si="1"/>
        <v>#DIV/0!</v>
      </c>
      <c r="S11" s="15"/>
      <c r="T11" s="21"/>
      <c r="U11" s="22">
        <f t="shared" si="2"/>
        <v>0</v>
      </c>
    </row>
    <row r="12" spans="1:27" x14ac:dyDescent="0.25">
      <c r="A12" s="15"/>
      <c r="B12" s="15" t="s">
        <v>27</v>
      </c>
      <c r="C12" s="16">
        <v>13.02</v>
      </c>
      <c r="D12" s="17">
        <v>1.085</v>
      </c>
      <c r="E12" s="18">
        <v>1</v>
      </c>
      <c r="F12" s="18">
        <v>1</v>
      </c>
      <c r="G12" s="18">
        <v>1</v>
      </c>
      <c r="H12" s="18">
        <v>1</v>
      </c>
      <c r="I12" s="18">
        <v>1</v>
      </c>
      <c r="J12" s="18">
        <v>1</v>
      </c>
      <c r="K12" s="18">
        <v>2</v>
      </c>
      <c r="L12" s="18">
        <v>2</v>
      </c>
      <c r="M12" s="18">
        <v>2</v>
      </c>
      <c r="N12" s="18">
        <v>2</v>
      </c>
      <c r="O12" s="18">
        <v>2</v>
      </c>
      <c r="P12" s="18">
        <v>2</v>
      </c>
      <c r="Q12" s="19">
        <f t="shared" si="0"/>
        <v>18</v>
      </c>
      <c r="R12" s="20">
        <f>AVERAGE(E12:P12)</f>
        <v>1.5</v>
      </c>
      <c r="S12" s="15"/>
      <c r="T12" s="21"/>
      <c r="U12" s="22">
        <f t="shared" si="2"/>
        <v>0.38248847926267288</v>
      </c>
    </row>
    <row r="13" spans="1:27" x14ac:dyDescent="0.25">
      <c r="A13" s="15"/>
      <c r="B13" s="15" t="s">
        <v>28</v>
      </c>
      <c r="C13" s="16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9">
        <f t="shared" si="0"/>
        <v>0</v>
      </c>
      <c r="R13" s="335" t="e">
        <f t="shared" si="1"/>
        <v>#DIV/0!</v>
      </c>
      <c r="S13" s="15"/>
      <c r="T13" s="21"/>
      <c r="U13" s="22">
        <f t="shared" si="2"/>
        <v>0</v>
      </c>
    </row>
    <row r="14" spans="1:27" x14ac:dyDescent="0.25">
      <c r="A14" s="25"/>
      <c r="B14" s="15" t="s">
        <v>29</v>
      </c>
      <c r="C14" s="26">
        <f>SUM(C7:C13)</f>
        <v>214.16400000000002</v>
      </c>
      <c r="D14" s="27">
        <f t="shared" ref="D14:Q14" si="3">SUM(D7:D13)</f>
        <v>17.847000000000001</v>
      </c>
      <c r="E14" s="28">
        <f t="shared" si="3"/>
        <v>20</v>
      </c>
      <c r="F14" s="28">
        <f t="shared" si="3"/>
        <v>20</v>
      </c>
      <c r="G14" s="28">
        <f t="shared" si="3"/>
        <v>20</v>
      </c>
      <c r="H14" s="28">
        <f t="shared" si="3"/>
        <v>20</v>
      </c>
      <c r="I14" s="28">
        <f t="shared" si="3"/>
        <v>20</v>
      </c>
      <c r="J14" s="28">
        <f t="shared" si="3"/>
        <v>20</v>
      </c>
      <c r="K14" s="28">
        <f t="shared" si="3"/>
        <v>21</v>
      </c>
      <c r="L14" s="28">
        <f t="shared" si="3"/>
        <v>21</v>
      </c>
      <c r="M14" s="28">
        <f t="shared" si="3"/>
        <v>21</v>
      </c>
      <c r="N14" s="28">
        <f t="shared" si="3"/>
        <v>21</v>
      </c>
      <c r="O14" s="28">
        <f t="shared" si="3"/>
        <v>21</v>
      </c>
      <c r="P14" s="28">
        <f t="shared" si="3"/>
        <v>21</v>
      </c>
      <c r="Q14" s="28">
        <f t="shared" si="3"/>
        <v>246</v>
      </c>
      <c r="R14" s="29">
        <f t="shared" si="1"/>
        <v>20.5</v>
      </c>
      <c r="T14" s="30"/>
      <c r="U14" s="31">
        <f>IFERROR((Q14-C14)/C14,0)</f>
        <v>0.14865243458284297</v>
      </c>
    </row>
    <row r="15" spans="1:27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7" s="44" customFormat="1" x14ac:dyDescent="0.25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1"/>
        <v>0</v>
      </c>
      <c r="S16" s="15"/>
      <c r="T16" s="21"/>
      <c r="U16" s="22" t="str">
        <f t="shared" ref="U16:U21" si="4">IFERROR((Q16-C16)/C16,"")</f>
        <v/>
      </c>
      <c r="X16"/>
      <c r="Y16"/>
      <c r="Z16"/>
      <c r="AA16"/>
    </row>
    <row r="17" spans="1:27" s="44" customFormat="1" x14ac:dyDescent="0.25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1"/>
        <v>0</v>
      </c>
      <c r="S17" s="15"/>
      <c r="T17" s="21"/>
      <c r="U17" s="22" t="str">
        <f t="shared" si="4"/>
        <v/>
      </c>
      <c r="X17"/>
      <c r="Y17"/>
      <c r="Z17"/>
      <c r="AA17"/>
    </row>
    <row r="18" spans="1:27" s="44" customFormat="1" x14ac:dyDescent="0.25">
      <c r="B18" s="15" t="s">
        <v>33</v>
      </c>
      <c r="C18" s="40"/>
      <c r="D18" s="41"/>
      <c r="E18" s="42">
        <v>300</v>
      </c>
      <c r="F18" s="42">
        <v>300</v>
      </c>
      <c r="G18" s="42">
        <v>300</v>
      </c>
      <c r="H18" s="42">
        <v>300</v>
      </c>
      <c r="I18" s="42">
        <v>300</v>
      </c>
      <c r="J18" s="42">
        <v>300</v>
      </c>
      <c r="K18" s="42">
        <v>300</v>
      </c>
      <c r="L18" s="42">
        <v>300</v>
      </c>
      <c r="M18" s="42">
        <v>300</v>
      </c>
      <c r="N18" s="42">
        <v>300</v>
      </c>
      <c r="O18" s="42">
        <v>300</v>
      </c>
      <c r="P18" s="42">
        <v>300</v>
      </c>
      <c r="Q18" s="42">
        <f>AVERAGE(E18:P18)</f>
        <v>300</v>
      </c>
      <c r="R18" s="43">
        <f t="shared" si="1"/>
        <v>300</v>
      </c>
      <c r="S18" s="15"/>
      <c r="T18" s="21"/>
      <c r="U18" s="22" t="str">
        <f t="shared" si="4"/>
        <v/>
      </c>
      <c r="X18"/>
      <c r="Y18"/>
      <c r="Z18"/>
      <c r="AA18"/>
    </row>
    <row r="19" spans="1:27" s="44" customFormat="1" x14ac:dyDescent="0.25">
      <c r="B19" s="15" t="s">
        <v>34</v>
      </c>
      <c r="C19" s="40"/>
      <c r="D19" s="41"/>
      <c r="E19" s="42">
        <v>200</v>
      </c>
      <c r="F19" s="42">
        <v>200</v>
      </c>
      <c r="G19" s="42">
        <v>200</v>
      </c>
      <c r="H19" s="42">
        <v>200</v>
      </c>
      <c r="I19" s="42">
        <v>200</v>
      </c>
      <c r="J19" s="42">
        <v>200</v>
      </c>
      <c r="K19" s="42">
        <v>200</v>
      </c>
      <c r="L19" s="42">
        <v>200</v>
      </c>
      <c r="M19" s="42">
        <v>200</v>
      </c>
      <c r="N19" s="42">
        <v>200</v>
      </c>
      <c r="O19" s="42">
        <v>200</v>
      </c>
      <c r="P19" s="42">
        <v>200</v>
      </c>
      <c r="Q19" s="42">
        <f>AVERAGE(E19:P19)</f>
        <v>200</v>
      </c>
      <c r="R19" s="43">
        <f t="shared" si="1"/>
        <v>200</v>
      </c>
      <c r="S19" s="15"/>
      <c r="T19" s="21"/>
      <c r="U19" s="22" t="str">
        <f t="shared" si="4"/>
        <v/>
      </c>
      <c r="X19"/>
      <c r="Y19"/>
      <c r="Z19"/>
      <c r="AA19"/>
    </row>
    <row r="20" spans="1:27" s="44" customFormat="1" x14ac:dyDescent="0.25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 t="shared" si="1"/>
        <v>0</v>
      </c>
      <c r="S20" s="15"/>
      <c r="T20" s="21"/>
      <c r="U20" s="22" t="str">
        <f t="shared" si="4"/>
        <v/>
      </c>
      <c r="X20"/>
      <c r="Y20"/>
      <c r="Z20"/>
      <c r="AA20"/>
    </row>
    <row r="21" spans="1:27" s="44" customFormat="1" x14ac:dyDescent="0.25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 t="shared" si="1"/>
        <v>0</v>
      </c>
      <c r="S21" s="15"/>
      <c r="T21" s="21"/>
      <c r="U21" s="22" t="str">
        <f t="shared" si="4"/>
        <v/>
      </c>
      <c r="X21"/>
      <c r="Y21"/>
      <c r="Z21"/>
      <c r="AA21"/>
    </row>
    <row r="22" spans="1:27" s="44" customFormat="1" x14ac:dyDescent="0.25">
      <c r="B22" s="15"/>
      <c r="C22" s="46"/>
      <c r="D22" s="47"/>
      <c r="E22" s="42"/>
      <c r="R22" s="48"/>
      <c r="S22" s="49"/>
      <c r="T22" s="50"/>
      <c r="U22" s="50"/>
      <c r="X22"/>
      <c r="Y22"/>
      <c r="Z22"/>
      <c r="AA22"/>
    </row>
    <row r="23" spans="1:27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7" x14ac:dyDescent="0.25">
      <c r="A24" s="25"/>
      <c r="B24" s="15" t="s">
        <v>38</v>
      </c>
      <c r="C24" s="56">
        <v>0</v>
      </c>
      <c r="D24" s="57">
        <f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5">((K7*K16)+(K8*K17))*K4</f>
        <v>0</v>
      </c>
      <c r="L24" s="58">
        <f t="shared" si="5"/>
        <v>0</v>
      </c>
      <c r="M24" s="58">
        <f t="shared" si="5"/>
        <v>0</v>
      </c>
      <c r="N24" s="58">
        <f t="shared" si="5"/>
        <v>0</v>
      </c>
      <c r="O24" s="58">
        <f t="shared" si="5"/>
        <v>0</v>
      </c>
      <c r="P24" s="58">
        <f t="shared" si="5"/>
        <v>0</v>
      </c>
      <c r="Q24" s="59">
        <f>SUM(E24:P24)</f>
        <v>0</v>
      </c>
      <c r="R24" s="60">
        <f t="shared" si="1"/>
        <v>0</v>
      </c>
      <c r="S24" s="15"/>
      <c r="T24" s="61"/>
      <c r="U24" s="62">
        <f t="shared" ref="U24:U88" si="6">IFERROR((Q24-C24)/C24,0)</f>
        <v>0</v>
      </c>
      <c r="V24" s="15"/>
    </row>
    <row r="25" spans="1:27" x14ac:dyDescent="0.25">
      <c r="A25" s="25"/>
      <c r="B25" s="15" t="s">
        <v>39</v>
      </c>
      <c r="C25" s="56">
        <v>0</v>
      </c>
      <c r="D25" s="57">
        <f t="shared" ref="D25:D28" si="7">C25/12</f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v>0</v>
      </c>
      <c r="L25" s="58">
        <v>0</v>
      </c>
      <c r="M25" s="58">
        <v>0</v>
      </c>
      <c r="N25" s="58">
        <v>0</v>
      </c>
      <c r="O25" s="58">
        <v>0</v>
      </c>
      <c r="P25" s="58">
        <v>0</v>
      </c>
      <c r="Q25" s="59">
        <f>SUM(E25:P25)</f>
        <v>0</v>
      </c>
      <c r="R25" s="60">
        <f>AVERAGE(E25:P25)</f>
        <v>0</v>
      </c>
      <c r="S25" s="15"/>
      <c r="T25" s="61"/>
      <c r="U25" s="62">
        <f t="shared" si="6"/>
        <v>0</v>
      </c>
      <c r="V25" s="15"/>
    </row>
    <row r="26" spans="1:27" x14ac:dyDescent="0.25">
      <c r="A26" s="25"/>
      <c r="B26" s="15" t="s">
        <v>40</v>
      </c>
      <c r="C26" s="56">
        <v>603662.53</v>
      </c>
      <c r="D26" s="57">
        <f t="shared" si="7"/>
        <v>50305.210833333338</v>
      </c>
      <c r="E26" s="58">
        <f>(((E9*E18)*21.75)+(((E10*E19)*13.08)+(((E11*E20)*4.33))))</f>
        <v>61431</v>
      </c>
      <c r="F26" s="58">
        <f t="shared" ref="F26:O26" si="8">(((F9*F18)*21.75)+(((F10*F19)*13.08)+(((F11*F20)*4.33))))</f>
        <v>61431</v>
      </c>
      <c r="G26" s="58">
        <f t="shared" si="8"/>
        <v>61431</v>
      </c>
      <c r="H26" s="58">
        <f t="shared" si="8"/>
        <v>61431</v>
      </c>
      <c r="I26" s="58">
        <f t="shared" si="8"/>
        <v>61431</v>
      </c>
      <c r="J26" s="58">
        <f t="shared" si="8"/>
        <v>61431</v>
      </c>
      <c r="K26" s="58">
        <f t="shared" si="8"/>
        <v>61431</v>
      </c>
      <c r="L26" s="58">
        <f t="shared" si="8"/>
        <v>61431</v>
      </c>
      <c r="M26" s="58">
        <f t="shared" si="8"/>
        <v>61431</v>
      </c>
      <c r="N26" s="58">
        <f t="shared" si="8"/>
        <v>61431</v>
      </c>
      <c r="O26" s="58">
        <f t="shared" si="8"/>
        <v>61431</v>
      </c>
      <c r="P26" s="58">
        <f>(((P9*P18)*21.75)+(((P10*P19)*13.08)+(((P11*P20)*4.33))))</f>
        <v>61431</v>
      </c>
      <c r="Q26" s="59">
        <f>SUM(E26:P26)</f>
        <v>737172</v>
      </c>
      <c r="R26" s="60">
        <f>AVERAGE(E26:P26)</f>
        <v>61431</v>
      </c>
      <c r="S26" s="15"/>
      <c r="T26" s="61"/>
      <c r="U26" s="62">
        <f t="shared" si="6"/>
        <v>0.2211657397387245</v>
      </c>
      <c r="V26" s="15"/>
    </row>
    <row r="27" spans="1:27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9">K13*K21*K4</f>
        <v>0</v>
      </c>
      <c r="L27" s="58">
        <f t="shared" si="9"/>
        <v>0</v>
      </c>
      <c r="M27" s="58">
        <f t="shared" si="9"/>
        <v>0</v>
      </c>
      <c r="N27" s="58">
        <f t="shared" si="9"/>
        <v>0</v>
      </c>
      <c r="O27" s="58">
        <f t="shared" si="9"/>
        <v>0</v>
      </c>
      <c r="P27" s="58">
        <f t="shared" si="9"/>
        <v>0</v>
      </c>
      <c r="Q27" s="59">
        <f>SUM(E27:P27)</f>
        <v>0</v>
      </c>
      <c r="R27" s="60">
        <f t="shared" si="1"/>
        <v>0</v>
      </c>
      <c r="S27" s="15"/>
      <c r="T27" s="61"/>
      <c r="U27" s="62">
        <f t="shared" si="6"/>
        <v>0</v>
      </c>
      <c r="V27" s="15"/>
    </row>
    <row r="28" spans="1:27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9"/>
        <v>0</v>
      </c>
      <c r="L28" s="58">
        <f t="shared" si="9"/>
        <v>0</v>
      </c>
      <c r="M28" s="58">
        <f t="shared" si="9"/>
        <v>0</v>
      </c>
      <c r="N28" s="58">
        <f t="shared" si="9"/>
        <v>0</v>
      </c>
      <c r="O28" s="58">
        <f t="shared" si="9"/>
        <v>0</v>
      </c>
      <c r="P28" s="58">
        <f t="shared" si="9"/>
        <v>0</v>
      </c>
      <c r="Q28" s="59">
        <f>SUM(E28:P28)</f>
        <v>0</v>
      </c>
      <c r="R28" s="60">
        <f t="shared" si="1"/>
        <v>0</v>
      </c>
      <c r="S28" s="15"/>
      <c r="T28" s="61"/>
      <c r="U28" s="62">
        <f t="shared" si="6"/>
        <v>0</v>
      </c>
      <c r="V28" s="15"/>
    </row>
    <row r="29" spans="1:27" x14ac:dyDescent="0.25">
      <c r="A29" s="63" t="s">
        <v>43</v>
      </c>
      <c r="B29" s="15"/>
      <c r="C29" s="347">
        <f>SUM(C24:C28)</f>
        <v>603662.53</v>
      </c>
      <c r="D29" s="57">
        <f>C29/12</f>
        <v>50305.210833333338</v>
      </c>
      <c r="E29" s="348">
        <f t="shared" ref="E29:Q29" si="10">SUM(E24:E28)</f>
        <v>61431</v>
      </c>
      <c r="F29" s="348">
        <f t="shared" si="10"/>
        <v>61431</v>
      </c>
      <c r="G29" s="348">
        <f t="shared" si="10"/>
        <v>61431</v>
      </c>
      <c r="H29" s="348">
        <f t="shared" si="10"/>
        <v>61431</v>
      </c>
      <c r="I29" s="348">
        <f t="shared" si="10"/>
        <v>61431</v>
      </c>
      <c r="J29" s="348">
        <f t="shared" si="10"/>
        <v>61431</v>
      </c>
      <c r="K29" s="348">
        <f t="shared" si="10"/>
        <v>61431</v>
      </c>
      <c r="L29" s="348">
        <f t="shared" si="10"/>
        <v>61431</v>
      </c>
      <c r="M29" s="348">
        <f t="shared" si="10"/>
        <v>61431</v>
      </c>
      <c r="N29" s="348">
        <f t="shared" si="10"/>
        <v>61431</v>
      </c>
      <c r="O29" s="348">
        <f t="shared" si="10"/>
        <v>61431</v>
      </c>
      <c r="P29" s="348">
        <f t="shared" si="10"/>
        <v>61431</v>
      </c>
      <c r="Q29" s="348">
        <f t="shared" si="10"/>
        <v>737172</v>
      </c>
      <c r="R29" s="349">
        <f>AVERAGE(E29:P29)</f>
        <v>61431</v>
      </c>
      <c r="T29" s="68"/>
      <c r="U29" s="69">
        <f t="shared" si="6"/>
        <v>0.2211657397387245</v>
      </c>
    </row>
    <row r="30" spans="1:27" x14ac:dyDescent="0.25">
      <c r="A30" s="15" t="s">
        <v>44</v>
      </c>
      <c r="B30" s="15"/>
      <c r="C30" s="347"/>
      <c r="D30" s="350"/>
      <c r="E30" s="348"/>
      <c r="F30" s="348"/>
      <c r="G30" s="348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9"/>
      <c r="T30" s="69"/>
      <c r="U30" s="69"/>
    </row>
    <row r="31" spans="1:27" x14ac:dyDescent="0.25">
      <c r="A31" s="63"/>
      <c r="B31" s="15" t="s">
        <v>45</v>
      </c>
      <c r="C31" s="56">
        <v>-463544.63</v>
      </c>
      <c r="D31" s="57">
        <f>C31/12</f>
        <v>-38628.719166666669</v>
      </c>
      <c r="E31" s="58">
        <f t="shared" ref="E31:P31" si="11">-E26*0.7</f>
        <v>-43001.7</v>
      </c>
      <c r="F31" s="58">
        <f t="shared" si="11"/>
        <v>-43001.7</v>
      </c>
      <c r="G31" s="58">
        <f t="shared" si="11"/>
        <v>-43001.7</v>
      </c>
      <c r="H31" s="58">
        <f t="shared" si="11"/>
        <v>-43001.7</v>
      </c>
      <c r="I31" s="58">
        <f t="shared" si="11"/>
        <v>-43001.7</v>
      </c>
      <c r="J31" s="58">
        <f t="shared" si="11"/>
        <v>-43001.7</v>
      </c>
      <c r="K31" s="58">
        <f t="shared" si="11"/>
        <v>-43001.7</v>
      </c>
      <c r="L31" s="58">
        <f t="shared" si="11"/>
        <v>-43001.7</v>
      </c>
      <c r="M31" s="58">
        <f t="shared" si="11"/>
        <v>-43001.7</v>
      </c>
      <c r="N31" s="58">
        <f t="shared" si="11"/>
        <v>-43001.7</v>
      </c>
      <c r="O31" s="58">
        <f t="shared" si="11"/>
        <v>-43001.7</v>
      </c>
      <c r="P31" s="58">
        <f t="shared" si="11"/>
        <v>-43001.7</v>
      </c>
      <c r="Q31" s="59">
        <f>SUM(E31:P31)</f>
        <v>-516020.40000000008</v>
      </c>
      <c r="R31" s="60">
        <f>AVERAGE(E31:P31)</f>
        <v>-43001.700000000004</v>
      </c>
      <c r="S31" s="15"/>
      <c r="T31" s="61"/>
      <c r="U31" s="62">
        <f t="shared" si="6"/>
        <v>0.11320543180491613</v>
      </c>
    </row>
    <row r="32" spans="1:27" x14ac:dyDescent="0.25">
      <c r="A32" s="63" t="s">
        <v>46</v>
      </c>
      <c r="B32" s="15"/>
      <c r="C32" s="347">
        <f t="shared" ref="C32:D32" si="12">SUM(C31)</f>
        <v>-463544.63</v>
      </c>
      <c r="D32" s="350">
        <f t="shared" si="12"/>
        <v>-38628.719166666669</v>
      </c>
      <c r="E32" s="348">
        <f>SUM(E31)</f>
        <v>-43001.7</v>
      </c>
      <c r="F32" s="348">
        <f>SUM(F31)</f>
        <v>-43001.7</v>
      </c>
      <c r="G32" s="348">
        <f t="shared" ref="G32:P32" si="13">SUM(G31)</f>
        <v>-43001.7</v>
      </c>
      <c r="H32" s="348">
        <f t="shared" si="13"/>
        <v>-43001.7</v>
      </c>
      <c r="I32" s="348">
        <f t="shared" si="13"/>
        <v>-43001.7</v>
      </c>
      <c r="J32" s="348">
        <f t="shared" si="13"/>
        <v>-43001.7</v>
      </c>
      <c r="K32" s="348">
        <f t="shared" si="13"/>
        <v>-43001.7</v>
      </c>
      <c r="L32" s="348">
        <f t="shared" si="13"/>
        <v>-43001.7</v>
      </c>
      <c r="M32" s="348">
        <f t="shared" si="13"/>
        <v>-43001.7</v>
      </c>
      <c r="N32" s="348">
        <f t="shared" si="13"/>
        <v>-43001.7</v>
      </c>
      <c r="O32" s="348">
        <f t="shared" si="13"/>
        <v>-43001.7</v>
      </c>
      <c r="P32" s="348">
        <f t="shared" si="13"/>
        <v>-43001.7</v>
      </c>
      <c r="Q32" s="348">
        <f>SUM(Q31)</f>
        <v>-516020.40000000008</v>
      </c>
      <c r="R32" s="349">
        <f>AVERAGE(E32:P32)</f>
        <v>-43001.700000000004</v>
      </c>
      <c r="T32" s="68"/>
      <c r="U32" s="69">
        <f t="shared" si="6"/>
        <v>0.11320543180491613</v>
      </c>
    </row>
    <row r="33" spans="1:21" s="70" customFormat="1" x14ac:dyDescent="0.25">
      <c r="A33" s="63" t="s">
        <v>47</v>
      </c>
      <c r="B33" s="70" t="s">
        <v>48</v>
      </c>
      <c r="C33" s="351">
        <f t="shared" ref="C33:D33" si="14">C29+C32</f>
        <v>140117.90000000002</v>
      </c>
      <c r="D33" s="352">
        <f t="shared" si="14"/>
        <v>11676.491666666669</v>
      </c>
      <c r="E33" s="353">
        <f>E29+E32</f>
        <v>18429.300000000003</v>
      </c>
      <c r="F33" s="353">
        <f>F29+F32</f>
        <v>18429.300000000003</v>
      </c>
      <c r="G33" s="353">
        <f t="shared" ref="G33:Q33" si="15">G29+G32</f>
        <v>18429.300000000003</v>
      </c>
      <c r="H33" s="353">
        <f t="shared" si="15"/>
        <v>18429.300000000003</v>
      </c>
      <c r="I33" s="353">
        <f t="shared" si="15"/>
        <v>18429.300000000003</v>
      </c>
      <c r="J33" s="353">
        <f t="shared" si="15"/>
        <v>18429.300000000003</v>
      </c>
      <c r="K33" s="353">
        <f t="shared" si="15"/>
        <v>18429.300000000003</v>
      </c>
      <c r="L33" s="353">
        <f t="shared" si="15"/>
        <v>18429.300000000003</v>
      </c>
      <c r="M33" s="353">
        <f t="shared" si="15"/>
        <v>18429.300000000003</v>
      </c>
      <c r="N33" s="353">
        <f t="shared" si="15"/>
        <v>18429.300000000003</v>
      </c>
      <c r="O33" s="353">
        <f t="shared" si="15"/>
        <v>18429.300000000003</v>
      </c>
      <c r="P33" s="353">
        <f t="shared" si="15"/>
        <v>18429.300000000003</v>
      </c>
      <c r="Q33" s="353">
        <f t="shared" si="15"/>
        <v>221151.59999999992</v>
      </c>
      <c r="R33" s="354">
        <f>AVERAGE(E33:P33)</f>
        <v>18429.3</v>
      </c>
      <c r="T33" s="75"/>
      <c r="U33" s="76">
        <f t="shared" si="6"/>
        <v>0.57832511049623125</v>
      </c>
    </row>
    <row r="34" spans="1:21" x14ac:dyDescent="0.25">
      <c r="A34" s="78" t="s">
        <v>49</v>
      </c>
      <c r="B34" t="s">
        <v>48</v>
      </c>
      <c r="C34" s="355">
        <f t="shared" ref="C34:D34" si="16">C33</f>
        <v>140117.90000000002</v>
      </c>
      <c r="D34" s="356">
        <f t="shared" si="16"/>
        <v>11676.491666666669</v>
      </c>
      <c r="E34" s="357">
        <f>E33</f>
        <v>18429.300000000003</v>
      </c>
      <c r="F34" s="357">
        <f t="shared" ref="F34:Q34" si="17">F33</f>
        <v>18429.300000000003</v>
      </c>
      <c r="G34" s="357">
        <f t="shared" si="17"/>
        <v>18429.300000000003</v>
      </c>
      <c r="H34" s="357">
        <f t="shared" si="17"/>
        <v>18429.300000000003</v>
      </c>
      <c r="I34" s="357">
        <f t="shared" si="17"/>
        <v>18429.300000000003</v>
      </c>
      <c r="J34" s="357">
        <f t="shared" si="17"/>
        <v>18429.300000000003</v>
      </c>
      <c r="K34" s="357">
        <f t="shared" si="17"/>
        <v>18429.300000000003</v>
      </c>
      <c r="L34" s="357">
        <f t="shared" si="17"/>
        <v>18429.300000000003</v>
      </c>
      <c r="M34" s="357">
        <f t="shared" si="17"/>
        <v>18429.300000000003</v>
      </c>
      <c r="N34" s="357">
        <f t="shared" si="17"/>
        <v>18429.300000000003</v>
      </c>
      <c r="O34" s="357">
        <f t="shared" si="17"/>
        <v>18429.300000000003</v>
      </c>
      <c r="P34" s="357">
        <f t="shared" si="17"/>
        <v>18429.300000000003</v>
      </c>
      <c r="Q34" s="357">
        <f t="shared" si="17"/>
        <v>221151.59999999992</v>
      </c>
      <c r="R34" s="358">
        <f t="shared" si="1"/>
        <v>18429.3</v>
      </c>
      <c r="T34" s="30"/>
      <c r="U34" s="31">
        <f t="shared" si="6"/>
        <v>0.57832511049623125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25"/>
      <c r="B37" s="15" t="s">
        <v>52</v>
      </c>
      <c r="C37" s="56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>
        <f>SUM(E37:P37)</f>
        <v>0</v>
      </c>
      <c r="R37" s="89" t="e">
        <f t="shared" si="1"/>
        <v>#DIV/0!</v>
      </c>
      <c r="S37" s="15"/>
      <c r="T37" s="62">
        <f>Q37/$Q$34</f>
        <v>0</v>
      </c>
      <c r="U37" s="62">
        <f t="shared" si="6"/>
        <v>0</v>
      </c>
    </row>
    <row r="38" spans="1:21" x14ac:dyDescent="0.25">
      <c r="A38" s="25"/>
      <c r="B38" s="15" t="s">
        <v>53</v>
      </c>
      <c r="C38" s="56"/>
      <c r="D38" s="57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>
        <f t="shared" ref="Q38:Q47" si="18">SUM(E38:P38)</f>
        <v>0</v>
      </c>
      <c r="R38" s="89" t="e">
        <f t="shared" si="1"/>
        <v>#DIV/0!</v>
      </c>
      <c r="S38" s="15"/>
      <c r="T38" s="62">
        <f t="shared" ref="T38:T102" si="19">Q38/$Q$34</f>
        <v>0</v>
      </c>
      <c r="U38" s="62">
        <f t="shared" si="6"/>
        <v>0</v>
      </c>
    </row>
    <row r="39" spans="1:21" x14ac:dyDescent="0.25">
      <c r="A39" s="25"/>
      <c r="B39" s="15" t="s">
        <v>54</v>
      </c>
      <c r="C39" s="56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>
        <f t="shared" si="18"/>
        <v>0</v>
      </c>
      <c r="R39" s="89" t="e">
        <f t="shared" si="1"/>
        <v>#DIV/0!</v>
      </c>
      <c r="S39" s="15"/>
      <c r="T39" s="62">
        <f t="shared" si="19"/>
        <v>0</v>
      </c>
      <c r="U39" s="62">
        <f t="shared" si="6"/>
        <v>0</v>
      </c>
    </row>
    <row r="40" spans="1:21" x14ac:dyDescent="0.25">
      <c r="A40" s="25"/>
      <c r="B40" s="15" t="s">
        <v>55</v>
      </c>
      <c r="C40" s="56"/>
      <c r="D40" s="57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>
        <f t="shared" si="18"/>
        <v>0</v>
      </c>
      <c r="R40" s="89" t="e">
        <f t="shared" si="1"/>
        <v>#DIV/0!</v>
      </c>
      <c r="S40" s="15"/>
      <c r="T40" s="62">
        <f t="shared" si="19"/>
        <v>0</v>
      </c>
      <c r="U40" s="62">
        <f t="shared" si="6"/>
        <v>0</v>
      </c>
    </row>
    <row r="41" spans="1:21" x14ac:dyDescent="0.25">
      <c r="A41" s="25"/>
      <c r="B41" s="15" t="s">
        <v>56</v>
      </c>
      <c r="C41" s="56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>
        <f t="shared" si="18"/>
        <v>0</v>
      </c>
      <c r="R41" s="89" t="e">
        <f t="shared" si="1"/>
        <v>#DIV/0!</v>
      </c>
      <c r="S41" s="15"/>
      <c r="T41" s="62">
        <f t="shared" si="19"/>
        <v>0</v>
      </c>
      <c r="U41" s="62">
        <f t="shared" si="6"/>
        <v>0</v>
      </c>
    </row>
    <row r="42" spans="1:21" x14ac:dyDescent="0.25">
      <c r="A42" s="25"/>
      <c r="B42" s="15" t="s">
        <v>57</v>
      </c>
      <c r="C42" s="56"/>
      <c r="D42" s="57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>
        <f t="shared" si="18"/>
        <v>0</v>
      </c>
      <c r="R42" s="89" t="e">
        <f t="shared" si="1"/>
        <v>#DIV/0!</v>
      </c>
      <c r="S42" s="15"/>
      <c r="T42" s="62">
        <f t="shared" si="19"/>
        <v>0</v>
      </c>
      <c r="U42" s="62">
        <f t="shared" si="6"/>
        <v>0</v>
      </c>
    </row>
    <row r="43" spans="1:21" x14ac:dyDescent="0.25">
      <c r="A43" s="25"/>
      <c r="B43" s="15" t="s">
        <v>58</v>
      </c>
      <c r="C43" s="56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>
        <f t="shared" si="18"/>
        <v>0</v>
      </c>
      <c r="R43" s="89" t="e">
        <f t="shared" si="1"/>
        <v>#DIV/0!</v>
      </c>
      <c r="S43" s="15"/>
      <c r="T43" s="62">
        <f t="shared" si="19"/>
        <v>0</v>
      </c>
      <c r="U43" s="62">
        <f t="shared" si="6"/>
        <v>0</v>
      </c>
    </row>
    <row r="44" spans="1:21" x14ac:dyDescent="0.25">
      <c r="A44" s="25"/>
      <c r="B44" s="15" t="s">
        <v>59</v>
      </c>
      <c r="C44" s="56"/>
      <c r="D44" s="57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>
        <f t="shared" si="18"/>
        <v>0</v>
      </c>
      <c r="R44" s="89" t="e">
        <f t="shared" si="1"/>
        <v>#DIV/0!</v>
      </c>
      <c r="S44" s="15"/>
      <c r="T44" s="62">
        <f t="shared" si="19"/>
        <v>0</v>
      </c>
      <c r="U44" s="62">
        <f t="shared" si="6"/>
        <v>0</v>
      </c>
    </row>
    <row r="45" spans="1:21" x14ac:dyDescent="0.25">
      <c r="A45" s="25"/>
      <c r="B45" s="15" t="s">
        <v>60</v>
      </c>
      <c r="C45" s="56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>
        <f t="shared" si="18"/>
        <v>0</v>
      </c>
      <c r="R45" s="89" t="e">
        <f t="shared" si="1"/>
        <v>#DIV/0!</v>
      </c>
      <c r="S45" s="15"/>
      <c r="T45" s="62">
        <f t="shared" si="19"/>
        <v>0</v>
      </c>
      <c r="U45" s="62">
        <f t="shared" si="6"/>
        <v>0</v>
      </c>
    </row>
    <row r="46" spans="1:21" x14ac:dyDescent="0.25">
      <c r="A46" s="25"/>
      <c r="B46" s="15" t="s">
        <v>61</v>
      </c>
      <c r="C46" s="56"/>
      <c r="D46" s="57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>
        <f t="shared" si="18"/>
        <v>0</v>
      </c>
      <c r="R46" s="89" t="e">
        <f t="shared" si="1"/>
        <v>#DIV/0!</v>
      </c>
      <c r="S46" s="15"/>
      <c r="T46" s="62">
        <f t="shared" si="19"/>
        <v>0</v>
      </c>
      <c r="U46" s="62">
        <f t="shared" si="6"/>
        <v>0</v>
      </c>
    </row>
    <row r="47" spans="1:21" x14ac:dyDescent="0.25">
      <c r="A47" s="25"/>
      <c r="B47" s="15" t="s">
        <v>62</v>
      </c>
      <c r="C47" s="56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f t="shared" si="18"/>
        <v>0</v>
      </c>
      <c r="R47" s="89" t="e">
        <f t="shared" si="1"/>
        <v>#DIV/0!</v>
      </c>
      <c r="S47" s="15"/>
      <c r="T47" s="62">
        <f t="shared" si="19"/>
        <v>0</v>
      </c>
      <c r="U47" s="62">
        <f t="shared" si="6"/>
        <v>0</v>
      </c>
    </row>
    <row r="48" spans="1:21" x14ac:dyDescent="0.25">
      <c r="A48" s="63" t="s">
        <v>63</v>
      </c>
      <c r="B48" t="s">
        <v>48</v>
      </c>
      <c r="C48" s="91">
        <f t="shared" ref="C48:D48" si="20">SUM(C37:C47)</f>
        <v>0</v>
      </c>
      <c r="D48" s="92">
        <f t="shared" si="20"/>
        <v>0</v>
      </c>
      <c r="E48" s="93">
        <f>SUM(E37:E47)</f>
        <v>0</v>
      </c>
      <c r="F48" s="58">
        <v>0</v>
      </c>
      <c r="G48" s="93">
        <f t="shared" ref="G48:Q48" si="21">SUM(G37:G47)</f>
        <v>0</v>
      </c>
      <c r="H48" s="93">
        <f t="shared" si="21"/>
        <v>0</v>
      </c>
      <c r="I48" s="93">
        <f t="shared" si="21"/>
        <v>0</v>
      </c>
      <c r="J48" s="93">
        <f t="shared" si="21"/>
        <v>0</v>
      </c>
      <c r="K48" s="93">
        <f t="shared" si="21"/>
        <v>0</v>
      </c>
      <c r="L48" s="93">
        <f t="shared" si="21"/>
        <v>0</v>
      </c>
      <c r="M48" s="93">
        <f t="shared" si="21"/>
        <v>0</v>
      </c>
      <c r="N48" s="93">
        <f t="shared" si="21"/>
        <v>0</v>
      </c>
      <c r="O48" s="93">
        <f t="shared" si="21"/>
        <v>0</v>
      </c>
      <c r="P48" s="93">
        <f t="shared" si="21"/>
        <v>0</v>
      </c>
      <c r="Q48" s="93">
        <f t="shared" si="21"/>
        <v>0</v>
      </c>
      <c r="R48" s="94">
        <f t="shared" si="1"/>
        <v>0</v>
      </c>
      <c r="T48" s="96">
        <f t="shared" si="19"/>
        <v>0</v>
      </c>
      <c r="U48" s="96">
        <f t="shared" si="6"/>
        <v>0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56"/>
      <c r="D50" s="57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f t="shared" ref="Q50:Q61" si="22">SUM(E50:P50)</f>
        <v>0</v>
      </c>
      <c r="R50" s="89" t="e">
        <f t="shared" si="1"/>
        <v>#DIV/0!</v>
      </c>
      <c r="S50" s="15"/>
      <c r="T50" s="62">
        <f t="shared" si="19"/>
        <v>0</v>
      </c>
      <c r="U50" s="62">
        <f t="shared" si="6"/>
        <v>0</v>
      </c>
    </row>
    <row r="51" spans="1:21" x14ac:dyDescent="0.25">
      <c r="A51" s="25"/>
      <c r="B51" s="15" t="s">
        <v>66</v>
      </c>
      <c r="C51" s="56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>
        <f t="shared" si="22"/>
        <v>0</v>
      </c>
      <c r="R51" s="89" t="e">
        <f t="shared" si="1"/>
        <v>#DIV/0!</v>
      </c>
      <c r="S51" s="15"/>
      <c r="T51" s="62">
        <f t="shared" si="19"/>
        <v>0</v>
      </c>
      <c r="U51" s="62">
        <f t="shared" si="6"/>
        <v>0</v>
      </c>
    </row>
    <row r="52" spans="1:21" x14ac:dyDescent="0.25">
      <c r="A52" s="25"/>
      <c r="B52" s="15" t="s">
        <v>67</v>
      </c>
      <c r="C52" s="56"/>
      <c r="D52" s="57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>
        <f t="shared" si="22"/>
        <v>0</v>
      </c>
      <c r="R52" s="89" t="e">
        <f t="shared" si="1"/>
        <v>#DIV/0!</v>
      </c>
      <c r="S52" s="15"/>
      <c r="T52" s="62">
        <f t="shared" si="19"/>
        <v>0</v>
      </c>
      <c r="U52" s="62">
        <f t="shared" si="6"/>
        <v>0</v>
      </c>
    </row>
    <row r="53" spans="1:21" x14ac:dyDescent="0.25">
      <c r="A53" s="25"/>
      <c r="B53" s="15" t="s">
        <v>68</v>
      </c>
      <c r="C53" s="56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>
        <f t="shared" si="22"/>
        <v>0</v>
      </c>
      <c r="R53" s="89" t="e">
        <f t="shared" si="1"/>
        <v>#DIV/0!</v>
      </c>
      <c r="S53" s="15"/>
      <c r="T53" s="62">
        <f t="shared" si="19"/>
        <v>0</v>
      </c>
      <c r="U53" s="62">
        <f t="shared" si="6"/>
        <v>0</v>
      </c>
    </row>
    <row r="54" spans="1:21" x14ac:dyDescent="0.25">
      <c r="A54" s="25"/>
      <c r="B54" s="15" t="s">
        <v>69</v>
      </c>
      <c r="C54" s="56"/>
      <c r="D54" s="57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>
        <f t="shared" si="22"/>
        <v>0</v>
      </c>
      <c r="R54" s="89" t="e">
        <f t="shared" si="1"/>
        <v>#DIV/0!</v>
      </c>
      <c r="S54" s="15"/>
      <c r="T54" s="62">
        <f t="shared" si="19"/>
        <v>0</v>
      </c>
      <c r="U54" s="62">
        <f t="shared" si="6"/>
        <v>0</v>
      </c>
    </row>
    <row r="55" spans="1:21" x14ac:dyDescent="0.25">
      <c r="A55" s="25"/>
      <c r="B55" s="15" t="s">
        <v>70</v>
      </c>
      <c r="C55" s="56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>
        <f t="shared" si="22"/>
        <v>0</v>
      </c>
      <c r="R55" s="89" t="e">
        <f t="shared" si="1"/>
        <v>#DIV/0!</v>
      </c>
      <c r="S55" s="15"/>
      <c r="T55" s="62">
        <f t="shared" si="19"/>
        <v>0</v>
      </c>
      <c r="U55" s="62">
        <f t="shared" si="6"/>
        <v>0</v>
      </c>
    </row>
    <row r="56" spans="1:21" x14ac:dyDescent="0.25">
      <c r="A56" s="25"/>
      <c r="B56" s="15" t="s">
        <v>71</v>
      </c>
      <c r="C56" s="56"/>
      <c r="D56" s="57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>
        <f t="shared" ref="Q56:Q57" si="23">SUM(E56:P56)</f>
        <v>0</v>
      </c>
      <c r="R56" s="89" t="e">
        <f t="shared" si="1"/>
        <v>#DIV/0!</v>
      </c>
      <c r="S56" s="15"/>
      <c r="T56" s="62">
        <f t="shared" si="19"/>
        <v>0</v>
      </c>
      <c r="U56" s="62">
        <f t="shared" si="6"/>
        <v>0</v>
      </c>
    </row>
    <row r="57" spans="1:21" x14ac:dyDescent="0.25">
      <c r="A57" s="25"/>
      <c r="B57" s="15" t="s">
        <v>72</v>
      </c>
      <c r="C57" s="56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>
        <f t="shared" si="23"/>
        <v>0</v>
      </c>
      <c r="R57" s="89" t="e">
        <f t="shared" si="1"/>
        <v>#DIV/0!</v>
      </c>
      <c r="S57" s="15"/>
      <c r="T57" s="62">
        <f t="shared" si="19"/>
        <v>0</v>
      </c>
      <c r="U57" s="62">
        <f t="shared" si="6"/>
        <v>0</v>
      </c>
    </row>
    <row r="58" spans="1:21" x14ac:dyDescent="0.25">
      <c r="A58" s="25"/>
      <c r="B58" s="15" t="s">
        <v>73</v>
      </c>
      <c r="C58" s="56"/>
      <c r="D58" s="57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>
        <f t="shared" si="22"/>
        <v>0</v>
      </c>
      <c r="R58" s="89" t="e">
        <f t="shared" si="1"/>
        <v>#DIV/0!</v>
      </c>
      <c r="S58" s="15"/>
      <c r="T58" s="62">
        <f t="shared" si="19"/>
        <v>0</v>
      </c>
      <c r="U58" s="62">
        <f t="shared" si="6"/>
        <v>0</v>
      </c>
    </row>
    <row r="59" spans="1:21" x14ac:dyDescent="0.25">
      <c r="A59" s="25"/>
      <c r="B59" s="15" t="s">
        <v>74</v>
      </c>
      <c r="C59" s="56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>
        <f t="shared" si="22"/>
        <v>0</v>
      </c>
      <c r="R59" s="89" t="e">
        <f t="shared" si="1"/>
        <v>#DIV/0!</v>
      </c>
      <c r="S59" s="15"/>
      <c r="T59" s="62">
        <f t="shared" si="19"/>
        <v>0</v>
      </c>
      <c r="U59" s="62">
        <f t="shared" si="6"/>
        <v>0</v>
      </c>
    </row>
    <row r="60" spans="1:21" x14ac:dyDescent="0.25">
      <c r="A60" s="25"/>
      <c r="B60" s="15" t="s">
        <v>75</v>
      </c>
      <c r="C60" s="56"/>
      <c r="D60" s="57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>
        <f t="shared" si="22"/>
        <v>0</v>
      </c>
      <c r="R60" s="89" t="e">
        <f t="shared" si="1"/>
        <v>#DIV/0!</v>
      </c>
      <c r="S60" s="15"/>
      <c r="T60" s="62">
        <f t="shared" si="19"/>
        <v>0</v>
      </c>
      <c r="U60" s="62">
        <f t="shared" si="6"/>
        <v>0</v>
      </c>
    </row>
    <row r="61" spans="1:21" x14ac:dyDescent="0.25">
      <c r="A61" s="25"/>
      <c r="B61" s="15" t="s">
        <v>76</v>
      </c>
      <c r="C61" s="56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>
        <f t="shared" si="22"/>
        <v>0</v>
      </c>
      <c r="R61" s="89" t="e">
        <f t="shared" si="1"/>
        <v>#DIV/0!</v>
      </c>
      <c r="S61" s="15"/>
      <c r="T61" s="62">
        <f t="shared" si="19"/>
        <v>0</v>
      </c>
      <c r="U61" s="62">
        <f t="shared" si="6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24">SUM(C50:C61)</f>
        <v>0</v>
      </c>
      <c r="D62" s="92">
        <f t="shared" si="24"/>
        <v>0</v>
      </c>
      <c r="E62" s="93">
        <f>SUM(E50:E61)</f>
        <v>0</v>
      </c>
      <c r="F62" s="93">
        <f t="shared" ref="F62:Q62" si="25">SUM(F50:F61)</f>
        <v>0</v>
      </c>
      <c r="G62" s="93">
        <f t="shared" si="25"/>
        <v>0</v>
      </c>
      <c r="H62" s="93">
        <f t="shared" si="25"/>
        <v>0</v>
      </c>
      <c r="I62" s="93">
        <f t="shared" si="25"/>
        <v>0</v>
      </c>
      <c r="J62" s="93">
        <f t="shared" si="25"/>
        <v>0</v>
      </c>
      <c r="K62" s="93">
        <f t="shared" si="25"/>
        <v>0</v>
      </c>
      <c r="L62" s="93">
        <f t="shared" si="25"/>
        <v>0</v>
      </c>
      <c r="M62" s="93">
        <f t="shared" si="25"/>
        <v>0</v>
      </c>
      <c r="N62" s="93">
        <f t="shared" si="25"/>
        <v>0</v>
      </c>
      <c r="O62" s="93">
        <f t="shared" si="25"/>
        <v>0</v>
      </c>
      <c r="P62" s="93">
        <f t="shared" si="25"/>
        <v>0</v>
      </c>
      <c r="Q62" s="93">
        <f t="shared" si="25"/>
        <v>0</v>
      </c>
      <c r="R62" s="94">
        <f t="shared" si="1"/>
        <v>0</v>
      </c>
      <c r="T62" s="96">
        <f t="shared" si="19"/>
        <v>0</v>
      </c>
      <c r="U62" s="96">
        <f t="shared" si="6"/>
        <v>0</v>
      </c>
    </row>
    <row r="63" spans="1:21" x14ac:dyDescent="0.25">
      <c r="A63" s="15" t="s">
        <v>78</v>
      </c>
      <c r="B63" s="15" t="s">
        <v>48</v>
      </c>
      <c r="C63" s="103"/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/>
      <c r="D64" s="57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>
        <f>SUM(E64:P64)</f>
        <v>0</v>
      </c>
      <c r="R64" s="89" t="e">
        <f t="shared" si="1"/>
        <v>#DIV/0!</v>
      </c>
      <c r="S64" s="15"/>
      <c r="T64" s="62">
        <f t="shared" si="19"/>
        <v>0</v>
      </c>
      <c r="U64" s="62">
        <f t="shared" si="6"/>
        <v>0</v>
      </c>
    </row>
    <row r="65" spans="1:21" x14ac:dyDescent="0.25">
      <c r="A65" s="25"/>
      <c r="B65" s="15" t="s">
        <v>80</v>
      </c>
      <c r="C65" s="56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>
        <f>SUM(E65:P65)</f>
        <v>0</v>
      </c>
      <c r="R65" s="89" t="e">
        <f t="shared" si="1"/>
        <v>#DIV/0!</v>
      </c>
      <c r="S65" s="15"/>
      <c r="T65" s="62">
        <f t="shared" si="19"/>
        <v>0</v>
      </c>
      <c r="U65" s="62">
        <f t="shared" si="6"/>
        <v>0</v>
      </c>
    </row>
    <row r="66" spans="1:21" x14ac:dyDescent="0.25">
      <c r="A66" s="25"/>
      <c r="B66" s="15" t="s">
        <v>81</v>
      </c>
      <c r="C66" s="56"/>
      <c r="D66" s="57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>
        <f>SUM(E66:P66)</f>
        <v>0</v>
      </c>
      <c r="R66" s="89" t="e">
        <f t="shared" si="1"/>
        <v>#DIV/0!</v>
      </c>
      <c r="S66" s="15"/>
      <c r="T66" s="62">
        <f t="shared" si="19"/>
        <v>0</v>
      </c>
      <c r="U66" s="62">
        <f t="shared" si="6"/>
        <v>0</v>
      </c>
    </row>
    <row r="67" spans="1:21" x14ac:dyDescent="0.25">
      <c r="A67" s="25"/>
      <c r="B67" s="15" t="s">
        <v>82</v>
      </c>
      <c r="C67" s="56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>
        <f t="shared" ref="Q67:Q72" si="26">SUM(E67:P67)</f>
        <v>0</v>
      </c>
      <c r="R67" s="89" t="e">
        <f t="shared" si="1"/>
        <v>#DIV/0!</v>
      </c>
      <c r="S67" s="15"/>
      <c r="T67" s="62">
        <f t="shared" si="19"/>
        <v>0</v>
      </c>
      <c r="U67" s="62">
        <f t="shared" si="6"/>
        <v>0</v>
      </c>
    </row>
    <row r="68" spans="1:21" x14ac:dyDescent="0.25">
      <c r="A68" s="25"/>
      <c r="B68" s="15" t="s">
        <v>83</v>
      </c>
      <c r="C68" s="56"/>
      <c r="D68" s="5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>
        <f t="shared" si="26"/>
        <v>0</v>
      </c>
      <c r="R68" s="89" t="e">
        <f t="shared" si="1"/>
        <v>#DIV/0!</v>
      </c>
      <c r="S68" s="15"/>
      <c r="T68" s="62">
        <f t="shared" si="19"/>
        <v>0</v>
      </c>
      <c r="U68" s="62">
        <f t="shared" si="6"/>
        <v>0</v>
      </c>
    </row>
    <row r="69" spans="1:21" ht="23.25" x14ac:dyDescent="0.25">
      <c r="A69" s="25"/>
      <c r="B69" s="15" t="s">
        <v>84</v>
      </c>
      <c r="C69" s="56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>
        <f t="shared" si="26"/>
        <v>0</v>
      </c>
      <c r="R69" s="89" t="e">
        <f t="shared" si="1"/>
        <v>#DIV/0!</v>
      </c>
      <c r="S69" s="15"/>
      <c r="T69" s="62">
        <f t="shared" si="19"/>
        <v>0</v>
      </c>
      <c r="U69" s="62">
        <f t="shared" si="6"/>
        <v>0</v>
      </c>
    </row>
    <row r="70" spans="1:21" x14ac:dyDescent="0.25">
      <c r="A70" s="25"/>
      <c r="B70" s="15" t="s">
        <v>85</v>
      </c>
      <c r="C70" s="56"/>
      <c r="D70" s="57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>
        <f t="shared" si="26"/>
        <v>0</v>
      </c>
      <c r="R70" s="89" t="e">
        <f t="shared" si="1"/>
        <v>#DIV/0!</v>
      </c>
      <c r="S70" s="15"/>
      <c r="T70" s="62">
        <f t="shared" si="19"/>
        <v>0</v>
      </c>
      <c r="U70" s="62">
        <f t="shared" si="6"/>
        <v>0</v>
      </c>
    </row>
    <row r="71" spans="1:21" x14ac:dyDescent="0.25">
      <c r="A71" s="25"/>
      <c r="B71" s="15" t="s">
        <v>86</v>
      </c>
      <c r="C71" s="56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>
        <f t="shared" si="26"/>
        <v>0</v>
      </c>
      <c r="R71" s="89" t="e">
        <f t="shared" si="1"/>
        <v>#DIV/0!</v>
      </c>
      <c r="S71" s="15"/>
      <c r="T71" s="62">
        <f t="shared" si="19"/>
        <v>0</v>
      </c>
      <c r="U71" s="62">
        <f t="shared" si="6"/>
        <v>0</v>
      </c>
    </row>
    <row r="72" spans="1:21" x14ac:dyDescent="0.25">
      <c r="A72" s="25"/>
      <c r="B72" s="15" t="s">
        <v>87</v>
      </c>
      <c r="C72" s="56"/>
      <c r="D72" s="57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>
        <f t="shared" si="26"/>
        <v>0</v>
      </c>
      <c r="R72" s="89" t="e">
        <f t="shared" si="1"/>
        <v>#DIV/0!</v>
      </c>
      <c r="S72" s="15"/>
      <c r="T72" s="62">
        <f t="shared" si="19"/>
        <v>0</v>
      </c>
      <c r="U72" s="62">
        <f t="shared" si="6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27">SUM(C64:C72)</f>
        <v>0</v>
      </c>
      <c r="D73" s="92">
        <f t="shared" si="27"/>
        <v>0</v>
      </c>
      <c r="E73" s="93">
        <f t="shared" si="27"/>
        <v>0</v>
      </c>
      <c r="F73" s="93">
        <f t="shared" si="27"/>
        <v>0</v>
      </c>
      <c r="G73" s="93">
        <f t="shared" si="27"/>
        <v>0</v>
      </c>
      <c r="H73" s="93">
        <f t="shared" si="27"/>
        <v>0</v>
      </c>
      <c r="I73" s="93">
        <f t="shared" si="27"/>
        <v>0</v>
      </c>
      <c r="J73" s="93">
        <f t="shared" si="27"/>
        <v>0</v>
      </c>
      <c r="K73" s="93">
        <f t="shared" si="27"/>
        <v>0</v>
      </c>
      <c r="L73" s="93">
        <f t="shared" si="27"/>
        <v>0</v>
      </c>
      <c r="M73" s="93">
        <f t="shared" si="27"/>
        <v>0</v>
      </c>
      <c r="N73" s="93">
        <f t="shared" si="27"/>
        <v>0</v>
      </c>
      <c r="O73" s="93">
        <f t="shared" si="27"/>
        <v>0</v>
      </c>
      <c r="P73" s="93">
        <f t="shared" si="27"/>
        <v>0</v>
      </c>
      <c r="Q73" s="93">
        <f t="shared" si="27"/>
        <v>0</v>
      </c>
      <c r="R73" s="94">
        <f t="shared" si="1"/>
        <v>0</v>
      </c>
      <c r="T73" s="96">
        <f t="shared" si="19"/>
        <v>0</v>
      </c>
      <c r="U73" s="96">
        <f t="shared" si="6"/>
        <v>0</v>
      </c>
    </row>
    <row r="74" spans="1:21" x14ac:dyDescent="0.25">
      <c r="A74" s="15" t="s">
        <v>89</v>
      </c>
      <c r="B74" s="15"/>
      <c r="C74" s="108"/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/>
      <c r="D75" s="57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>
        <f>SUM(E75:P75)</f>
        <v>0</v>
      </c>
      <c r="R75" s="89" t="e">
        <f t="shared" si="1"/>
        <v>#DIV/0!</v>
      </c>
      <c r="S75" s="15"/>
      <c r="T75" s="62">
        <f t="shared" si="19"/>
        <v>0</v>
      </c>
      <c r="U75" s="62">
        <f t="shared" si="6"/>
        <v>0</v>
      </c>
    </row>
    <row r="76" spans="1:21" x14ac:dyDescent="0.25">
      <c r="A76" s="63" t="s">
        <v>91</v>
      </c>
      <c r="B76" s="15"/>
      <c r="C76" s="91">
        <f t="shared" ref="C76:D76" si="28">SUM(C75)</f>
        <v>0</v>
      </c>
      <c r="D76" s="92">
        <f t="shared" si="28"/>
        <v>0</v>
      </c>
      <c r="E76" s="93">
        <f>SUM(E75)</f>
        <v>0</v>
      </c>
      <c r="F76" s="93">
        <f t="shared" ref="F76:Q76" si="29">SUM(F75)</f>
        <v>0</v>
      </c>
      <c r="G76" s="93">
        <f t="shared" si="29"/>
        <v>0</v>
      </c>
      <c r="H76" s="93">
        <f t="shared" si="29"/>
        <v>0</v>
      </c>
      <c r="I76" s="93">
        <v>0</v>
      </c>
      <c r="J76" s="93">
        <v>0</v>
      </c>
      <c r="K76" s="93">
        <f t="shared" si="29"/>
        <v>0</v>
      </c>
      <c r="L76" s="93">
        <f t="shared" si="29"/>
        <v>0</v>
      </c>
      <c r="M76" s="93">
        <f t="shared" si="29"/>
        <v>0</v>
      </c>
      <c r="N76" s="93">
        <f t="shared" si="29"/>
        <v>0</v>
      </c>
      <c r="O76" s="93">
        <f t="shared" si="29"/>
        <v>0</v>
      </c>
      <c r="P76" s="93">
        <f t="shared" si="29"/>
        <v>0</v>
      </c>
      <c r="Q76" s="93">
        <f t="shared" si="29"/>
        <v>0</v>
      </c>
      <c r="R76" s="94">
        <f t="shared" si="1"/>
        <v>0</v>
      </c>
      <c r="T76" s="96">
        <f t="shared" si="19"/>
        <v>0</v>
      </c>
      <c r="U76" s="96">
        <f t="shared" si="6"/>
        <v>0</v>
      </c>
    </row>
    <row r="77" spans="1:21" x14ac:dyDescent="0.25">
      <c r="A77" s="15" t="s">
        <v>92</v>
      </c>
      <c r="B77" s="15" t="s">
        <v>48</v>
      </c>
      <c r="C77" s="114"/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/>
      <c r="D78" s="57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>
        <f>SUM(E78:P78)</f>
        <v>0</v>
      </c>
      <c r="R78" s="89" t="e">
        <f t="shared" si="1"/>
        <v>#DIV/0!</v>
      </c>
      <c r="S78" s="15"/>
      <c r="T78" s="62">
        <f t="shared" si="19"/>
        <v>0</v>
      </c>
      <c r="U78" s="62">
        <f t="shared" si="6"/>
        <v>0</v>
      </c>
    </row>
    <row r="79" spans="1:21" x14ac:dyDescent="0.25">
      <c r="A79" s="25"/>
      <c r="B79" s="15" t="s">
        <v>94</v>
      </c>
      <c r="C79" s="56"/>
      <c r="D79" s="57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>
        <f>SUM(E79:P79)</f>
        <v>0</v>
      </c>
      <c r="R79" s="89" t="e">
        <f t="shared" si="1"/>
        <v>#DIV/0!</v>
      </c>
      <c r="S79" s="15"/>
      <c r="T79" s="62">
        <f t="shared" si="19"/>
        <v>0</v>
      </c>
      <c r="U79" s="62">
        <f t="shared" si="6"/>
        <v>0</v>
      </c>
    </row>
    <row r="80" spans="1:21" x14ac:dyDescent="0.25">
      <c r="A80" s="25"/>
      <c r="B80" s="15" t="s">
        <v>95</v>
      </c>
      <c r="C80" s="56"/>
      <c r="D80" s="57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>
        <f>SUM(E80:P80)</f>
        <v>0</v>
      </c>
      <c r="R80" s="89" t="e">
        <f t="shared" si="1"/>
        <v>#DIV/0!</v>
      </c>
      <c r="S80" s="15"/>
      <c r="T80" s="62">
        <f t="shared" si="19"/>
        <v>0</v>
      </c>
      <c r="U80" s="62">
        <f t="shared" si="6"/>
        <v>0</v>
      </c>
    </row>
    <row r="81" spans="1:21" ht="23.25" x14ac:dyDescent="0.25">
      <c r="A81" s="25"/>
      <c r="B81" s="15" t="s">
        <v>96</v>
      </c>
      <c r="C81" s="56"/>
      <c r="D81" s="57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>
        <f>SUM(E81:P81)</f>
        <v>0</v>
      </c>
      <c r="R81" s="89" t="e">
        <f t="shared" si="1"/>
        <v>#DIV/0!</v>
      </c>
      <c r="S81" s="15"/>
      <c r="T81" s="62">
        <f t="shared" si="19"/>
        <v>0</v>
      </c>
      <c r="U81" s="62">
        <f t="shared" si="6"/>
        <v>0</v>
      </c>
    </row>
    <row r="82" spans="1:21" x14ac:dyDescent="0.25">
      <c r="A82" s="63" t="s">
        <v>97</v>
      </c>
      <c r="B82" s="15" t="s">
        <v>48</v>
      </c>
      <c r="C82" s="91">
        <f t="shared" ref="C82:D82" si="30">SUM(C78:C81)</f>
        <v>0</v>
      </c>
      <c r="D82" s="92">
        <f t="shared" si="30"/>
        <v>0</v>
      </c>
      <c r="E82" s="93">
        <f>SUM(E78:E81)</f>
        <v>0</v>
      </c>
      <c r="F82" s="93">
        <f t="shared" ref="F82:Q82" si="31">SUM(F78:F81)</f>
        <v>0</v>
      </c>
      <c r="G82" s="93">
        <f t="shared" si="31"/>
        <v>0</v>
      </c>
      <c r="H82" s="93">
        <f t="shared" si="31"/>
        <v>0</v>
      </c>
      <c r="I82" s="93">
        <f t="shared" si="31"/>
        <v>0</v>
      </c>
      <c r="J82" s="93">
        <f t="shared" si="31"/>
        <v>0</v>
      </c>
      <c r="K82" s="93">
        <f t="shared" si="31"/>
        <v>0</v>
      </c>
      <c r="L82" s="93">
        <f t="shared" si="31"/>
        <v>0</v>
      </c>
      <c r="M82" s="93">
        <f t="shared" si="31"/>
        <v>0</v>
      </c>
      <c r="N82" s="93">
        <f t="shared" si="31"/>
        <v>0</v>
      </c>
      <c r="O82" s="93">
        <f t="shared" si="31"/>
        <v>0</v>
      </c>
      <c r="P82" s="93">
        <f t="shared" si="31"/>
        <v>0</v>
      </c>
      <c r="Q82" s="93">
        <f t="shared" si="31"/>
        <v>0</v>
      </c>
      <c r="R82" s="94">
        <f t="shared" si="1"/>
        <v>0</v>
      </c>
      <c r="T82" s="96">
        <f t="shared" si="19"/>
        <v>0</v>
      </c>
      <c r="U82" s="96">
        <f t="shared" si="6"/>
        <v>0</v>
      </c>
    </row>
    <row r="83" spans="1:21" x14ac:dyDescent="0.25">
      <c r="A83" s="15" t="s">
        <v>98</v>
      </c>
      <c r="B83" s="15" t="s">
        <v>48</v>
      </c>
      <c r="C83" s="97"/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/>
      <c r="D84" s="57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>
        <f t="shared" ref="Q84:Q89" si="32">SUM(E84:P84)</f>
        <v>0</v>
      </c>
      <c r="R84" s="89" t="e">
        <f t="shared" si="1"/>
        <v>#DIV/0!</v>
      </c>
      <c r="S84" s="15"/>
      <c r="T84" s="62">
        <f t="shared" si="19"/>
        <v>0</v>
      </c>
      <c r="U84" s="62">
        <f t="shared" si="6"/>
        <v>0</v>
      </c>
    </row>
    <row r="85" spans="1:21" x14ac:dyDescent="0.25">
      <c r="A85" s="25"/>
      <c r="B85" s="15" t="s">
        <v>100</v>
      </c>
      <c r="C85" s="56"/>
      <c r="D85" s="57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>
        <f t="shared" si="32"/>
        <v>0</v>
      </c>
      <c r="R85" s="89" t="e">
        <f t="shared" si="1"/>
        <v>#DIV/0!</v>
      </c>
      <c r="S85" s="15"/>
      <c r="T85" s="62">
        <f t="shared" si="19"/>
        <v>0</v>
      </c>
      <c r="U85" s="62">
        <f t="shared" si="6"/>
        <v>0</v>
      </c>
    </row>
    <row r="86" spans="1:21" x14ac:dyDescent="0.25">
      <c r="A86" s="25"/>
      <c r="B86" s="15" t="s">
        <v>101</v>
      </c>
      <c r="C86" s="56"/>
      <c r="D86" s="57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>
        <f t="shared" si="32"/>
        <v>0</v>
      </c>
      <c r="R86" s="89" t="e">
        <f t="shared" si="1"/>
        <v>#DIV/0!</v>
      </c>
      <c r="S86" s="15"/>
      <c r="T86" s="62">
        <f t="shared" si="19"/>
        <v>0</v>
      </c>
      <c r="U86" s="62">
        <f t="shared" si="6"/>
        <v>0</v>
      </c>
    </row>
    <row r="87" spans="1:21" x14ac:dyDescent="0.25">
      <c r="A87" s="25"/>
      <c r="B87" s="15" t="s">
        <v>102</v>
      </c>
      <c r="C87" s="56"/>
      <c r="D87" s="57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>
        <f t="shared" si="32"/>
        <v>0</v>
      </c>
      <c r="R87" s="89" t="e">
        <f t="shared" si="1"/>
        <v>#DIV/0!</v>
      </c>
      <c r="S87" s="15"/>
      <c r="T87" s="62">
        <f t="shared" si="19"/>
        <v>0</v>
      </c>
      <c r="U87" s="62">
        <f t="shared" si="6"/>
        <v>0</v>
      </c>
    </row>
    <row r="88" spans="1:21" x14ac:dyDescent="0.25">
      <c r="A88" s="25"/>
      <c r="B88" s="15" t="s">
        <v>103</v>
      </c>
      <c r="C88" s="56"/>
      <c r="D88" s="57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>
        <f t="shared" si="32"/>
        <v>0</v>
      </c>
      <c r="R88" s="89" t="e">
        <f t="shared" ref="R88:R130" si="33">AVERAGE(E88:P88)</f>
        <v>#DIV/0!</v>
      </c>
      <c r="S88" s="15"/>
      <c r="T88" s="62">
        <f t="shared" si="19"/>
        <v>0</v>
      </c>
      <c r="U88" s="62">
        <f t="shared" si="6"/>
        <v>0</v>
      </c>
    </row>
    <row r="89" spans="1:21" x14ac:dyDescent="0.25">
      <c r="A89" s="25"/>
      <c r="B89" s="15" t="s">
        <v>104</v>
      </c>
      <c r="C89" s="56"/>
      <c r="D89" s="57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>
        <f t="shared" si="32"/>
        <v>0</v>
      </c>
      <c r="R89" s="89" t="e">
        <f t="shared" si="33"/>
        <v>#DIV/0!</v>
      </c>
      <c r="S89" s="15"/>
      <c r="T89" s="62">
        <f t="shared" si="19"/>
        <v>0</v>
      </c>
      <c r="U89" s="62">
        <f t="shared" ref="U89:U137" si="34">IFERROR((Q89-C89)/C89,0)</f>
        <v>0</v>
      </c>
    </row>
    <row r="90" spans="1:21" x14ac:dyDescent="0.25">
      <c r="A90" s="63" t="s">
        <v>105</v>
      </c>
      <c r="B90" s="15" t="s">
        <v>48</v>
      </c>
      <c r="C90" s="91">
        <f t="shared" ref="C90:D90" si="35">SUM(C84:C89)</f>
        <v>0</v>
      </c>
      <c r="D90" s="92">
        <f t="shared" si="35"/>
        <v>0</v>
      </c>
      <c r="E90" s="93">
        <f t="shared" ref="E90:Q90" si="36">SUM(E84:E89)</f>
        <v>0</v>
      </c>
      <c r="F90" s="93">
        <f t="shared" si="36"/>
        <v>0</v>
      </c>
      <c r="G90" s="93">
        <f t="shared" si="36"/>
        <v>0</v>
      </c>
      <c r="H90" s="93">
        <f t="shared" si="36"/>
        <v>0</v>
      </c>
      <c r="I90" s="93">
        <f t="shared" si="36"/>
        <v>0</v>
      </c>
      <c r="J90" s="93">
        <f t="shared" si="36"/>
        <v>0</v>
      </c>
      <c r="K90" s="93">
        <f t="shared" si="36"/>
        <v>0</v>
      </c>
      <c r="L90" s="93">
        <f t="shared" si="36"/>
        <v>0</v>
      </c>
      <c r="M90" s="93">
        <f t="shared" si="36"/>
        <v>0</v>
      </c>
      <c r="N90" s="93">
        <f t="shared" si="36"/>
        <v>0</v>
      </c>
      <c r="O90" s="93">
        <f t="shared" si="36"/>
        <v>0</v>
      </c>
      <c r="P90" s="93">
        <f t="shared" si="36"/>
        <v>0</v>
      </c>
      <c r="Q90" s="93">
        <f t="shared" si="36"/>
        <v>0</v>
      </c>
      <c r="R90" s="94">
        <f>AVERAGE(E90:P90)</f>
        <v>0</v>
      </c>
      <c r="T90" s="96">
        <f t="shared" si="19"/>
        <v>0</v>
      </c>
      <c r="U90" s="96">
        <f t="shared" si="34"/>
        <v>0</v>
      </c>
    </row>
    <row r="91" spans="1:21" x14ac:dyDescent="0.25">
      <c r="A91" s="15" t="s">
        <v>106</v>
      </c>
      <c r="B91" s="15"/>
      <c r="C91" s="64"/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/>
      <c r="D92" s="57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>
        <f>SUM(E92:P92)</f>
        <v>0</v>
      </c>
      <c r="R92" s="89" t="e">
        <f>AVERAGE(E92:P92)</f>
        <v>#DIV/0!</v>
      </c>
      <c r="S92" s="15"/>
      <c r="T92" s="62">
        <f t="shared" si="19"/>
        <v>0</v>
      </c>
      <c r="U92" s="62">
        <f t="shared" si="34"/>
        <v>0</v>
      </c>
    </row>
    <row r="93" spans="1:21" x14ac:dyDescent="0.25">
      <c r="A93" s="25"/>
      <c r="B93" s="15" t="s">
        <v>108</v>
      </c>
      <c r="C93" s="56"/>
      <c r="D93" s="57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>
        <f>SUM(E93:P93)</f>
        <v>0</v>
      </c>
      <c r="R93" s="89" t="e">
        <f t="shared" si="33"/>
        <v>#DIV/0!</v>
      </c>
      <c r="S93" s="15"/>
      <c r="T93" s="62">
        <f t="shared" si="19"/>
        <v>0</v>
      </c>
      <c r="U93" s="62">
        <f t="shared" si="34"/>
        <v>0</v>
      </c>
    </row>
    <row r="94" spans="1:21" x14ac:dyDescent="0.25">
      <c r="A94" s="25"/>
      <c r="B94" s="15" t="s">
        <v>109</v>
      </c>
      <c r="C94" s="56"/>
      <c r="D94" s="57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>
        <f>SUM(E94:P94)</f>
        <v>0</v>
      </c>
      <c r="R94" s="89" t="e">
        <f t="shared" si="33"/>
        <v>#DIV/0!</v>
      </c>
      <c r="S94" s="15"/>
      <c r="T94" s="62">
        <f t="shared" si="19"/>
        <v>0</v>
      </c>
      <c r="U94" s="62">
        <f t="shared" si="34"/>
        <v>0</v>
      </c>
    </row>
    <row r="95" spans="1:21" x14ac:dyDescent="0.25">
      <c r="A95" s="63" t="s">
        <v>110</v>
      </c>
      <c r="B95" s="15"/>
      <c r="C95" s="91">
        <f t="shared" ref="C95:Q95" si="37">SUM(C92:C94)</f>
        <v>0</v>
      </c>
      <c r="D95" s="92">
        <f t="shared" si="37"/>
        <v>0</v>
      </c>
      <c r="E95" s="93">
        <f t="shared" si="37"/>
        <v>0</v>
      </c>
      <c r="F95" s="93">
        <f t="shared" si="37"/>
        <v>0</v>
      </c>
      <c r="G95" s="93">
        <f t="shared" si="37"/>
        <v>0</v>
      </c>
      <c r="H95" s="93">
        <f t="shared" si="37"/>
        <v>0</v>
      </c>
      <c r="I95" s="93">
        <f t="shared" si="37"/>
        <v>0</v>
      </c>
      <c r="J95" s="93">
        <f t="shared" si="37"/>
        <v>0</v>
      </c>
      <c r="K95" s="93">
        <f t="shared" si="37"/>
        <v>0</v>
      </c>
      <c r="L95" s="93">
        <f t="shared" si="37"/>
        <v>0</v>
      </c>
      <c r="M95" s="93">
        <f t="shared" si="37"/>
        <v>0</v>
      </c>
      <c r="N95" s="93">
        <f t="shared" si="37"/>
        <v>0</v>
      </c>
      <c r="O95" s="93">
        <f t="shared" si="37"/>
        <v>0</v>
      </c>
      <c r="P95" s="93">
        <f t="shared" si="37"/>
        <v>0</v>
      </c>
      <c r="Q95" s="93">
        <f t="shared" si="37"/>
        <v>0</v>
      </c>
      <c r="R95" s="94">
        <f t="shared" si="33"/>
        <v>0</v>
      </c>
      <c r="T95" s="96">
        <f t="shared" si="19"/>
        <v>0</v>
      </c>
      <c r="U95" s="96">
        <f t="shared" si="34"/>
        <v>0</v>
      </c>
    </row>
    <row r="96" spans="1:21" x14ac:dyDescent="0.25">
      <c r="A96" s="15" t="s">
        <v>111</v>
      </c>
      <c r="B96" s="15" t="s">
        <v>48</v>
      </c>
      <c r="C96" s="114"/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/>
      <c r="D97" s="57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>
        <f t="shared" ref="Q97:Q120" si="38">SUM(E97:P97)</f>
        <v>0</v>
      </c>
      <c r="R97" s="89" t="e">
        <f t="shared" si="33"/>
        <v>#DIV/0!</v>
      </c>
      <c r="S97" s="15"/>
      <c r="T97" s="62">
        <f t="shared" si="19"/>
        <v>0</v>
      </c>
      <c r="U97" s="62">
        <f t="shared" si="34"/>
        <v>0</v>
      </c>
    </row>
    <row r="98" spans="1:21" ht="23.25" x14ac:dyDescent="0.25">
      <c r="A98" s="25"/>
      <c r="B98" s="15" t="s">
        <v>113</v>
      </c>
      <c r="C98" s="56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>
        <f t="shared" si="38"/>
        <v>0</v>
      </c>
      <c r="R98" s="89" t="e">
        <f t="shared" si="33"/>
        <v>#DIV/0!</v>
      </c>
      <c r="S98" s="15"/>
      <c r="T98" s="62">
        <f t="shared" si="19"/>
        <v>0</v>
      </c>
      <c r="U98" s="62">
        <f t="shared" si="34"/>
        <v>0</v>
      </c>
    </row>
    <row r="99" spans="1:21" x14ac:dyDescent="0.25">
      <c r="A99" s="25"/>
      <c r="B99" s="15" t="s">
        <v>114</v>
      </c>
      <c r="C99" s="56"/>
      <c r="D99" s="57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>
        <f t="shared" si="38"/>
        <v>0</v>
      </c>
      <c r="R99" s="89" t="e">
        <f t="shared" si="33"/>
        <v>#DIV/0!</v>
      </c>
      <c r="S99" s="15"/>
      <c r="T99" s="62">
        <f t="shared" si="19"/>
        <v>0</v>
      </c>
      <c r="U99" s="62">
        <f t="shared" si="34"/>
        <v>0</v>
      </c>
    </row>
    <row r="100" spans="1:21" x14ac:dyDescent="0.25">
      <c r="A100" s="25"/>
      <c r="B100" s="15" t="s">
        <v>115</v>
      </c>
      <c r="C100" s="56">
        <v>180</v>
      </c>
      <c r="D100" s="57">
        <f>C100/12</f>
        <v>15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58">
        <v>0</v>
      </c>
      <c r="P100" s="58">
        <v>0</v>
      </c>
      <c r="Q100" s="58">
        <f t="shared" si="38"/>
        <v>0</v>
      </c>
      <c r="R100" s="89">
        <f t="shared" si="33"/>
        <v>0</v>
      </c>
      <c r="S100" s="15"/>
      <c r="T100" s="62">
        <f t="shared" si="19"/>
        <v>0</v>
      </c>
      <c r="U100" s="62">
        <f t="shared" si="34"/>
        <v>-1</v>
      </c>
    </row>
    <row r="101" spans="1:21" x14ac:dyDescent="0.25">
      <c r="A101" s="25"/>
      <c r="B101" s="15" t="s">
        <v>116</v>
      </c>
      <c r="C101" s="56">
        <f>1060/10*12</f>
        <v>1272</v>
      </c>
      <c r="D101" s="57">
        <f>C101/12</f>
        <v>106</v>
      </c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>
        <f t="shared" si="38"/>
        <v>0</v>
      </c>
      <c r="R101" s="89" t="e">
        <f t="shared" si="33"/>
        <v>#DIV/0!</v>
      </c>
      <c r="S101" s="15"/>
      <c r="T101" s="62">
        <f t="shared" si="19"/>
        <v>0</v>
      </c>
      <c r="U101" s="62">
        <f t="shared" si="34"/>
        <v>-1</v>
      </c>
    </row>
    <row r="102" spans="1:21" x14ac:dyDescent="0.25">
      <c r="A102" s="25"/>
      <c r="B102" s="15" t="s">
        <v>117</v>
      </c>
      <c r="C102" s="56"/>
      <c r="D102" s="57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>
        <f t="shared" si="38"/>
        <v>0</v>
      </c>
      <c r="R102" s="89" t="e">
        <f t="shared" si="33"/>
        <v>#DIV/0!</v>
      </c>
      <c r="S102" s="15"/>
      <c r="T102" s="62">
        <f t="shared" si="19"/>
        <v>0</v>
      </c>
      <c r="U102" s="62">
        <f t="shared" si="34"/>
        <v>0</v>
      </c>
    </row>
    <row r="103" spans="1:21" ht="23.25" x14ac:dyDescent="0.25">
      <c r="A103" s="25"/>
      <c r="B103" s="15" t="s">
        <v>118</v>
      </c>
      <c r="C103" s="56">
        <f>129.96/10*12</f>
        <v>155.952</v>
      </c>
      <c r="D103" s="57">
        <f>C103/12</f>
        <v>12.996</v>
      </c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>
        <f t="shared" si="38"/>
        <v>0</v>
      </c>
      <c r="R103" s="89" t="e">
        <f t="shared" si="33"/>
        <v>#DIV/0!</v>
      </c>
      <c r="S103" s="15"/>
      <c r="T103" s="62">
        <f t="shared" ref="T103:T135" si="39">Q103/$Q$34</f>
        <v>0</v>
      </c>
      <c r="U103" s="62">
        <f t="shared" si="34"/>
        <v>-1</v>
      </c>
    </row>
    <row r="104" spans="1:21" x14ac:dyDescent="0.25">
      <c r="A104" s="25"/>
      <c r="B104" s="15" t="s">
        <v>119</v>
      </c>
      <c r="C104" s="56">
        <v>10513.69</v>
      </c>
      <c r="D104" s="57">
        <f>C104/7</f>
        <v>1501.9557142857143</v>
      </c>
      <c r="E104" s="58">
        <f>(50*(E7+E8))+(25*(E9+E10))+(10*(E11+E12))+(15*E13)</f>
        <v>485</v>
      </c>
      <c r="F104" s="58">
        <f t="shared" ref="F104:P104" si="40">(50*(F7+F8))+(25*(F9+F10))+(10*(F11+F12))+(15*F13)</f>
        <v>485</v>
      </c>
      <c r="G104" s="58">
        <f t="shared" si="40"/>
        <v>485</v>
      </c>
      <c r="H104" s="58">
        <f t="shared" si="40"/>
        <v>485</v>
      </c>
      <c r="I104" s="58">
        <f t="shared" si="40"/>
        <v>485</v>
      </c>
      <c r="J104" s="58">
        <f t="shared" si="40"/>
        <v>485</v>
      </c>
      <c r="K104" s="58">
        <f t="shared" si="40"/>
        <v>495</v>
      </c>
      <c r="L104" s="58">
        <f>(50*(L7+L8))+(25*(L9+L10))+(10*(L11+L12))+(15*L13)</f>
        <v>495</v>
      </c>
      <c r="M104" s="58">
        <f t="shared" si="40"/>
        <v>495</v>
      </c>
      <c r="N104" s="58">
        <f t="shared" si="40"/>
        <v>495</v>
      </c>
      <c r="O104" s="58">
        <f t="shared" si="40"/>
        <v>495</v>
      </c>
      <c r="P104" s="58">
        <f t="shared" si="40"/>
        <v>495</v>
      </c>
      <c r="Q104" s="58">
        <f t="shared" si="38"/>
        <v>5880</v>
      </c>
      <c r="R104" s="89">
        <f t="shared" si="33"/>
        <v>490</v>
      </c>
      <c r="S104" s="15"/>
      <c r="T104" s="62">
        <f t="shared" si="39"/>
        <v>2.6588096129532873E-2</v>
      </c>
      <c r="U104" s="62">
        <f t="shared" si="34"/>
        <v>-0.4407291826180913</v>
      </c>
    </row>
    <row r="105" spans="1:21" x14ac:dyDescent="0.25">
      <c r="A105" s="25"/>
      <c r="B105" s="15" t="s">
        <v>120</v>
      </c>
      <c r="C105" s="56"/>
      <c r="D105" s="57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>
        <f t="shared" si="38"/>
        <v>0</v>
      </c>
      <c r="R105" s="89" t="e">
        <f t="shared" si="33"/>
        <v>#DIV/0!</v>
      </c>
      <c r="S105" s="15"/>
      <c r="T105" s="62">
        <f t="shared" si="39"/>
        <v>0</v>
      </c>
      <c r="U105" s="62">
        <f t="shared" si="34"/>
        <v>0</v>
      </c>
    </row>
    <row r="106" spans="1:21" x14ac:dyDescent="0.25">
      <c r="A106" s="25"/>
      <c r="B106" s="15" t="s">
        <v>121</v>
      </c>
      <c r="C106" s="56"/>
      <c r="D106" s="57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>
        <f t="shared" si="38"/>
        <v>0</v>
      </c>
      <c r="R106" s="89" t="e">
        <f t="shared" si="33"/>
        <v>#DIV/0!</v>
      </c>
      <c r="S106" s="15"/>
      <c r="T106" s="62">
        <f t="shared" si="39"/>
        <v>0</v>
      </c>
      <c r="U106" s="62">
        <f t="shared" si="34"/>
        <v>0</v>
      </c>
    </row>
    <row r="107" spans="1:21" x14ac:dyDescent="0.25">
      <c r="A107" s="25"/>
      <c r="B107" s="15" t="s">
        <v>122</v>
      </c>
      <c r="C107" s="56"/>
      <c r="D107" s="57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>
        <f t="shared" si="38"/>
        <v>0</v>
      </c>
      <c r="R107" s="89" t="e">
        <f t="shared" si="33"/>
        <v>#DIV/0!</v>
      </c>
      <c r="S107" s="15"/>
      <c r="T107" s="62">
        <f t="shared" si="39"/>
        <v>0</v>
      </c>
      <c r="U107" s="62">
        <f t="shared" si="34"/>
        <v>0</v>
      </c>
    </row>
    <row r="108" spans="1:21" x14ac:dyDescent="0.25">
      <c r="A108" s="25"/>
      <c r="B108" s="15" t="s">
        <v>123</v>
      </c>
      <c r="C108" s="56"/>
      <c r="D108" s="57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>
        <f t="shared" si="38"/>
        <v>0</v>
      </c>
      <c r="R108" s="89" t="e">
        <f t="shared" si="33"/>
        <v>#DIV/0!</v>
      </c>
      <c r="S108" s="15"/>
      <c r="T108" s="62">
        <f t="shared" si="39"/>
        <v>0</v>
      </c>
      <c r="U108" s="62">
        <f t="shared" si="34"/>
        <v>0</v>
      </c>
    </row>
    <row r="109" spans="1:21" x14ac:dyDescent="0.25">
      <c r="A109" s="25"/>
      <c r="B109" s="15" t="s">
        <v>124</v>
      </c>
      <c r="C109" s="56"/>
      <c r="D109" s="57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>
        <f t="shared" si="38"/>
        <v>0</v>
      </c>
      <c r="R109" s="89" t="e">
        <f t="shared" si="33"/>
        <v>#DIV/0!</v>
      </c>
      <c r="S109" s="15"/>
      <c r="T109" s="62">
        <f t="shared" si="39"/>
        <v>0</v>
      </c>
      <c r="U109" s="62">
        <f t="shared" si="34"/>
        <v>0</v>
      </c>
    </row>
    <row r="110" spans="1:21" x14ac:dyDescent="0.25">
      <c r="A110" s="25"/>
      <c r="B110" s="15" t="s">
        <v>125</v>
      </c>
      <c r="C110" s="56"/>
      <c r="D110" s="57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>
        <f t="shared" si="38"/>
        <v>0</v>
      </c>
      <c r="R110" s="89" t="e">
        <f t="shared" si="33"/>
        <v>#DIV/0!</v>
      </c>
      <c r="S110" s="15"/>
      <c r="T110" s="62">
        <f t="shared" si="39"/>
        <v>0</v>
      </c>
      <c r="U110" s="62">
        <f t="shared" si="34"/>
        <v>0</v>
      </c>
    </row>
    <row r="111" spans="1:21" x14ac:dyDescent="0.25">
      <c r="A111" s="25"/>
      <c r="B111" s="15" t="s">
        <v>126</v>
      </c>
      <c r="C111" s="56"/>
      <c r="D111" s="57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>
        <f t="shared" si="38"/>
        <v>0</v>
      </c>
      <c r="R111" s="89" t="e">
        <f t="shared" si="33"/>
        <v>#DIV/0!</v>
      </c>
      <c r="S111" s="15"/>
      <c r="T111" s="62">
        <f t="shared" si="39"/>
        <v>0</v>
      </c>
      <c r="U111" s="62">
        <f t="shared" si="34"/>
        <v>0</v>
      </c>
    </row>
    <row r="112" spans="1:21" x14ac:dyDescent="0.25">
      <c r="A112" s="25"/>
      <c r="B112" s="15" t="s">
        <v>127</v>
      </c>
      <c r="C112" s="56"/>
      <c r="D112" s="57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>
        <f t="shared" si="38"/>
        <v>0</v>
      </c>
      <c r="R112" s="89" t="e">
        <f t="shared" si="33"/>
        <v>#DIV/0!</v>
      </c>
      <c r="S112" s="15"/>
      <c r="T112" s="62">
        <f t="shared" si="39"/>
        <v>0</v>
      </c>
      <c r="U112" s="62">
        <f t="shared" si="34"/>
        <v>0</v>
      </c>
    </row>
    <row r="113" spans="1:21" x14ac:dyDescent="0.25">
      <c r="A113" s="25"/>
      <c r="B113" s="15" t="s">
        <v>128</v>
      </c>
      <c r="C113" s="56"/>
      <c r="D113" s="57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>
        <f t="shared" si="38"/>
        <v>0</v>
      </c>
      <c r="R113" s="89" t="e">
        <f t="shared" si="33"/>
        <v>#DIV/0!</v>
      </c>
      <c r="S113" s="15"/>
      <c r="T113" s="62">
        <f t="shared" si="39"/>
        <v>0</v>
      </c>
      <c r="U113" s="62">
        <f t="shared" si="34"/>
        <v>0</v>
      </c>
    </row>
    <row r="114" spans="1:21" x14ac:dyDescent="0.25">
      <c r="A114" s="25"/>
      <c r="B114" s="15" t="s">
        <v>129</v>
      </c>
      <c r="C114" s="56"/>
      <c r="D114" s="57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>
        <f t="shared" si="38"/>
        <v>0</v>
      </c>
      <c r="R114" s="89" t="e">
        <f t="shared" si="33"/>
        <v>#DIV/0!</v>
      </c>
      <c r="S114" s="15"/>
      <c r="T114" s="62">
        <f t="shared" si="39"/>
        <v>0</v>
      </c>
      <c r="U114" s="62">
        <f t="shared" si="34"/>
        <v>0</v>
      </c>
    </row>
    <row r="115" spans="1:21" x14ac:dyDescent="0.25">
      <c r="A115" s="25"/>
      <c r="B115" s="15" t="s">
        <v>130</v>
      </c>
      <c r="C115" s="56"/>
      <c r="D115" s="57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>
        <f t="shared" si="38"/>
        <v>0</v>
      </c>
      <c r="R115" s="89" t="e">
        <f t="shared" si="33"/>
        <v>#DIV/0!</v>
      </c>
      <c r="S115" s="15"/>
      <c r="T115" s="62">
        <f t="shared" si="39"/>
        <v>0</v>
      </c>
      <c r="U115" s="62">
        <f t="shared" si="34"/>
        <v>0</v>
      </c>
    </row>
    <row r="116" spans="1:21" x14ac:dyDescent="0.25">
      <c r="A116" s="25"/>
      <c r="B116" s="15" t="s">
        <v>131</v>
      </c>
      <c r="C116" s="56"/>
      <c r="D116" s="57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>
        <f t="shared" si="38"/>
        <v>0</v>
      </c>
      <c r="R116" s="89" t="e">
        <f t="shared" si="33"/>
        <v>#DIV/0!</v>
      </c>
      <c r="S116" s="15"/>
      <c r="T116" s="62">
        <f t="shared" si="39"/>
        <v>0</v>
      </c>
      <c r="U116" s="62">
        <f t="shared" si="34"/>
        <v>0</v>
      </c>
    </row>
    <row r="117" spans="1:21" ht="23.25" x14ac:dyDescent="0.25">
      <c r="A117" s="25"/>
      <c r="B117" s="15" t="s">
        <v>132</v>
      </c>
      <c r="C117" s="56"/>
      <c r="D117" s="57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>
        <f t="shared" si="38"/>
        <v>0</v>
      </c>
      <c r="R117" s="89" t="e">
        <f t="shared" si="33"/>
        <v>#DIV/0!</v>
      </c>
      <c r="S117" s="15"/>
      <c r="T117" s="62">
        <f t="shared" si="39"/>
        <v>0</v>
      </c>
      <c r="U117" s="62">
        <f t="shared" si="34"/>
        <v>0</v>
      </c>
    </row>
    <row r="118" spans="1:21" ht="23.25" x14ac:dyDescent="0.25">
      <c r="A118" s="25"/>
      <c r="B118" s="15" t="s">
        <v>133</v>
      </c>
      <c r="C118" s="56"/>
      <c r="D118" s="57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>
        <f t="shared" si="38"/>
        <v>0</v>
      </c>
      <c r="R118" s="89" t="e">
        <f t="shared" si="33"/>
        <v>#DIV/0!</v>
      </c>
      <c r="S118" s="15"/>
      <c r="T118" s="62">
        <f t="shared" si="39"/>
        <v>0</v>
      </c>
      <c r="U118" s="62">
        <f t="shared" si="34"/>
        <v>0</v>
      </c>
    </row>
    <row r="119" spans="1:21" x14ac:dyDescent="0.25">
      <c r="A119" s="25"/>
      <c r="B119" s="15" t="s">
        <v>134</v>
      </c>
      <c r="C119" s="56"/>
      <c r="D119" s="57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>
        <f>SUM(E119:P119)</f>
        <v>0</v>
      </c>
      <c r="R119" s="89" t="e">
        <f>AVERAGE(E119:P119)</f>
        <v>#DIV/0!</v>
      </c>
      <c r="S119" s="15"/>
      <c r="T119" s="62">
        <f t="shared" si="39"/>
        <v>0</v>
      </c>
      <c r="U119" s="62">
        <f t="shared" si="34"/>
        <v>0</v>
      </c>
    </row>
    <row r="120" spans="1:21" x14ac:dyDescent="0.25">
      <c r="A120" s="25"/>
      <c r="B120" s="15" t="s">
        <v>135</v>
      </c>
      <c r="C120" s="56"/>
      <c r="D120" s="57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>
        <f t="shared" si="38"/>
        <v>0</v>
      </c>
      <c r="R120" s="89" t="e">
        <f t="shared" si="33"/>
        <v>#DIV/0!</v>
      </c>
      <c r="S120" s="15"/>
      <c r="T120" s="62">
        <f t="shared" si="39"/>
        <v>0</v>
      </c>
      <c r="U120" s="62">
        <f t="shared" si="34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41">SUM(C97:C120)</f>
        <v>12121.642</v>
      </c>
      <c r="D121" s="92">
        <f t="shared" si="41"/>
        <v>1635.9517142857144</v>
      </c>
      <c r="E121" s="93">
        <f t="shared" si="41"/>
        <v>485</v>
      </c>
      <c r="F121" s="93">
        <f t="shared" si="41"/>
        <v>485</v>
      </c>
      <c r="G121" s="93">
        <f t="shared" si="41"/>
        <v>485</v>
      </c>
      <c r="H121" s="93">
        <f t="shared" si="41"/>
        <v>485</v>
      </c>
      <c r="I121" s="93">
        <f t="shared" si="41"/>
        <v>485</v>
      </c>
      <c r="J121" s="93">
        <f t="shared" si="41"/>
        <v>485</v>
      </c>
      <c r="K121" s="93">
        <f t="shared" si="41"/>
        <v>495</v>
      </c>
      <c r="L121" s="93">
        <f t="shared" si="41"/>
        <v>495</v>
      </c>
      <c r="M121" s="93">
        <f t="shared" si="41"/>
        <v>495</v>
      </c>
      <c r="N121" s="93">
        <f t="shared" si="41"/>
        <v>495</v>
      </c>
      <c r="O121" s="93">
        <f t="shared" si="41"/>
        <v>495</v>
      </c>
      <c r="P121" s="93">
        <f t="shared" si="41"/>
        <v>495</v>
      </c>
      <c r="Q121" s="93">
        <f t="shared" si="41"/>
        <v>5880</v>
      </c>
      <c r="R121" s="94">
        <f>AVERAGE(E121:P121)</f>
        <v>490</v>
      </c>
      <c r="T121" s="96">
        <f t="shared" si="39"/>
        <v>2.6588096129532873E-2</v>
      </c>
      <c r="U121" s="96">
        <f t="shared" si="34"/>
        <v>-0.51491720346137926</v>
      </c>
    </row>
    <row r="122" spans="1:21" x14ac:dyDescent="0.25">
      <c r="A122" s="15" t="s">
        <v>137</v>
      </c>
      <c r="B122" s="15" t="s">
        <v>48</v>
      </c>
      <c r="C122" s="114"/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>
        <v>1800</v>
      </c>
      <c r="D123" s="57">
        <f>C123/12</f>
        <v>150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f>SUM(E123:P123)</f>
        <v>0</v>
      </c>
      <c r="R123" s="89">
        <f t="shared" si="33"/>
        <v>0</v>
      </c>
      <c r="S123" s="15"/>
      <c r="T123" s="62">
        <f t="shared" si="39"/>
        <v>0</v>
      </c>
      <c r="U123" s="62">
        <f t="shared" si="34"/>
        <v>-1</v>
      </c>
    </row>
    <row r="124" spans="1:21" x14ac:dyDescent="0.25">
      <c r="A124" s="63" t="s">
        <v>139</v>
      </c>
      <c r="B124" s="15" t="s">
        <v>48</v>
      </c>
      <c r="C124" s="91">
        <f t="shared" ref="C124:Q124" si="42">SUM(C123:C123)</f>
        <v>1800</v>
      </c>
      <c r="D124" s="92">
        <f t="shared" si="42"/>
        <v>150</v>
      </c>
      <c r="E124" s="93">
        <f t="shared" si="42"/>
        <v>0</v>
      </c>
      <c r="F124" s="93">
        <f t="shared" si="42"/>
        <v>0</v>
      </c>
      <c r="G124" s="93">
        <f t="shared" si="42"/>
        <v>0</v>
      </c>
      <c r="H124" s="93">
        <f t="shared" si="42"/>
        <v>0</v>
      </c>
      <c r="I124" s="93">
        <f t="shared" si="42"/>
        <v>0</v>
      </c>
      <c r="J124" s="93">
        <f t="shared" si="42"/>
        <v>0</v>
      </c>
      <c r="K124" s="93">
        <f t="shared" si="42"/>
        <v>0</v>
      </c>
      <c r="L124" s="93">
        <f t="shared" si="42"/>
        <v>0</v>
      </c>
      <c r="M124" s="93">
        <f t="shared" si="42"/>
        <v>0</v>
      </c>
      <c r="N124" s="93">
        <f t="shared" si="42"/>
        <v>0</v>
      </c>
      <c r="O124" s="93">
        <f t="shared" si="42"/>
        <v>0</v>
      </c>
      <c r="P124" s="93">
        <f t="shared" si="42"/>
        <v>0</v>
      </c>
      <c r="Q124" s="93">
        <f t="shared" si="42"/>
        <v>0</v>
      </c>
      <c r="R124" s="94">
        <f t="shared" si="33"/>
        <v>0</v>
      </c>
      <c r="T124" s="96">
        <f t="shared" si="39"/>
        <v>0</v>
      </c>
      <c r="U124" s="96">
        <f t="shared" si="34"/>
        <v>-1</v>
      </c>
    </row>
    <row r="125" spans="1:21" x14ac:dyDescent="0.25">
      <c r="A125" s="15" t="s">
        <v>140</v>
      </c>
      <c r="B125" s="15"/>
      <c r="C125" s="137"/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f>304.01/10*12</f>
        <v>364.81200000000001</v>
      </c>
      <c r="D126" s="57">
        <f>C126/12</f>
        <v>30.401</v>
      </c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>
        <f>SUM(E126:P126)</f>
        <v>0</v>
      </c>
      <c r="R126" s="89" t="e">
        <f t="shared" si="33"/>
        <v>#DIV/0!</v>
      </c>
      <c r="S126" s="15"/>
      <c r="T126" s="62">
        <f t="shared" si="39"/>
        <v>0</v>
      </c>
      <c r="U126" s="62">
        <f t="shared" si="34"/>
        <v>-1</v>
      </c>
    </row>
    <row r="127" spans="1:21" x14ac:dyDescent="0.25">
      <c r="A127" s="63" t="s">
        <v>142</v>
      </c>
      <c r="B127" s="15"/>
      <c r="C127" s="137">
        <f t="shared" ref="C127:Q127" si="43">SUM(C126:C126)</f>
        <v>364.81200000000001</v>
      </c>
      <c r="D127" s="138">
        <f t="shared" si="43"/>
        <v>30.401</v>
      </c>
      <c r="E127" s="139">
        <f t="shared" si="43"/>
        <v>0</v>
      </c>
      <c r="F127" s="139">
        <f t="shared" si="43"/>
        <v>0</v>
      </c>
      <c r="G127" s="139">
        <f t="shared" si="43"/>
        <v>0</v>
      </c>
      <c r="H127" s="139">
        <f t="shared" si="43"/>
        <v>0</v>
      </c>
      <c r="I127" s="139">
        <f t="shared" si="43"/>
        <v>0</v>
      </c>
      <c r="J127" s="139">
        <f t="shared" si="43"/>
        <v>0</v>
      </c>
      <c r="K127" s="139">
        <f t="shared" si="43"/>
        <v>0</v>
      </c>
      <c r="L127" s="139">
        <f t="shared" si="43"/>
        <v>0</v>
      </c>
      <c r="M127" s="139">
        <f t="shared" si="43"/>
        <v>0</v>
      </c>
      <c r="N127" s="139">
        <f t="shared" si="43"/>
        <v>0</v>
      </c>
      <c r="O127" s="139">
        <f t="shared" si="43"/>
        <v>0</v>
      </c>
      <c r="P127" s="139">
        <f t="shared" si="43"/>
        <v>0</v>
      </c>
      <c r="Q127" s="139">
        <f t="shared" si="43"/>
        <v>0</v>
      </c>
      <c r="R127" s="140">
        <f t="shared" si="33"/>
        <v>0</v>
      </c>
      <c r="T127" s="141">
        <f t="shared" si="39"/>
        <v>0</v>
      </c>
      <c r="U127" s="141">
        <f t="shared" si="34"/>
        <v>-1</v>
      </c>
    </row>
    <row r="128" spans="1:21" s="142" customFormat="1" x14ac:dyDescent="0.25">
      <c r="A128" s="63" t="s">
        <v>143</v>
      </c>
      <c r="B128" s="142" t="s">
        <v>48</v>
      </c>
      <c r="C128" s="71">
        <f t="shared" ref="C128:Q128" si="44">C124+C121+C90+C82+C73+C62+C48+C95+C76+C127</f>
        <v>14286.454</v>
      </c>
      <c r="D128" s="72">
        <f t="shared" si="44"/>
        <v>1816.3527142857145</v>
      </c>
      <c r="E128" s="73">
        <f t="shared" si="44"/>
        <v>485</v>
      </c>
      <c r="F128" s="73">
        <f t="shared" si="44"/>
        <v>485</v>
      </c>
      <c r="G128" s="73">
        <f t="shared" si="44"/>
        <v>485</v>
      </c>
      <c r="H128" s="73">
        <f t="shared" si="44"/>
        <v>485</v>
      </c>
      <c r="I128" s="73">
        <f t="shared" si="44"/>
        <v>485</v>
      </c>
      <c r="J128" s="73">
        <f t="shared" si="44"/>
        <v>485</v>
      </c>
      <c r="K128" s="73">
        <f t="shared" si="44"/>
        <v>495</v>
      </c>
      <c r="L128" s="73">
        <f t="shared" si="44"/>
        <v>495</v>
      </c>
      <c r="M128" s="73">
        <f t="shared" si="44"/>
        <v>495</v>
      </c>
      <c r="N128" s="73">
        <f t="shared" si="44"/>
        <v>495</v>
      </c>
      <c r="O128" s="73">
        <f t="shared" si="44"/>
        <v>495</v>
      </c>
      <c r="P128" s="73">
        <f t="shared" si="44"/>
        <v>495</v>
      </c>
      <c r="Q128" s="73">
        <f t="shared" si="44"/>
        <v>5880</v>
      </c>
      <c r="R128" s="74">
        <f t="shared" si="33"/>
        <v>490</v>
      </c>
      <c r="T128" s="76">
        <f t="shared" si="39"/>
        <v>2.6588096129532873E-2</v>
      </c>
      <c r="U128" s="76">
        <f t="shared" si="34"/>
        <v>-0.58842131154448818</v>
      </c>
    </row>
    <row r="129" spans="1:21" x14ac:dyDescent="0.25">
      <c r="A129" s="78" t="s">
        <v>144</v>
      </c>
      <c r="B129" t="s">
        <v>48</v>
      </c>
      <c r="C129" s="79">
        <f t="shared" ref="C129:Q129" si="45">C34-C128</f>
        <v>125831.44600000003</v>
      </c>
      <c r="D129" s="80">
        <f t="shared" si="45"/>
        <v>9860.1389523809539</v>
      </c>
      <c r="E129" s="81">
        <f t="shared" si="45"/>
        <v>17944.300000000003</v>
      </c>
      <c r="F129" s="81">
        <f t="shared" si="45"/>
        <v>17944.300000000003</v>
      </c>
      <c r="G129" s="81">
        <f t="shared" si="45"/>
        <v>17944.300000000003</v>
      </c>
      <c r="H129" s="81">
        <f t="shared" si="45"/>
        <v>17944.300000000003</v>
      </c>
      <c r="I129" s="81">
        <f t="shared" si="45"/>
        <v>17944.300000000003</v>
      </c>
      <c r="J129" s="81">
        <f t="shared" si="45"/>
        <v>17944.300000000003</v>
      </c>
      <c r="K129" s="81">
        <f t="shared" si="45"/>
        <v>17934.300000000003</v>
      </c>
      <c r="L129" s="81">
        <f t="shared" si="45"/>
        <v>17934.300000000003</v>
      </c>
      <c r="M129" s="81">
        <f t="shared" si="45"/>
        <v>17934.300000000003</v>
      </c>
      <c r="N129" s="81">
        <f t="shared" si="45"/>
        <v>17934.300000000003</v>
      </c>
      <c r="O129" s="81">
        <f t="shared" si="45"/>
        <v>17934.300000000003</v>
      </c>
      <c r="P129" s="81">
        <f t="shared" si="45"/>
        <v>17934.300000000003</v>
      </c>
      <c r="Q129" s="81">
        <f t="shared" si="45"/>
        <v>215271.59999999992</v>
      </c>
      <c r="R129" s="82">
        <f t="shared" si="33"/>
        <v>17939.3</v>
      </c>
      <c r="T129" s="31">
        <f t="shared" si="39"/>
        <v>0.97341190387046717</v>
      </c>
      <c r="U129" s="31">
        <f t="shared" si="34"/>
        <v>0.71079334175337916</v>
      </c>
    </row>
    <row r="130" spans="1:21" x14ac:dyDescent="0.25">
      <c r="A130" s="78" t="s">
        <v>145</v>
      </c>
      <c r="B130" t="s">
        <v>48</v>
      </c>
      <c r="C130" s="339">
        <f t="shared" ref="C130:Q130" si="46">IFERROR(C129/C34,0)</f>
        <v>0.89803976508354755</v>
      </c>
      <c r="D130" s="340">
        <f t="shared" si="46"/>
        <v>0.84444362517973381</v>
      </c>
      <c r="E130" s="341">
        <f t="shared" si="46"/>
        <v>0.9736832109738297</v>
      </c>
      <c r="F130" s="341">
        <f t="shared" si="46"/>
        <v>0.9736832109738297</v>
      </c>
      <c r="G130" s="341">
        <f t="shared" si="46"/>
        <v>0.9736832109738297</v>
      </c>
      <c r="H130" s="341">
        <f t="shared" si="46"/>
        <v>0.9736832109738297</v>
      </c>
      <c r="I130" s="341">
        <f t="shared" si="46"/>
        <v>0.9736832109738297</v>
      </c>
      <c r="J130" s="341">
        <f t="shared" si="46"/>
        <v>0.9736832109738297</v>
      </c>
      <c r="K130" s="341">
        <f t="shared" si="46"/>
        <v>0.97314059676710452</v>
      </c>
      <c r="L130" s="341">
        <f t="shared" si="46"/>
        <v>0.97314059676710452</v>
      </c>
      <c r="M130" s="341">
        <f t="shared" si="46"/>
        <v>0.97314059676710452</v>
      </c>
      <c r="N130" s="341">
        <f t="shared" si="46"/>
        <v>0.97314059676710452</v>
      </c>
      <c r="O130" s="341">
        <f t="shared" si="46"/>
        <v>0.97314059676710452</v>
      </c>
      <c r="P130" s="341">
        <f t="shared" si="46"/>
        <v>0.97314059676710452</v>
      </c>
      <c r="Q130" s="341">
        <f t="shared" si="46"/>
        <v>0.97341190387046717</v>
      </c>
      <c r="R130" s="342">
        <f t="shared" si="33"/>
        <v>0.97341190387046694</v>
      </c>
      <c r="T130" s="31"/>
      <c r="U130" s="31">
        <f>IFERROR((Q130-C130)/C130,0)</f>
        <v>8.3929622849058916E-2</v>
      </c>
    </row>
    <row r="131" spans="1:21" x14ac:dyDescent="0.25">
      <c r="A131" s="78" t="s">
        <v>146</v>
      </c>
      <c r="C131" s="51"/>
      <c r="D131" s="52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53"/>
      <c r="P131" s="53"/>
      <c r="Q131" s="53"/>
      <c r="R131" s="343"/>
      <c r="T131" s="55"/>
      <c r="U131" s="55"/>
    </row>
    <row r="132" spans="1:21" x14ac:dyDescent="0.25">
      <c r="A132" s="78"/>
      <c r="B132" s="15" t="s">
        <v>147</v>
      </c>
      <c r="C132" s="56"/>
      <c r="D132" s="57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>
        <f>SUM(E132:P132)</f>
        <v>0</v>
      </c>
      <c r="R132" s="89" t="e">
        <f t="shared" ref="R132:R137" si="47">AVERAGE(E132:P132)</f>
        <v>#DIV/0!</v>
      </c>
      <c r="S132" s="15"/>
      <c r="T132" s="62">
        <f t="shared" si="39"/>
        <v>0</v>
      </c>
      <c r="U132" s="62">
        <f t="shared" si="34"/>
        <v>0</v>
      </c>
    </row>
    <row r="133" spans="1:21" x14ac:dyDescent="0.25">
      <c r="A133" s="78"/>
      <c r="B133" s="15" t="s">
        <v>148</v>
      </c>
      <c r="C133" s="56"/>
      <c r="D133" s="57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>
        <f>SUM(E133:P133)</f>
        <v>0</v>
      </c>
      <c r="R133" s="89" t="e">
        <f t="shared" si="47"/>
        <v>#DIV/0!</v>
      </c>
      <c r="S133" s="15"/>
      <c r="T133" s="62">
        <f t="shared" si="39"/>
        <v>0</v>
      </c>
      <c r="U133" s="62">
        <f t="shared" si="34"/>
        <v>0</v>
      </c>
    </row>
    <row r="134" spans="1:21" x14ac:dyDescent="0.25">
      <c r="A134" s="63" t="s">
        <v>149</v>
      </c>
      <c r="C134" s="137">
        <f t="shared" ref="C134:D134" si="48">SUM(C132:C133)</f>
        <v>0</v>
      </c>
      <c r="D134" s="138">
        <f t="shared" si="48"/>
        <v>0</v>
      </c>
      <c r="E134" s="139">
        <f>SUM(E132:E133)</f>
        <v>0</v>
      </c>
      <c r="F134" s="139">
        <f t="shared" ref="F134:Q134" si="49">SUM(F132:F133)</f>
        <v>0</v>
      </c>
      <c r="G134" s="139">
        <f t="shared" si="49"/>
        <v>0</v>
      </c>
      <c r="H134" s="139">
        <f t="shared" si="49"/>
        <v>0</v>
      </c>
      <c r="I134" s="139">
        <f t="shared" si="49"/>
        <v>0</v>
      </c>
      <c r="J134" s="139">
        <f t="shared" si="49"/>
        <v>0</v>
      </c>
      <c r="K134" s="139">
        <f t="shared" si="49"/>
        <v>0</v>
      </c>
      <c r="L134" s="139">
        <f t="shared" si="49"/>
        <v>0</v>
      </c>
      <c r="M134" s="139">
        <f t="shared" si="49"/>
        <v>0</v>
      </c>
      <c r="N134" s="139">
        <f t="shared" si="49"/>
        <v>0</v>
      </c>
      <c r="O134" s="139">
        <f t="shared" si="49"/>
        <v>0</v>
      </c>
      <c r="P134" s="139">
        <f t="shared" si="49"/>
        <v>0</v>
      </c>
      <c r="Q134" s="139">
        <f t="shared" si="49"/>
        <v>0</v>
      </c>
      <c r="R134" s="140">
        <f>AVERAGE(E134:P134)</f>
        <v>0</v>
      </c>
      <c r="T134" s="141">
        <f t="shared" si="39"/>
        <v>0</v>
      </c>
      <c r="U134" s="141">
        <f t="shared" si="34"/>
        <v>0</v>
      </c>
    </row>
    <row r="135" spans="1:21" ht="22.5" x14ac:dyDescent="0.25">
      <c r="A135" s="63" t="s">
        <v>150</v>
      </c>
      <c r="C135" s="71">
        <f t="shared" ref="C135:D135" si="50">C134+C128</f>
        <v>14286.454</v>
      </c>
      <c r="D135" s="72">
        <f t="shared" si="50"/>
        <v>1816.3527142857145</v>
      </c>
      <c r="E135" s="73">
        <f>E134+E128</f>
        <v>485</v>
      </c>
      <c r="F135" s="73">
        <f t="shared" ref="F135:P135" si="51">F134+F128</f>
        <v>485</v>
      </c>
      <c r="G135" s="73">
        <f t="shared" si="51"/>
        <v>485</v>
      </c>
      <c r="H135" s="73">
        <f t="shared" si="51"/>
        <v>485</v>
      </c>
      <c r="I135" s="73">
        <f t="shared" si="51"/>
        <v>485</v>
      </c>
      <c r="J135" s="73">
        <f t="shared" si="51"/>
        <v>485</v>
      </c>
      <c r="K135" s="73">
        <f t="shared" si="51"/>
        <v>495</v>
      </c>
      <c r="L135" s="73">
        <f t="shared" si="51"/>
        <v>495</v>
      </c>
      <c r="M135" s="73">
        <f t="shared" si="51"/>
        <v>495</v>
      </c>
      <c r="N135" s="73">
        <f t="shared" si="51"/>
        <v>495</v>
      </c>
      <c r="O135" s="73">
        <f t="shared" si="51"/>
        <v>495</v>
      </c>
      <c r="P135" s="73">
        <f t="shared" si="51"/>
        <v>495</v>
      </c>
      <c r="Q135" s="73">
        <f>Q134+Q128</f>
        <v>5880</v>
      </c>
      <c r="R135" s="74">
        <f t="shared" si="47"/>
        <v>490</v>
      </c>
      <c r="T135" s="76">
        <f t="shared" si="39"/>
        <v>2.6588096129532873E-2</v>
      </c>
      <c r="U135" s="76">
        <f t="shared" si="34"/>
        <v>-0.58842131154448818</v>
      </c>
    </row>
    <row r="136" spans="1:21" x14ac:dyDescent="0.25">
      <c r="A136" s="78" t="s">
        <v>151</v>
      </c>
      <c r="C136" s="79">
        <f t="shared" ref="C136:Q136" si="52">C34-C135</f>
        <v>125831.44600000003</v>
      </c>
      <c r="D136" s="80">
        <f t="shared" si="52"/>
        <v>9860.1389523809539</v>
      </c>
      <c r="E136" s="81">
        <f t="shared" si="52"/>
        <v>17944.300000000003</v>
      </c>
      <c r="F136" s="81">
        <f t="shared" si="52"/>
        <v>17944.300000000003</v>
      </c>
      <c r="G136" s="81">
        <f t="shared" si="52"/>
        <v>17944.300000000003</v>
      </c>
      <c r="H136" s="81">
        <f t="shared" si="52"/>
        <v>17944.300000000003</v>
      </c>
      <c r="I136" s="81">
        <f t="shared" si="52"/>
        <v>17944.300000000003</v>
      </c>
      <c r="J136" s="81">
        <f t="shared" si="52"/>
        <v>17944.300000000003</v>
      </c>
      <c r="K136" s="81">
        <f t="shared" si="52"/>
        <v>17934.300000000003</v>
      </c>
      <c r="L136" s="81">
        <f t="shared" si="52"/>
        <v>17934.300000000003</v>
      </c>
      <c r="M136" s="81">
        <f t="shared" si="52"/>
        <v>17934.300000000003</v>
      </c>
      <c r="N136" s="81">
        <f t="shared" si="52"/>
        <v>17934.300000000003</v>
      </c>
      <c r="O136" s="81">
        <f t="shared" si="52"/>
        <v>17934.300000000003</v>
      </c>
      <c r="P136" s="81">
        <f t="shared" si="52"/>
        <v>17934.300000000003</v>
      </c>
      <c r="Q136" s="81">
        <f t="shared" si="52"/>
        <v>215271.59999999992</v>
      </c>
      <c r="R136" s="82">
        <f>AVERAGE(E136:P136)</f>
        <v>17939.3</v>
      </c>
      <c r="T136" s="31">
        <f>Q136/$Q$34</f>
        <v>0.97341190387046717</v>
      </c>
      <c r="U136" s="31">
        <f t="shared" si="34"/>
        <v>0.71079334175337916</v>
      </c>
    </row>
    <row r="137" spans="1:21" ht="15.75" thickBot="1" x14ac:dyDescent="0.3">
      <c r="A137" s="78" t="s">
        <v>152</v>
      </c>
      <c r="C137" s="344">
        <f>IFERROR(C136/C34,"")</f>
        <v>0.89803976508354755</v>
      </c>
      <c r="D137" s="345">
        <f>IFERROR(D136/D34,"")</f>
        <v>0.84444362517973381</v>
      </c>
      <c r="E137" s="341">
        <f t="shared" ref="E137:Q137" si="53">E136/E34</f>
        <v>0.9736832109738297</v>
      </c>
      <c r="F137" s="341">
        <f t="shared" si="53"/>
        <v>0.9736832109738297</v>
      </c>
      <c r="G137" s="341">
        <f t="shared" si="53"/>
        <v>0.9736832109738297</v>
      </c>
      <c r="H137" s="341">
        <f t="shared" si="53"/>
        <v>0.9736832109738297</v>
      </c>
      <c r="I137" s="341">
        <f t="shared" si="53"/>
        <v>0.9736832109738297</v>
      </c>
      <c r="J137" s="341">
        <f t="shared" si="53"/>
        <v>0.9736832109738297</v>
      </c>
      <c r="K137" s="341">
        <f t="shared" si="53"/>
        <v>0.97314059676710452</v>
      </c>
      <c r="L137" s="341">
        <f t="shared" si="53"/>
        <v>0.97314059676710452</v>
      </c>
      <c r="M137" s="341">
        <f t="shared" si="53"/>
        <v>0.97314059676710452</v>
      </c>
      <c r="N137" s="341">
        <f t="shared" si="53"/>
        <v>0.97314059676710452</v>
      </c>
      <c r="O137" s="341">
        <f t="shared" si="53"/>
        <v>0.97314059676710452</v>
      </c>
      <c r="P137" s="341">
        <f t="shared" si="53"/>
        <v>0.97314059676710452</v>
      </c>
      <c r="Q137" s="341">
        <f t="shared" si="53"/>
        <v>0.97341190387046717</v>
      </c>
      <c r="R137" s="346">
        <f t="shared" si="47"/>
        <v>0.97341190387046694</v>
      </c>
      <c r="T137" s="181"/>
      <c r="U137" s="181">
        <f t="shared" si="34"/>
        <v>8.3929622849058916E-2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72E-2336-41B1-8823-048D23C76E09}">
  <dimension ref="A1"/>
  <sheetViews>
    <sheetView workbookViewId="0">
      <selection activeCell="B10" sqref="B10"/>
    </sheetView>
  </sheetViews>
  <sheetFormatPr defaultColWidth="12.42578125" defaultRowHeight="12.75" x14ac:dyDescent="0.2"/>
  <cols>
    <col min="1" max="16384" width="12.42578125" style="381"/>
  </cols>
  <sheetData/>
  <sheetProtection algorithmName="SHA-512" hashValue="eABgeBlWYrMGGH/v9qRjkvOsJQy7cFricuuz9MJVomzrjGWulOk3J0B0sHor45aallPh1QhJ48vtdqUlw947Ug==" saltValue="+Du0XxhstW/+5sDPuLE2S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7D04-73DB-4617-BEC1-8CB8B35262CC}">
  <dimension ref="B1"/>
  <sheetViews>
    <sheetView topLeftCell="A2" workbookViewId="0">
      <selection activeCell="B10" sqref="B10"/>
    </sheetView>
  </sheetViews>
  <sheetFormatPr defaultColWidth="12.42578125" defaultRowHeight="15.75" x14ac:dyDescent="0.25"/>
  <cols>
    <col min="1" max="1" width="12.42578125" style="382"/>
    <col min="2" max="2" width="12.42578125" style="384"/>
    <col min="3" max="16384" width="12.42578125" style="382"/>
  </cols>
  <sheetData/>
  <pageMargins left="0.7" right="0.7" top="0.75" bottom="0.75" header="0.3" footer="0.3"/>
  <customProperties>
    <customPr name="SaaSBISignatur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4383-07AC-4A3F-A8C7-736931F83EBB}">
  <dimension ref="A1:Z137"/>
  <sheetViews>
    <sheetView tabSelected="1" workbookViewId="0">
      <selection activeCell="A8" sqref="A8"/>
    </sheetView>
  </sheetViews>
  <sheetFormatPr defaultRowHeight="15" x14ac:dyDescent="0.25"/>
  <cols>
    <col min="1" max="1" width="30.7109375" bestFit="1" customWidth="1"/>
    <col min="2" max="2" width="41.42578125" bestFit="1" customWidth="1"/>
    <col min="3" max="3" width="9.85546875" bestFit="1" customWidth="1"/>
    <col min="4" max="12" width="8.7109375" bestFit="1" customWidth="1"/>
    <col min="14" max="16" width="8.7109375" bestFit="1" customWidth="1"/>
    <col min="17" max="17" width="9.42578125" bestFit="1" customWidth="1"/>
    <col min="18" max="18" width="8.140625" bestFit="1" customWidth="1"/>
    <col min="19" max="19" width="54.140625" customWidth="1"/>
    <col min="20" max="20" width="9.5703125" bestFit="1" customWidth="1"/>
    <col min="21" max="21" width="10.140625" bestFit="1" customWidth="1"/>
    <col min="23" max="23" width="5" bestFit="1" customWidth="1"/>
    <col min="24" max="24" width="1.42578125" bestFit="1" customWidth="1"/>
    <col min="26" max="26" width="2.85546875" bestFit="1" customWidth="1"/>
  </cols>
  <sheetData>
    <row r="1" spans="1:21" ht="18" x14ac:dyDescent="0.25">
      <c r="A1" s="401" t="s">
        <v>421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1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1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1" x14ac:dyDescent="0.25">
      <c r="E4" s="6">
        <v>31</v>
      </c>
      <c r="F4" s="6">
        <v>28</v>
      </c>
      <c r="G4" s="6">
        <v>31</v>
      </c>
      <c r="H4" s="6">
        <v>30</v>
      </c>
      <c r="I4" s="6">
        <v>31</v>
      </c>
      <c r="J4" s="6">
        <v>30</v>
      </c>
      <c r="K4" s="6">
        <v>31</v>
      </c>
      <c r="L4" s="6">
        <v>31</v>
      </c>
      <c r="M4" s="6">
        <v>30</v>
      </c>
      <c r="N4" s="6">
        <v>31</v>
      </c>
      <c r="O4" s="6">
        <v>30</v>
      </c>
      <c r="P4" s="6">
        <v>31</v>
      </c>
    </row>
    <row r="5" spans="1:21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1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S6" s="385" t="s">
        <v>384</v>
      </c>
      <c r="T6" s="13" t="s">
        <v>19</v>
      </c>
      <c r="U6" s="13" t="s">
        <v>20</v>
      </c>
    </row>
    <row r="7" spans="1:21" x14ac:dyDescent="0.25">
      <c r="A7" s="15" t="s">
        <v>21</v>
      </c>
      <c r="B7" s="15" t="s">
        <v>22</v>
      </c>
      <c r="C7" s="16">
        <v>0</v>
      </c>
      <c r="D7" s="17">
        <f>C7/12</f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9">
        <f t="shared" ref="Q7:Q13" si="0">SUM(E7:P7)</f>
        <v>0</v>
      </c>
      <c r="R7" s="20">
        <f>AVERAGE(E7:P7)</f>
        <v>0</v>
      </c>
      <c r="S7" s="15" t="s">
        <v>385</v>
      </c>
      <c r="T7" s="21"/>
      <c r="U7" s="22">
        <f>IFERROR((Q7-C7)/C7,0)</f>
        <v>0</v>
      </c>
    </row>
    <row r="8" spans="1:21" x14ac:dyDescent="0.25">
      <c r="A8" s="25"/>
      <c r="B8" s="15" t="s">
        <v>23</v>
      </c>
      <c r="C8" s="16">
        <v>0</v>
      </c>
      <c r="D8" s="17">
        <f t="shared" ref="D8:D13" si="1">C8/12</f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9">
        <f t="shared" si="0"/>
        <v>0</v>
      </c>
      <c r="R8" s="20">
        <f t="shared" ref="R8:R87" si="2">AVERAGE(E8:P8)</f>
        <v>0</v>
      </c>
      <c r="S8" s="15" t="s">
        <v>385</v>
      </c>
      <c r="T8" s="21"/>
      <c r="U8" s="22">
        <f t="shared" ref="U8:U13" si="3">IFERROR((Q8-C8)/C8,0)</f>
        <v>0</v>
      </c>
    </row>
    <row r="9" spans="1:21" x14ac:dyDescent="0.25">
      <c r="A9" s="25"/>
      <c r="B9" s="15" t="s">
        <v>24</v>
      </c>
      <c r="C9" s="16">
        <v>0</v>
      </c>
      <c r="D9" s="17">
        <f t="shared" si="1"/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9">
        <f t="shared" si="0"/>
        <v>0</v>
      </c>
      <c r="R9" s="20">
        <f t="shared" si="2"/>
        <v>0</v>
      </c>
      <c r="S9" s="15" t="s">
        <v>385</v>
      </c>
      <c r="T9" s="21"/>
      <c r="U9" s="22">
        <f t="shared" si="3"/>
        <v>0</v>
      </c>
    </row>
    <row r="10" spans="1:21" x14ac:dyDescent="0.25">
      <c r="A10" s="15"/>
      <c r="B10" s="15" t="s">
        <v>25</v>
      </c>
      <c r="C10" s="16">
        <v>0</v>
      </c>
      <c r="D10" s="17">
        <f t="shared" si="1"/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9">
        <f t="shared" si="0"/>
        <v>0</v>
      </c>
      <c r="R10" s="20">
        <f t="shared" si="2"/>
        <v>0</v>
      </c>
      <c r="S10" s="15" t="s">
        <v>385</v>
      </c>
      <c r="T10" s="21"/>
      <c r="U10" s="22">
        <f t="shared" si="3"/>
        <v>0</v>
      </c>
    </row>
    <row r="11" spans="1:21" x14ac:dyDescent="0.25">
      <c r="A11" s="15"/>
      <c r="B11" s="15" t="s">
        <v>26</v>
      </c>
      <c r="C11" s="16">
        <v>0</v>
      </c>
      <c r="D11" s="17">
        <f t="shared" si="1"/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9">
        <f t="shared" si="0"/>
        <v>0</v>
      </c>
      <c r="R11" s="20">
        <f t="shared" si="2"/>
        <v>0</v>
      </c>
      <c r="S11" s="15" t="s">
        <v>385</v>
      </c>
      <c r="T11" s="21"/>
      <c r="U11" s="22">
        <f t="shared" si="3"/>
        <v>0</v>
      </c>
    </row>
    <row r="12" spans="1:21" x14ac:dyDescent="0.25">
      <c r="A12" s="15"/>
      <c r="B12" s="15" t="s">
        <v>27</v>
      </c>
      <c r="C12" s="16">
        <v>0</v>
      </c>
      <c r="D12" s="17">
        <f t="shared" si="1"/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9">
        <f>SUM(E12:P12)</f>
        <v>0</v>
      </c>
      <c r="R12" s="20">
        <f>AVERAGE(E12:P12)</f>
        <v>0</v>
      </c>
      <c r="S12" s="15" t="s">
        <v>385</v>
      </c>
      <c r="T12" s="21"/>
      <c r="U12" s="22">
        <f t="shared" si="3"/>
        <v>0</v>
      </c>
    </row>
    <row r="13" spans="1:21" x14ac:dyDescent="0.25">
      <c r="A13" s="15"/>
      <c r="B13" s="15" t="s">
        <v>28</v>
      </c>
      <c r="C13" s="16">
        <v>0</v>
      </c>
      <c r="D13" s="17">
        <f t="shared" si="1"/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9">
        <f t="shared" si="0"/>
        <v>0</v>
      </c>
      <c r="R13" s="20">
        <f t="shared" si="2"/>
        <v>0</v>
      </c>
      <c r="S13" s="15" t="s">
        <v>385</v>
      </c>
      <c r="T13" s="21"/>
      <c r="U13" s="22">
        <f t="shared" si="3"/>
        <v>0</v>
      </c>
    </row>
    <row r="14" spans="1:21" x14ac:dyDescent="0.25">
      <c r="A14" s="25"/>
      <c r="B14" s="15" t="s">
        <v>29</v>
      </c>
      <c r="C14" s="26">
        <f t="shared" ref="C14:D14" si="4">SUM(C7:C13)</f>
        <v>0</v>
      </c>
      <c r="D14" s="27">
        <f t="shared" si="4"/>
        <v>0</v>
      </c>
      <c r="E14" s="28">
        <f>SUM(E7:E13)</f>
        <v>0</v>
      </c>
      <c r="F14" s="28">
        <f>SUM(F7:F13)</f>
        <v>0</v>
      </c>
      <c r="G14" s="28">
        <f t="shared" ref="G14:P14" si="5">SUM(G7:G13)</f>
        <v>0</v>
      </c>
      <c r="H14" s="28">
        <f t="shared" si="5"/>
        <v>0</v>
      </c>
      <c r="I14" s="28">
        <f t="shared" si="5"/>
        <v>0</v>
      </c>
      <c r="J14" s="28">
        <f t="shared" si="5"/>
        <v>0</v>
      </c>
      <c r="K14" s="28">
        <f t="shared" si="5"/>
        <v>0</v>
      </c>
      <c r="L14" s="28">
        <f t="shared" si="5"/>
        <v>0</v>
      </c>
      <c r="M14" s="28">
        <f t="shared" si="5"/>
        <v>0</v>
      </c>
      <c r="N14" s="28">
        <f t="shared" si="5"/>
        <v>0</v>
      </c>
      <c r="O14" s="28">
        <f t="shared" si="5"/>
        <v>0</v>
      </c>
      <c r="P14" s="28">
        <f t="shared" si="5"/>
        <v>0</v>
      </c>
      <c r="Q14" s="28">
        <f>SUM(Q7:Q13)</f>
        <v>0</v>
      </c>
      <c r="R14" s="29">
        <f>AVERAGE(E14:P14)</f>
        <v>0</v>
      </c>
      <c r="T14" s="30"/>
      <c r="U14" s="31">
        <f>IFERROR((Q14-C14)/C14,0)</f>
        <v>0</v>
      </c>
    </row>
    <row r="15" spans="1:21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1" s="44" customFormat="1" ht="12" x14ac:dyDescent="0.2">
      <c r="A16" s="15" t="s">
        <v>30</v>
      </c>
      <c r="B16" s="15" t="s">
        <v>31</v>
      </c>
      <c r="C16" s="40"/>
      <c r="D16" s="41"/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f>AVERAGE(E16:E16)</f>
        <v>0</v>
      </c>
      <c r="R16" s="43">
        <f t="shared" si="2"/>
        <v>0</v>
      </c>
      <c r="S16" s="15" t="s">
        <v>385</v>
      </c>
      <c r="T16" s="21"/>
      <c r="U16" s="22" t="str">
        <f t="shared" ref="U16:U21" si="6">IFERROR((Q16-C16)/C16,"")</f>
        <v/>
      </c>
    </row>
    <row r="17" spans="1:21" s="44" customFormat="1" ht="12" x14ac:dyDescent="0.2">
      <c r="B17" s="15" t="s">
        <v>32</v>
      </c>
      <c r="C17" s="40"/>
      <c r="D17" s="41"/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42">
        <f>AVERAGE(E17:P17)</f>
        <v>0</v>
      </c>
      <c r="R17" s="43">
        <f t="shared" si="2"/>
        <v>0</v>
      </c>
      <c r="S17" s="15" t="s">
        <v>385</v>
      </c>
      <c r="T17" s="21"/>
      <c r="U17" s="22" t="str">
        <f t="shared" si="6"/>
        <v/>
      </c>
    </row>
    <row r="18" spans="1:21" s="44" customFormat="1" ht="12" x14ac:dyDescent="0.2">
      <c r="B18" s="15" t="s">
        <v>33</v>
      </c>
      <c r="C18" s="40"/>
      <c r="D18" s="41"/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f>AVERAGE(E18:P18)</f>
        <v>0</v>
      </c>
      <c r="R18" s="43">
        <f t="shared" si="2"/>
        <v>0</v>
      </c>
      <c r="S18" s="15" t="s">
        <v>385</v>
      </c>
      <c r="T18" s="21"/>
      <c r="U18" s="22" t="str">
        <f t="shared" si="6"/>
        <v/>
      </c>
    </row>
    <row r="19" spans="1:21" s="44" customFormat="1" ht="12" x14ac:dyDescent="0.2">
      <c r="B19" s="15" t="s">
        <v>34</v>
      </c>
      <c r="C19" s="40"/>
      <c r="D19" s="41"/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f>AVERAGE(E19:P19)</f>
        <v>0</v>
      </c>
      <c r="R19" s="43">
        <f t="shared" si="2"/>
        <v>0</v>
      </c>
      <c r="S19" s="15" t="s">
        <v>385</v>
      </c>
      <c r="T19" s="21"/>
      <c r="U19" s="22" t="str">
        <f t="shared" si="6"/>
        <v/>
      </c>
    </row>
    <row r="20" spans="1:21" s="44" customFormat="1" ht="12" x14ac:dyDescent="0.2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 t="shared" si="2"/>
        <v>0</v>
      </c>
      <c r="S20" s="15" t="s">
        <v>385</v>
      </c>
      <c r="T20" s="21"/>
      <c r="U20" s="22" t="str">
        <f t="shared" si="6"/>
        <v/>
      </c>
    </row>
    <row r="21" spans="1:21" s="44" customFormat="1" ht="12" x14ac:dyDescent="0.2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 t="shared" si="2"/>
        <v>0</v>
      </c>
      <c r="S21" s="15" t="s">
        <v>385</v>
      </c>
      <c r="T21" s="21"/>
      <c r="U21" s="22" t="str">
        <f t="shared" si="6"/>
        <v/>
      </c>
    </row>
    <row r="22" spans="1:21" s="44" customFormat="1" ht="12" x14ac:dyDescent="0.2">
      <c r="B22" s="15"/>
      <c r="C22" s="46"/>
      <c r="D22" s="47"/>
      <c r="E22" s="42"/>
      <c r="R22" s="48"/>
      <c r="S22" s="49"/>
      <c r="T22" s="50"/>
      <c r="U22" s="50"/>
    </row>
    <row r="23" spans="1:21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1" x14ac:dyDescent="0.25">
      <c r="A24" s="25"/>
      <c r="B24" s="15" t="s">
        <v>38</v>
      </c>
      <c r="C24" s="56">
        <v>0</v>
      </c>
      <c r="D24" s="57">
        <f t="shared" ref="D24:D28" si="7">C24/12</f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f t="shared" ref="K24:P24" si="8">((K7*K16)+(K8*K17))*K4</f>
        <v>0</v>
      </c>
      <c r="L24" s="58">
        <f t="shared" si="8"/>
        <v>0</v>
      </c>
      <c r="M24" s="58">
        <f t="shared" si="8"/>
        <v>0</v>
      </c>
      <c r="N24" s="58">
        <f t="shared" si="8"/>
        <v>0</v>
      </c>
      <c r="O24" s="58">
        <f t="shared" si="8"/>
        <v>0</v>
      </c>
      <c r="P24" s="58">
        <f t="shared" si="8"/>
        <v>0</v>
      </c>
      <c r="Q24" s="59">
        <f>SUM(E24:P24)</f>
        <v>0</v>
      </c>
      <c r="R24" s="60">
        <f t="shared" si="2"/>
        <v>0</v>
      </c>
      <c r="S24" s="15" t="s">
        <v>385</v>
      </c>
      <c r="T24" s="61"/>
      <c r="U24" s="62">
        <f t="shared" ref="U24:U88" si="9">IFERROR((Q24-C24)/C24,0)</f>
        <v>0</v>
      </c>
    </row>
    <row r="25" spans="1:21" x14ac:dyDescent="0.25">
      <c r="A25" s="25"/>
      <c r="B25" s="15" t="s">
        <v>39</v>
      </c>
      <c r="C25" s="56">
        <v>0</v>
      </c>
      <c r="D25" s="57">
        <f t="shared" si="7"/>
        <v>0</v>
      </c>
      <c r="E25" s="58">
        <v>0</v>
      </c>
      <c r="F25" s="58">
        <v>0</v>
      </c>
      <c r="G25" s="58">
        <v>0</v>
      </c>
      <c r="H25" s="58">
        <v>0</v>
      </c>
      <c r="I25" s="58">
        <v>0</v>
      </c>
      <c r="J25" s="58">
        <v>0</v>
      </c>
      <c r="K25" s="58">
        <f t="shared" ref="K25:P25" si="10">(((K9/5)*K18)*K4)+(((K10/3)*K19)*K4)+(((K11*K20)*4.5/K4)*K4)</f>
        <v>0</v>
      </c>
      <c r="L25" s="58">
        <f t="shared" si="10"/>
        <v>0</v>
      </c>
      <c r="M25" s="58">
        <f t="shared" si="10"/>
        <v>0</v>
      </c>
      <c r="N25" s="58">
        <f t="shared" si="10"/>
        <v>0</v>
      </c>
      <c r="O25" s="58">
        <f t="shared" si="10"/>
        <v>0</v>
      </c>
      <c r="P25" s="58">
        <f t="shared" si="10"/>
        <v>0</v>
      </c>
      <c r="Q25" s="59">
        <f>SUM(E25:P25)</f>
        <v>0</v>
      </c>
      <c r="R25" s="60">
        <f t="shared" si="2"/>
        <v>0</v>
      </c>
      <c r="S25" s="15" t="s">
        <v>385</v>
      </c>
      <c r="T25" s="61"/>
      <c r="U25" s="62">
        <f t="shared" si="9"/>
        <v>0</v>
      </c>
    </row>
    <row r="26" spans="1:21" x14ac:dyDescent="0.25">
      <c r="A26" s="25"/>
      <c r="B26" s="15" t="s">
        <v>40</v>
      </c>
      <c r="C26" s="56">
        <v>0</v>
      </c>
      <c r="D26" s="57">
        <f t="shared" si="7"/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9">
        <f>SUM(E26:P26)</f>
        <v>0</v>
      </c>
      <c r="R26" s="60">
        <f>AVERAGE(E26:P26)</f>
        <v>0</v>
      </c>
      <c r="S26" s="15" t="s">
        <v>385</v>
      </c>
      <c r="T26" s="61"/>
      <c r="U26" s="62">
        <f t="shared" si="9"/>
        <v>0</v>
      </c>
    </row>
    <row r="27" spans="1:21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f t="shared" ref="K27:P28" si="11">K13*K21*K4</f>
        <v>0</v>
      </c>
      <c r="L27" s="58">
        <f t="shared" si="11"/>
        <v>0</v>
      </c>
      <c r="M27" s="58">
        <f t="shared" si="11"/>
        <v>0</v>
      </c>
      <c r="N27" s="58">
        <f t="shared" si="11"/>
        <v>0</v>
      </c>
      <c r="O27" s="58">
        <f t="shared" si="11"/>
        <v>0</v>
      </c>
      <c r="P27" s="58">
        <f t="shared" si="11"/>
        <v>0</v>
      </c>
      <c r="Q27" s="59">
        <f>SUM(E27:P27)</f>
        <v>0</v>
      </c>
      <c r="R27" s="60">
        <f t="shared" si="2"/>
        <v>0</v>
      </c>
      <c r="S27" s="15" t="s">
        <v>385</v>
      </c>
      <c r="T27" s="61"/>
      <c r="U27" s="62">
        <f t="shared" si="9"/>
        <v>0</v>
      </c>
    </row>
    <row r="28" spans="1:21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f t="shared" si="11"/>
        <v>0</v>
      </c>
      <c r="L28" s="58">
        <f t="shared" si="11"/>
        <v>0</v>
      </c>
      <c r="M28" s="58">
        <f t="shared" si="11"/>
        <v>0</v>
      </c>
      <c r="N28" s="58">
        <f t="shared" si="11"/>
        <v>0</v>
      </c>
      <c r="O28" s="58">
        <f t="shared" si="11"/>
        <v>0</v>
      </c>
      <c r="P28" s="58">
        <f t="shared" si="11"/>
        <v>0</v>
      </c>
      <c r="Q28" s="59">
        <f>SUM(E28:P28)</f>
        <v>0</v>
      </c>
      <c r="R28" s="60">
        <f t="shared" si="2"/>
        <v>0</v>
      </c>
      <c r="S28" s="15" t="s">
        <v>385</v>
      </c>
      <c r="T28" s="61"/>
      <c r="U28" s="62">
        <f t="shared" si="9"/>
        <v>0</v>
      </c>
    </row>
    <row r="29" spans="1:21" x14ac:dyDescent="0.25">
      <c r="A29" s="63" t="s">
        <v>43</v>
      </c>
      <c r="B29" s="15"/>
      <c r="C29" s="64">
        <f>SUM(C24:C28)</f>
        <v>0</v>
      </c>
      <c r="D29" s="65">
        <f>SUM(D24:D28)</f>
        <v>0</v>
      </c>
      <c r="E29" s="66">
        <f t="shared" ref="E29:Q29" si="12">SUM(E24:E28)</f>
        <v>0</v>
      </c>
      <c r="F29" s="66">
        <f t="shared" si="12"/>
        <v>0</v>
      </c>
      <c r="G29" s="66">
        <f t="shared" si="12"/>
        <v>0</v>
      </c>
      <c r="H29" s="66">
        <f t="shared" si="12"/>
        <v>0</v>
      </c>
      <c r="I29" s="66">
        <f t="shared" si="12"/>
        <v>0</v>
      </c>
      <c r="J29" s="66">
        <f t="shared" si="12"/>
        <v>0</v>
      </c>
      <c r="K29" s="66">
        <f t="shared" si="12"/>
        <v>0</v>
      </c>
      <c r="L29" s="66">
        <f t="shared" si="12"/>
        <v>0</v>
      </c>
      <c r="M29" s="66">
        <f t="shared" si="12"/>
        <v>0</v>
      </c>
      <c r="N29" s="66">
        <f t="shared" si="12"/>
        <v>0</v>
      </c>
      <c r="O29" s="66">
        <f t="shared" si="12"/>
        <v>0</v>
      </c>
      <c r="P29" s="66">
        <f t="shared" si="12"/>
        <v>0</v>
      </c>
      <c r="Q29" s="66">
        <f t="shared" si="12"/>
        <v>0</v>
      </c>
      <c r="R29" s="67">
        <f>AVERAGE(E29:P29)</f>
        <v>0</v>
      </c>
      <c r="T29" s="68"/>
      <c r="U29" s="69">
        <f t="shared" si="9"/>
        <v>0</v>
      </c>
    </row>
    <row r="30" spans="1:21" x14ac:dyDescent="0.25">
      <c r="A30" s="15" t="s">
        <v>44</v>
      </c>
      <c r="B30" s="15"/>
      <c r="C30" s="64"/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T30" s="69"/>
      <c r="U30" s="69"/>
    </row>
    <row r="31" spans="1:21" x14ac:dyDescent="0.25">
      <c r="A31" s="63"/>
      <c r="B31" s="15" t="s">
        <v>45</v>
      </c>
      <c r="C31" s="56">
        <v>0</v>
      </c>
      <c r="D31" s="57">
        <f>C31/12</f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9">
        <f>SUM(E31:P31)</f>
        <v>0</v>
      </c>
      <c r="R31" s="60">
        <f>AVERAGE(E31:P31)</f>
        <v>0</v>
      </c>
      <c r="S31" s="15" t="s">
        <v>385</v>
      </c>
      <c r="T31" s="61"/>
      <c r="U31" s="62">
        <f t="shared" si="9"/>
        <v>0</v>
      </c>
    </row>
    <row r="32" spans="1:21" x14ac:dyDescent="0.25">
      <c r="A32" s="63" t="s">
        <v>46</v>
      </c>
      <c r="B32" s="15"/>
      <c r="C32" s="64">
        <f t="shared" ref="C32:D32" si="13">SUM(C31)</f>
        <v>0</v>
      </c>
      <c r="D32" s="65">
        <f t="shared" si="13"/>
        <v>0</v>
      </c>
      <c r="E32" s="66">
        <f>SUM(E31)</f>
        <v>0</v>
      </c>
      <c r="F32" s="66">
        <f>SUM(F31)</f>
        <v>0</v>
      </c>
      <c r="G32" s="66">
        <f t="shared" ref="G32:P32" si="14">SUM(G31)</f>
        <v>0</v>
      </c>
      <c r="H32" s="66">
        <f t="shared" si="14"/>
        <v>0</v>
      </c>
      <c r="I32" s="66">
        <f t="shared" si="14"/>
        <v>0</v>
      </c>
      <c r="J32" s="66">
        <f t="shared" si="14"/>
        <v>0</v>
      </c>
      <c r="K32" s="66">
        <f t="shared" si="14"/>
        <v>0</v>
      </c>
      <c r="L32" s="66">
        <f t="shared" si="14"/>
        <v>0</v>
      </c>
      <c r="M32" s="66">
        <f t="shared" si="14"/>
        <v>0</v>
      </c>
      <c r="N32" s="66">
        <f t="shared" si="14"/>
        <v>0</v>
      </c>
      <c r="O32" s="66">
        <f t="shared" si="14"/>
        <v>0</v>
      </c>
      <c r="P32" s="66">
        <f t="shared" si="14"/>
        <v>0</v>
      </c>
      <c r="Q32" s="66">
        <f>SUM(Q31)</f>
        <v>0</v>
      </c>
      <c r="R32" s="67">
        <f>AVERAGE(E32:P32)</f>
        <v>0</v>
      </c>
      <c r="T32" s="68"/>
      <c r="U32" s="69">
        <f t="shared" si="9"/>
        <v>0</v>
      </c>
    </row>
    <row r="33" spans="1:26" s="70" customFormat="1" x14ac:dyDescent="0.25">
      <c r="A33" s="63" t="s">
        <v>47</v>
      </c>
      <c r="B33" s="70" t="s">
        <v>48</v>
      </c>
      <c r="C33" s="71">
        <f t="shared" ref="C33:D33" si="15">C29+C32</f>
        <v>0</v>
      </c>
      <c r="D33" s="72">
        <f t="shared" si="15"/>
        <v>0</v>
      </c>
      <c r="E33" s="73">
        <f>E29+E32</f>
        <v>0</v>
      </c>
      <c r="F33" s="73">
        <f>F29+F32</f>
        <v>0</v>
      </c>
      <c r="G33" s="73">
        <f t="shared" ref="G33:Q33" si="16">G29+G32</f>
        <v>0</v>
      </c>
      <c r="H33" s="73">
        <f t="shared" si="16"/>
        <v>0</v>
      </c>
      <c r="I33" s="73">
        <f t="shared" si="16"/>
        <v>0</v>
      </c>
      <c r="J33" s="73">
        <f t="shared" si="16"/>
        <v>0</v>
      </c>
      <c r="K33" s="73">
        <f t="shared" si="16"/>
        <v>0</v>
      </c>
      <c r="L33" s="73">
        <f t="shared" si="16"/>
        <v>0</v>
      </c>
      <c r="M33" s="73">
        <f t="shared" si="16"/>
        <v>0</v>
      </c>
      <c r="N33" s="73">
        <f t="shared" si="16"/>
        <v>0</v>
      </c>
      <c r="O33" s="73">
        <f t="shared" si="16"/>
        <v>0</v>
      </c>
      <c r="P33" s="73">
        <f t="shared" si="16"/>
        <v>0</v>
      </c>
      <c r="Q33" s="73">
        <f t="shared" si="16"/>
        <v>0</v>
      </c>
      <c r="R33" s="74">
        <f>AVERAGE(E33:P33)</f>
        <v>0</v>
      </c>
      <c r="T33" s="75"/>
      <c r="U33" s="76">
        <f t="shared" si="9"/>
        <v>0</v>
      </c>
    </row>
    <row r="34" spans="1:26" x14ac:dyDescent="0.25">
      <c r="A34" s="78" t="s">
        <v>49</v>
      </c>
      <c r="B34" t="s">
        <v>48</v>
      </c>
      <c r="C34" s="79">
        <f t="shared" ref="C34:D34" si="17">C33</f>
        <v>0</v>
      </c>
      <c r="D34" s="80">
        <f t="shared" si="17"/>
        <v>0</v>
      </c>
      <c r="E34" s="81">
        <f>E33</f>
        <v>0</v>
      </c>
      <c r="F34" s="81">
        <f t="shared" ref="F34:Q34" si="18">F33</f>
        <v>0</v>
      </c>
      <c r="G34" s="81">
        <f t="shared" si="18"/>
        <v>0</v>
      </c>
      <c r="H34" s="81">
        <f t="shared" si="18"/>
        <v>0</v>
      </c>
      <c r="I34" s="81">
        <f t="shared" si="18"/>
        <v>0</v>
      </c>
      <c r="J34" s="81">
        <f t="shared" si="18"/>
        <v>0</v>
      </c>
      <c r="K34" s="81">
        <f t="shared" si="18"/>
        <v>0</v>
      </c>
      <c r="L34" s="81">
        <f t="shared" si="18"/>
        <v>0</v>
      </c>
      <c r="M34" s="81">
        <f t="shared" si="18"/>
        <v>0</v>
      </c>
      <c r="N34" s="81">
        <f t="shared" si="18"/>
        <v>0</v>
      </c>
      <c r="O34" s="81">
        <f t="shared" si="18"/>
        <v>0</v>
      </c>
      <c r="P34" s="81">
        <f t="shared" si="18"/>
        <v>0</v>
      </c>
      <c r="Q34" s="81">
        <f t="shared" si="18"/>
        <v>0</v>
      </c>
      <c r="R34" s="82">
        <f t="shared" si="2"/>
        <v>0</v>
      </c>
      <c r="T34" s="30"/>
      <c r="U34" s="31">
        <f t="shared" si="9"/>
        <v>0</v>
      </c>
    </row>
    <row r="35" spans="1:26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6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6" x14ac:dyDescent="0.25">
      <c r="A37" s="88"/>
      <c r="B37" s="15" t="s">
        <v>52</v>
      </c>
      <c r="C37" s="56">
        <f>11281*12</f>
        <v>135372</v>
      </c>
      <c r="D37" s="57">
        <f>C37/12</f>
        <v>11281</v>
      </c>
      <c r="E37" s="58">
        <f>'[2]Payroll 2024'!W156</f>
        <v>11454</v>
      </c>
      <c r="F37" s="58">
        <f>'[2]Payroll 2024'!X156</f>
        <v>10458</v>
      </c>
      <c r="G37" s="58">
        <f>'[2]Payroll 2024'!Y156</f>
        <v>10458</v>
      </c>
      <c r="H37" s="58">
        <f>'[2]Payroll 2024'!Z156</f>
        <v>14476</v>
      </c>
      <c r="I37" s="58">
        <f>'[2]Payroll 2024'!AA156</f>
        <v>15134</v>
      </c>
      <c r="J37" s="58">
        <f>'[2]Payroll 2024'!AB156</f>
        <v>13318.4</v>
      </c>
      <c r="K37" s="58">
        <f>'[2]Payroll 2024'!AC156</f>
        <v>15477.619999999999</v>
      </c>
      <c r="L37" s="58">
        <f>'[2]Payroll 2024'!AD156</f>
        <v>14969.02</v>
      </c>
      <c r="M37" s="58">
        <f>'[2]Payroll 2024'!AE156</f>
        <v>14288.609999999999</v>
      </c>
      <c r="N37" s="58">
        <f>'[2]Payroll 2024'!AF156</f>
        <v>15649.43</v>
      </c>
      <c r="O37" s="58">
        <f>'[2]Payroll 2024'!AG156</f>
        <v>14288.609999999999</v>
      </c>
      <c r="P37" s="58">
        <f>'[2]Payroll 2024'!AH156</f>
        <v>14969.02</v>
      </c>
      <c r="Q37" s="58">
        <f>SUM(E37:P37)</f>
        <v>164940.70999999996</v>
      </c>
      <c r="R37" s="89">
        <f t="shared" si="2"/>
        <v>13745.059166666664</v>
      </c>
      <c r="S37" s="15" t="s">
        <v>386</v>
      </c>
      <c r="T37" s="62" t="str">
        <f>IFERROR(Q37/$Q$34,"")</f>
        <v/>
      </c>
      <c r="U37" s="62">
        <f t="shared" si="9"/>
        <v>0.21842559761250452</v>
      </c>
      <c r="Z37" s="113" t="s">
        <v>1</v>
      </c>
    </row>
    <row r="38" spans="1:26" x14ac:dyDescent="0.25">
      <c r="A38" s="25" t="s">
        <v>1</v>
      </c>
      <c r="B38" s="15" t="s">
        <v>53</v>
      </c>
      <c r="C38" s="56">
        <f>27639*12</f>
        <v>331668</v>
      </c>
      <c r="D38" s="57">
        <f>C38/12</f>
        <v>27639</v>
      </c>
      <c r="E38" s="58">
        <f>'[2]Payroll 2024'!W157</f>
        <v>29124.905267175571</v>
      </c>
      <c r="F38" s="58">
        <f>'[2]Payroll 2024'!X157</f>
        <v>26592.304809160305</v>
      </c>
      <c r="G38" s="58">
        <f>'[2]Payroll 2024'!Y157</f>
        <v>26592.304809160305</v>
      </c>
      <c r="H38" s="58">
        <f>'[2]Payroll 2024'!Z157</f>
        <v>27858.605038167938</v>
      </c>
      <c r="I38" s="58">
        <f>'[2]Payroll 2024'!AA157</f>
        <v>29622.062381679389</v>
      </c>
      <c r="J38" s="58">
        <f>'[2]Payroll 2024'!AB157</f>
        <v>26465.674786259537</v>
      </c>
      <c r="K38" s="58">
        <f>'[2]Payroll 2024'!AC157</f>
        <v>30435.526004198469</v>
      </c>
      <c r="L38" s="58">
        <f>'[2]Payroll 2024'!AD157</f>
        <v>29112.242264885492</v>
      </c>
      <c r="M38" s="58">
        <f>'[2]Payroll 2024'!AE157</f>
        <v>27788.958525572518</v>
      </c>
      <c r="N38" s="58">
        <f>'[2]Payroll 2024'!AF157</f>
        <v>30435.526004198469</v>
      </c>
      <c r="O38" s="58">
        <f>'[2]Payroll 2024'!AG157</f>
        <v>27788.958525572518</v>
      </c>
      <c r="P38" s="58">
        <f>'[2]Payroll 2024'!AH157</f>
        <v>29112.242264885492</v>
      </c>
      <c r="Q38" s="58">
        <f>SUM(E38:P38)</f>
        <v>340929.31068091601</v>
      </c>
      <c r="R38" s="89">
        <f t="shared" si="2"/>
        <v>28410.775890076333</v>
      </c>
      <c r="S38" s="15" t="s">
        <v>387</v>
      </c>
      <c r="T38" s="62" t="str">
        <f t="shared" ref="T38:T48" si="19">IFERROR(Q38/$Q$34,"")</f>
        <v/>
      </c>
      <c r="U38" s="62">
        <f t="shared" si="9"/>
        <v>2.7923437536681285E-2</v>
      </c>
      <c r="Z38" s="386" t="s">
        <v>1</v>
      </c>
    </row>
    <row r="39" spans="1:26" ht="23.25" x14ac:dyDescent="0.25">
      <c r="A39" s="86" t="s">
        <v>1</v>
      </c>
      <c r="B39" s="15" t="s">
        <v>54</v>
      </c>
      <c r="C39" s="56">
        <v>1051268.28</v>
      </c>
      <c r="D39" s="57">
        <f t="shared" ref="D39:D47" si="20">C39/12</f>
        <v>87605.69</v>
      </c>
      <c r="E39" s="58">
        <f>'[2]Payroll 2024'!W155</f>
        <v>117667.48487022899</v>
      </c>
      <c r="F39" s="58">
        <f>'[2]Payroll 2024'!X155</f>
        <v>119393.42661068701</v>
      </c>
      <c r="G39" s="58">
        <f>'[2]Payroll 2024'!Y155</f>
        <v>119564.75359580151</v>
      </c>
      <c r="H39" s="58">
        <f>'[2]Payroll 2024'!Z155</f>
        <v>126121.29213435114</v>
      </c>
      <c r="I39" s="58">
        <f>'[2]Payroll 2024'!AA155</f>
        <v>132253.58814045798</v>
      </c>
      <c r="J39" s="58">
        <f>'[2]Payroll 2024'!AB155</f>
        <v>119745.01662595419</v>
      </c>
      <c r="K39" s="58">
        <f>'[2]Payroll 2024'!AC155</f>
        <v>143723.45879007631</v>
      </c>
      <c r="L39" s="58">
        <f>'[2]Payroll 2024'!AD155</f>
        <v>138075.10715572519</v>
      </c>
      <c r="M39" s="58">
        <f>'[2]Payroll 2024'!AE155</f>
        <v>132125.86428893128</v>
      </c>
      <c r="N39" s="58">
        <f>'[2]Payroll 2024'!AF155</f>
        <v>145279.03874465643</v>
      </c>
      <c r="O39" s="58">
        <f>'[2]Payroll 2024'!AG155</f>
        <v>132674.29277381682</v>
      </c>
      <c r="P39" s="58">
        <f>'[2]Payroll 2024'!AH155</f>
        <v>139134.67623923661</v>
      </c>
      <c r="Q39" s="58">
        <f t="shared" ref="Q39:Q47" si="21">SUM(E39:P39)</f>
        <v>1565757.9999699234</v>
      </c>
      <c r="R39" s="89">
        <f t="shared" si="2"/>
        <v>130479.83333082695</v>
      </c>
      <c r="S39" s="15" t="s">
        <v>388</v>
      </c>
      <c r="T39" s="62" t="str">
        <f t="shared" si="19"/>
        <v/>
      </c>
      <c r="U39" s="62">
        <f t="shared" si="9"/>
        <v>0.4893990713482988</v>
      </c>
    </row>
    <row r="40" spans="1:26" x14ac:dyDescent="0.25">
      <c r="A40" s="25"/>
      <c r="B40" s="15" t="s">
        <v>55</v>
      </c>
      <c r="C40" s="56">
        <v>72435.695999999996</v>
      </c>
      <c r="D40" s="57">
        <f t="shared" si="20"/>
        <v>6036.308</v>
      </c>
      <c r="E40" s="58">
        <f>5.9%*SUM(E37:E39)</f>
        <v>9336.5370181068683</v>
      </c>
      <c r="F40" s="58">
        <f t="shared" ref="F40:P40" si="22">5.9%*SUM(F37:F39)</f>
        <v>9230.1801537709925</v>
      </c>
      <c r="G40" s="58">
        <f t="shared" si="22"/>
        <v>9240.2884458927474</v>
      </c>
      <c r="H40" s="58">
        <f t="shared" si="22"/>
        <v>9938.897933178625</v>
      </c>
      <c r="I40" s="58">
        <f t="shared" si="22"/>
        <v>10443.569380806106</v>
      </c>
      <c r="J40" s="58">
        <f t="shared" si="22"/>
        <v>9412.2163933206102</v>
      </c>
      <c r="K40" s="58">
        <f t="shared" si="22"/>
        <v>11188.559682862213</v>
      </c>
      <c r="L40" s="58">
        <f t="shared" si="22"/>
        <v>10747.22579581603</v>
      </c>
      <c r="M40" s="58">
        <f t="shared" si="22"/>
        <v>10278.002536055725</v>
      </c>
      <c r="N40" s="58">
        <f t="shared" si="22"/>
        <v>11290.47569018244</v>
      </c>
      <c r="O40" s="58">
        <f t="shared" si="22"/>
        <v>10310.359816663971</v>
      </c>
      <c r="P40" s="58">
        <f t="shared" si="22"/>
        <v>10809.740371743204</v>
      </c>
      <c r="Q40" s="58">
        <f t="shared" si="21"/>
        <v>122226.05321839954</v>
      </c>
      <c r="R40" s="89">
        <f t="shared" si="2"/>
        <v>10185.504434866629</v>
      </c>
      <c r="S40" s="15" t="s">
        <v>389</v>
      </c>
      <c r="T40" s="62" t="str">
        <f t="shared" si="19"/>
        <v/>
      </c>
      <c r="U40" s="62">
        <f t="shared" si="9"/>
        <v>0.68737321469789625</v>
      </c>
    </row>
    <row r="41" spans="1:26" x14ac:dyDescent="0.25">
      <c r="A41" s="25"/>
      <c r="B41" s="15" t="s">
        <v>56</v>
      </c>
      <c r="C41" s="56">
        <v>30883.452000000001</v>
      </c>
      <c r="D41" s="57">
        <f t="shared" si="20"/>
        <v>2573.6210000000001</v>
      </c>
      <c r="E41" s="58">
        <f>1.75%*SUM(E37:E39)</f>
        <v>2769.3118274045801</v>
      </c>
      <c r="F41" s="58">
        <f t="shared" ref="F41:P41" si="23">1.75%*SUM(F37:F39)</f>
        <v>2737.7652998473282</v>
      </c>
      <c r="G41" s="58">
        <f t="shared" si="23"/>
        <v>2740.7635220868319</v>
      </c>
      <c r="H41" s="58">
        <f t="shared" si="23"/>
        <v>2947.9782005190841</v>
      </c>
      <c r="I41" s="58">
        <f t="shared" si="23"/>
        <v>3097.6688841374043</v>
      </c>
      <c r="J41" s="58">
        <f t="shared" si="23"/>
        <v>2791.7590997137404</v>
      </c>
      <c r="K41" s="58">
        <f t="shared" si="23"/>
        <v>3318.6405838998089</v>
      </c>
      <c r="L41" s="58">
        <f t="shared" si="23"/>
        <v>3187.7364648606867</v>
      </c>
      <c r="M41" s="58">
        <f t="shared" si="23"/>
        <v>3048.5600742538168</v>
      </c>
      <c r="N41" s="58">
        <f t="shared" si="23"/>
        <v>3348.8699081049608</v>
      </c>
      <c r="O41" s="58">
        <f t="shared" si="23"/>
        <v>3058.1575727393138</v>
      </c>
      <c r="P41" s="58">
        <f t="shared" si="23"/>
        <v>3206.2789238221367</v>
      </c>
      <c r="Q41" s="58">
        <f t="shared" si="21"/>
        <v>36253.490361389689</v>
      </c>
      <c r="R41" s="89">
        <f t="shared" si="2"/>
        <v>3021.124196782474</v>
      </c>
      <c r="S41" s="15" t="s">
        <v>390</v>
      </c>
      <c r="T41" s="62" t="str">
        <f t="shared" si="19"/>
        <v/>
      </c>
      <c r="U41" s="62">
        <f t="shared" si="9"/>
        <v>0.17388076829590449</v>
      </c>
      <c r="Z41" s="113" t="s">
        <v>1</v>
      </c>
    </row>
    <row r="42" spans="1:26" ht="23.25" x14ac:dyDescent="0.25">
      <c r="A42" s="25"/>
      <c r="B42" s="15" t="s">
        <v>57</v>
      </c>
      <c r="C42" s="56">
        <v>0</v>
      </c>
      <c r="D42" s="57">
        <f t="shared" si="20"/>
        <v>0</v>
      </c>
      <c r="E42" s="58">
        <f>15000/12</f>
        <v>1250</v>
      </c>
      <c r="F42" s="58">
        <f t="shared" ref="F42:P42" si="24">15000/12</f>
        <v>1250</v>
      </c>
      <c r="G42" s="58">
        <f t="shared" si="24"/>
        <v>1250</v>
      </c>
      <c r="H42" s="58">
        <f t="shared" si="24"/>
        <v>1250</v>
      </c>
      <c r="I42" s="58">
        <f t="shared" si="24"/>
        <v>1250</v>
      </c>
      <c r="J42" s="58">
        <f t="shared" si="24"/>
        <v>1250</v>
      </c>
      <c r="K42" s="58">
        <f t="shared" si="24"/>
        <v>1250</v>
      </c>
      <c r="L42" s="58">
        <f t="shared" si="24"/>
        <v>1250</v>
      </c>
      <c r="M42" s="58">
        <f t="shared" si="24"/>
        <v>1250</v>
      </c>
      <c r="N42" s="58">
        <f t="shared" si="24"/>
        <v>1250</v>
      </c>
      <c r="O42" s="58">
        <f t="shared" si="24"/>
        <v>1250</v>
      </c>
      <c r="P42" s="58">
        <f t="shared" si="24"/>
        <v>1250</v>
      </c>
      <c r="Q42" s="58">
        <f t="shared" si="21"/>
        <v>15000</v>
      </c>
      <c r="R42" s="89">
        <f t="shared" si="2"/>
        <v>1250</v>
      </c>
      <c r="S42" s="15" t="s">
        <v>391</v>
      </c>
      <c r="T42" s="62" t="str">
        <f t="shared" si="19"/>
        <v/>
      </c>
      <c r="U42" s="62">
        <f t="shared" si="9"/>
        <v>0</v>
      </c>
      <c r="Z42" s="386" t="s">
        <v>1</v>
      </c>
    </row>
    <row r="43" spans="1:26" x14ac:dyDescent="0.25">
      <c r="A43" s="25"/>
      <c r="B43" s="15" t="s">
        <v>58</v>
      </c>
      <c r="C43" s="56">
        <v>9300.9840000000004</v>
      </c>
      <c r="D43" s="57">
        <f t="shared" si="20"/>
        <v>775.08199999999999</v>
      </c>
      <c r="E43" s="58">
        <f>0.0786*E37</f>
        <v>900.28440000000001</v>
      </c>
      <c r="F43" s="58">
        <f t="shared" ref="F43:P45" si="25">0.0786*F37</f>
        <v>821.99880000000007</v>
      </c>
      <c r="G43" s="58">
        <f t="shared" si="25"/>
        <v>821.99880000000007</v>
      </c>
      <c r="H43" s="58">
        <f t="shared" si="25"/>
        <v>1137.8136</v>
      </c>
      <c r="I43" s="58">
        <f t="shared" si="25"/>
        <v>1189.5324000000001</v>
      </c>
      <c r="J43" s="58">
        <f t="shared" si="25"/>
        <v>1046.8262400000001</v>
      </c>
      <c r="K43" s="58">
        <f t="shared" si="25"/>
        <v>1216.5409319999999</v>
      </c>
      <c r="L43" s="58">
        <f t="shared" si="25"/>
        <v>1176.5649720000001</v>
      </c>
      <c r="M43" s="58">
        <f t="shared" si="25"/>
        <v>1123.084746</v>
      </c>
      <c r="N43" s="58">
        <f t="shared" si="25"/>
        <v>1230.045198</v>
      </c>
      <c r="O43" s="58">
        <f t="shared" si="25"/>
        <v>1123.084746</v>
      </c>
      <c r="P43" s="58">
        <f t="shared" si="25"/>
        <v>1176.5649720000001</v>
      </c>
      <c r="Q43" s="58">
        <f t="shared" si="21"/>
        <v>12964.339806000002</v>
      </c>
      <c r="R43" s="89">
        <f t="shared" si="2"/>
        <v>1080.3616505000002</v>
      </c>
      <c r="S43" s="15" t="s">
        <v>392</v>
      </c>
      <c r="T43" s="62" t="str">
        <f t="shared" si="19"/>
        <v/>
      </c>
      <c r="U43" s="62">
        <f t="shared" si="9"/>
        <v>0.39386755272345392</v>
      </c>
    </row>
    <row r="44" spans="1:26" x14ac:dyDescent="0.25">
      <c r="A44" s="25"/>
      <c r="B44" s="15" t="s">
        <v>59</v>
      </c>
      <c r="C44" s="56">
        <f>2327*12</f>
        <v>27924</v>
      </c>
      <c r="D44" s="57">
        <f>C44/12</f>
        <v>2327</v>
      </c>
      <c r="E44" s="58">
        <f>0.0786*E38</f>
        <v>2289.2175539999998</v>
      </c>
      <c r="F44" s="58">
        <f t="shared" si="25"/>
        <v>2090.155158</v>
      </c>
      <c r="G44" s="58">
        <f t="shared" si="25"/>
        <v>2090.155158</v>
      </c>
      <c r="H44" s="58">
        <f t="shared" si="25"/>
        <v>2189.6863560000002</v>
      </c>
      <c r="I44" s="58">
        <f t="shared" si="25"/>
        <v>2328.2941031999999</v>
      </c>
      <c r="J44" s="58">
        <f t="shared" si="25"/>
        <v>2080.2020381999996</v>
      </c>
      <c r="K44" s="58">
        <f t="shared" si="25"/>
        <v>2392.2323439299998</v>
      </c>
      <c r="L44" s="58">
        <f t="shared" si="25"/>
        <v>2288.2222420199996</v>
      </c>
      <c r="M44" s="58">
        <f t="shared" si="25"/>
        <v>2184.2121401099998</v>
      </c>
      <c r="N44" s="58">
        <f t="shared" si="25"/>
        <v>2392.2323439299998</v>
      </c>
      <c r="O44" s="58">
        <f t="shared" si="25"/>
        <v>2184.2121401099998</v>
      </c>
      <c r="P44" s="58">
        <f t="shared" si="25"/>
        <v>2288.2222420199996</v>
      </c>
      <c r="Q44" s="58">
        <f t="shared" ref="Q44:Q46" si="26">SUM(E44:P44)</f>
        <v>26797.043819519997</v>
      </c>
      <c r="R44" s="89">
        <f t="shared" si="2"/>
        <v>2233.0869849599999</v>
      </c>
      <c r="S44" s="15" t="s">
        <v>393</v>
      </c>
      <c r="T44" s="62" t="str">
        <f t="shared" si="19"/>
        <v/>
      </c>
      <c r="U44" s="62">
        <f t="shared" si="9"/>
        <v>-4.0357978100558772E-2</v>
      </c>
    </row>
    <row r="45" spans="1:26" x14ac:dyDescent="0.25">
      <c r="A45" s="25"/>
      <c r="B45" s="15" t="s">
        <v>60</v>
      </c>
      <c r="C45" s="56">
        <v>74269.955999999991</v>
      </c>
      <c r="D45" s="57">
        <f t="shared" si="20"/>
        <v>6189.1629999999996</v>
      </c>
      <c r="E45" s="58">
        <f>0.0786*E39</f>
        <v>9248.6643107999989</v>
      </c>
      <c r="F45" s="58">
        <f t="shared" si="25"/>
        <v>9384.3233315999987</v>
      </c>
      <c r="G45" s="58">
        <f t="shared" si="25"/>
        <v>9397.7896326299997</v>
      </c>
      <c r="H45" s="58">
        <f t="shared" si="25"/>
        <v>9913.1335617599998</v>
      </c>
      <c r="I45" s="58">
        <f t="shared" si="25"/>
        <v>10395.132027839998</v>
      </c>
      <c r="J45" s="58">
        <f t="shared" si="25"/>
        <v>9411.9583067999993</v>
      </c>
      <c r="K45" s="58">
        <f t="shared" si="25"/>
        <v>11296.663860899998</v>
      </c>
      <c r="L45" s="58">
        <f t="shared" si="25"/>
        <v>10852.703422439999</v>
      </c>
      <c r="M45" s="58">
        <f t="shared" si="25"/>
        <v>10385.092933109998</v>
      </c>
      <c r="N45" s="58">
        <f t="shared" si="25"/>
        <v>11418.932445329996</v>
      </c>
      <c r="O45" s="58">
        <f t="shared" si="25"/>
        <v>10428.199412022002</v>
      </c>
      <c r="P45" s="58">
        <f t="shared" si="25"/>
        <v>10935.985552403998</v>
      </c>
      <c r="Q45" s="58">
        <f t="shared" si="26"/>
        <v>123068.578797636</v>
      </c>
      <c r="R45" s="89">
        <f t="shared" si="2"/>
        <v>10255.714899803001</v>
      </c>
      <c r="S45" s="15" t="s">
        <v>394</v>
      </c>
      <c r="T45" s="62" t="str">
        <f t="shared" si="19"/>
        <v/>
      </c>
      <c r="U45" s="62">
        <f t="shared" si="9"/>
        <v>0.65704391689199348</v>
      </c>
    </row>
    <row r="46" spans="1:26" x14ac:dyDescent="0.25">
      <c r="A46" s="25"/>
      <c r="B46" s="15" t="s">
        <v>61</v>
      </c>
      <c r="C46" s="56">
        <v>26509.392</v>
      </c>
      <c r="D46" s="57">
        <f t="shared" si="20"/>
        <v>2209.116</v>
      </c>
      <c r="E46" s="58">
        <f>(SUM(E37:E39)+SUM('[2]2024 Budget - Garden Oaks'!E37:E39)+SUM('[2]2024 Budget - Hill Country'!E37:E39)+SUM('[2]2024 Budget - Montrose'!E37:E39)+SUM('[2]2024 Budget - DFW'!E37:E39)+SUM('[2]2024 Budget - Clear Lake'!E37:E39))*0.5%</f>
        <v>2407.0897065648855</v>
      </c>
      <c r="F46" s="58">
        <f>(SUM(F37:F39)+SUM('[2]2024 Budget - Garden Oaks'!F37:F39)+SUM('[2]2024 Budget - Hill Country'!F37:F39)+SUM('[2]2024 Budget - Montrose'!F37:F39)+SUM('[2]2024 Budget - DFW'!F37:F39)+SUM('[2]2024 Budget - Clear Lake'!F37:F39))*0.5%</f>
        <v>2266.4677692251908</v>
      </c>
      <c r="G46" s="58">
        <f>(SUM(G37:G39)+SUM('[2]2024 Budget - Garden Oaks'!G37:G39)+SUM('[2]2024 Budget - Hill Country'!G37:G39)+SUM('[2]2024 Budget - Montrose'!G37:G39)+SUM('[2]2024 Budget - DFW'!G37:G39)+SUM('[2]2024 Budget - Clear Lake'!G37:G39))*0.5%</f>
        <v>2287.0781883263357</v>
      </c>
      <c r="H46" s="58">
        <f>(SUM(H37:H39)+SUM('[2]2024 Budget - Garden Oaks'!H37:H39)+SUM('[2]2024 Budget - Hill Country'!H37:H39)+SUM('[2]2024 Budget - Montrose'!H37:H39)+SUM('[2]2024 Budget - DFW'!H37:H39)+SUM('[2]2024 Budget - Clear Lake'!H37:H39))*0.5%</f>
        <v>2466.9582317633585</v>
      </c>
      <c r="I46" s="58">
        <f>(SUM(I37:I39)+SUM('[2]2024 Budget - Garden Oaks'!I37:I39)+SUM('[2]2024 Budget - Hill Country'!I37:I39)+SUM('[2]2024 Budget - Montrose'!I37:I39)+SUM('[2]2024 Budget - DFW'!I37:I39)+SUM('[2]2024 Budget - Clear Lake'!I37:I39))*0.5%</f>
        <v>2640.7476766908399</v>
      </c>
      <c r="J46" s="58">
        <f>(SUM(J37:J39)+SUM('[2]2024 Budget - Garden Oaks'!J37:J39)+SUM('[2]2024 Budget - Hill Country'!J37:J39)+SUM('[2]2024 Budget - Montrose'!J37:J39)+SUM('[2]2024 Budget - DFW'!J37:J39)+SUM('[2]2024 Budget - Clear Lake'!J37:J39))*0.5%</f>
        <v>2354.0584276793893</v>
      </c>
      <c r="K46" s="58">
        <f>(SUM(K37:K39)+SUM('[2]2024 Budget - Garden Oaks'!K37:K39)+SUM('[2]2024 Budget - Hill Country'!K37:K39)+SUM('[2]2024 Budget - Montrose'!K37:K39)+SUM('[2]2024 Budget - DFW'!K37:K39)+SUM('[2]2024 Budget - Clear Lake'!K37:K39))*0.5%</f>
        <v>2724.554950945801</v>
      </c>
      <c r="L46" s="58">
        <f>(SUM(L37:L39)+SUM('[2]2024 Budget - Garden Oaks'!L37:L39)+SUM('[2]2024 Budget - Hill Country'!L37:L39)+SUM('[2]2024 Budget - Montrose'!L37:L39)+SUM('[2]2024 Budget - DFW'!L37:L39)+SUM('[2]2024 Budget - Clear Lake'!L37:L39))*0.5%</f>
        <v>2614.4666880351147</v>
      </c>
      <c r="M46" s="58">
        <f>(SUM(M37:M39)+SUM('[2]2024 Budget - Garden Oaks'!M37:M39)+SUM('[2]2024 Budget - Hill Country'!M37:M39)+SUM('[2]2024 Budget - Montrose'!M37:M39)+SUM('[2]2024 Budget - DFW'!M37:M39)+SUM('[2]2024 Budget - Clear Lake'!M37:M39))*0.5%</f>
        <v>2501.3842529622134</v>
      </c>
      <c r="N46" s="58">
        <f>(SUM(N37:N39)+SUM('[2]2024 Budget - Garden Oaks'!N37:N39)+SUM('[2]2024 Budget - Hill Country'!N37:N39)+SUM('[2]2024 Budget - Montrose'!N37:N39)+SUM('[2]2024 Budget - DFW'!N37:N39)+SUM('[2]2024 Budget - Clear Lake'!N37:N39))*0.5%</f>
        <v>2748.1948467187021</v>
      </c>
      <c r="O46" s="58">
        <f>(SUM(O37:O39)+SUM('[2]2024 Budget - Garden Oaks'!O37:O39)+SUM('[2]2024 Budget - Hill Country'!O37:O39)+SUM('[2]2024 Budget - Montrose'!O37:O39)+SUM('[2]2024 Budget - DFW'!O37:O39)+SUM('[2]2024 Budget - Clear Lake'!O37:O39))*0.5%</f>
        <v>2514.8159518866414</v>
      </c>
      <c r="P46" s="58">
        <f>(SUM(P37:P39)+SUM('[2]2024 Budget - Garden Oaks'!P37:P39)+SUM('[2]2024 Budget - Hill Country'!P37:P39)+SUM('[2]2024 Budget - Montrose'!P37:P39)+SUM('[2]2024 Budget - DFW'!P37:P39)+SUM('[2]2024 Budget - Clear Lake'!P37:P39))*0.5%</f>
        <v>2635.8644084526713</v>
      </c>
      <c r="Q46" s="58">
        <f t="shared" si="26"/>
        <v>30161.681099251142</v>
      </c>
      <c r="R46" s="89">
        <f t="shared" si="2"/>
        <v>2513.4734249375952</v>
      </c>
      <c r="S46" s="15" t="s">
        <v>395</v>
      </c>
      <c r="T46" s="62" t="str">
        <f t="shared" si="19"/>
        <v/>
      </c>
      <c r="U46" s="62">
        <f t="shared" si="9"/>
        <v>0.13777340118744111</v>
      </c>
    </row>
    <row r="47" spans="1:26" ht="23.25" x14ac:dyDescent="0.25">
      <c r="A47" s="25"/>
      <c r="B47" s="15" t="s">
        <v>62</v>
      </c>
      <c r="C47" s="56">
        <v>12600</v>
      </c>
      <c r="D47" s="57">
        <f t="shared" si="20"/>
        <v>1050</v>
      </c>
      <c r="E47" s="58">
        <f>0.8%*SUM(E37:E39)</f>
        <v>1265.9711210992364</v>
      </c>
      <c r="F47" s="58">
        <f t="shared" ref="F47:P47" si="27">0.8%*SUM(F37:F39)</f>
        <v>1251.5498513587786</v>
      </c>
      <c r="G47" s="58">
        <f t="shared" si="27"/>
        <v>1252.9204672396945</v>
      </c>
      <c r="H47" s="58">
        <f t="shared" si="27"/>
        <v>1347.6471773801525</v>
      </c>
      <c r="I47" s="58">
        <f t="shared" si="27"/>
        <v>1416.077204177099</v>
      </c>
      <c r="J47" s="58">
        <f t="shared" si="27"/>
        <v>1276.2327312977097</v>
      </c>
      <c r="K47" s="58">
        <f t="shared" si="27"/>
        <v>1517.0928383541982</v>
      </c>
      <c r="L47" s="58">
        <f t="shared" si="27"/>
        <v>1457.2509553648854</v>
      </c>
      <c r="M47" s="58">
        <f t="shared" si="27"/>
        <v>1393.6274625160304</v>
      </c>
      <c r="N47" s="58">
        <f t="shared" si="27"/>
        <v>1530.9119579908393</v>
      </c>
      <c r="O47" s="58">
        <f t="shared" si="27"/>
        <v>1398.0148903951147</v>
      </c>
      <c r="P47" s="58">
        <f t="shared" si="27"/>
        <v>1465.7275080329766</v>
      </c>
      <c r="Q47" s="58">
        <f t="shared" si="21"/>
        <v>16573.024165206716</v>
      </c>
      <c r="R47" s="89">
        <f t="shared" si="2"/>
        <v>1381.0853471005596</v>
      </c>
      <c r="S47" s="15" t="s">
        <v>396</v>
      </c>
      <c r="T47" s="62" t="str">
        <f t="shared" si="19"/>
        <v/>
      </c>
      <c r="U47" s="62">
        <f t="shared" si="9"/>
        <v>0.31531937819100919</v>
      </c>
    </row>
    <row r="48" spans="1:26" x14ac:dyDescent="0.25">
      <c r="A48" s="63" t="s">
        <v>63</v>
      </c>
      <c r="B48" t="s">
        <v>48</v>
      </c>
      <c r="C48" s="91">
        <f>SUM(C37:C47)</f>
        <v>1772231.76</v>
      </c>
      <c r="D48" s="92">
        <f t="shared" ref="D48:Q48" si="28">SUM(D37:D47)</f>
        <v>147685.98000000001</v>
      </c>
      <c r="E48" s="93">
        <f t="shared" si="28"/>
        <v>187713.4660753801</v>
      </c>
      <c r="F48" s="93">
        <f t="shared" si="28"/>
        <v>185476.1717836496</v>
      </c>
      <c r="G48" s="93">
        <f t="shared" si="28"/>
        <v>185696.05261913742</v>
      </c>
      <c r="H48" s="93">
        <f t="shared" si="28"/>
        <v>199648.0122331203</v>
      </c>
      <c r="I48" s="93">
        <f t="shared" si="28"/>
        <v>209770.67219898885</v>
      </c>
      <c r="J48" s="93">
        <f t="shared" si="28"/>
        <v>189152.34464922512</v>
      </c>
      <c r="K48" s="93">
        <f t="shared" si="28"/>
        <v>224540.88998716683</v>
      </c>
      <c r="L48" s="93">
        <f t="shared" si="28"/>
        <v>215730.53996114738</v>
      </c>
      <c r="M48" s="93">
        <f t="shared" si="28"/>
        <v>206367.39695951159</v>
      </c>
      <c r="N48" s="93">
        <f t="shared" si="28"/>
        <v>226573.65713911183</v>
      </c>
      <c r="O48" s="93">
        <f t="shared" si="28"/>
        <v>207018.70582920636</v>
      </c>
      <c r="P48" s="93">
        <f t="shared" si="28"/>
        <v>216984.32248259708</v>
      </c>
      <c r="Q48" s="93">
        <f t="shared" si="28"/>
        <v>2454672.2319182423</v>
      </c>
      <c r="R48" s="94">
        <f t="shared" si="2"/>
        <v>204556.01932652018</v>
      </c>
      <c r="T48" s="96" t="str">
        <f t="shared" si="19"/>
        <v/>
      </c>
      <c r="U48" s="96">
        <f t="shared" si="9"/>
        <v>0.38507405595656535</v>
      </c>
      <c r="V48" s="113"/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99"/>
      <c r="R49" s="102"/>
      <c r="T49" s="55"/>
      <c r="U49" s="55"/>
    </row>
    <row r="50" spans="1:21" x14ac:dyDescent="0.25">
      <c r="A50" s="25"/>
      <c r="B50" s="15" t="s">
        <v>65</v>
      </c>
      <c r="C50" s="16">
        <v>138.38400000000001</v>
      </c>
      <c r="D50" s="57">
        <f>C50/12</f>
        <v>11.532000000000002</v>
      </c>
      <c r="E50" s="58">
        <v>100</v>
      </c>
      <c r="F50" s="58">
        <v>100</v>
      </c>
      <c r="G50" s="58">
        <v>100</v>
      </c>
      <c r="H50" s="58">
        <v>100</v>
      </c>
      <c r="I50" s="58">
        <v>100</v>
      </c>
      <c r="J50" s="58">
        <v>100</v>
      </c>
      <c r="K50" s="58">
        <v>100</v>
      </c>
      <c r="L50" s="58">
        <v>100</v>
      </c>
      <c r="M50" s="58">
        <v>100</v>
      </c>
      <c r="N50" s="58">
        <v>100</v>
      </c>
      <c r="O50" s="58">
        <v>100</v>
      </c>
      <c r="P50" s="58">
        <v>100</v>
      </c>
      <c r="Q50" s="58">
        <f t="shared" ref="Q50:Q61" si="29">SUM(E50:P50)</f>
        <v>1200</v>
      </c>
      <c r="R50" s="89">
        <f t="shared" si="2"/>
        <v>100</v>
      </c>
      <c r="S50" s="15" t="s">
        <v>397</v>
      </c>
      <c r="T50" s="62" t="str">
        <f t="shared" ref="T50:T62" si="30">IFERROR(Q50/$Q$34,"")</f>
        <v/>
      </c>
      <c r="U50" s="62">
        <f>IFERROR((Q50-C50)/C50,0)</f>
        <v>7.6715227193895235</v>
      </c>
    </row>
    <row r="51" spans="1:21" x14ac:dyDescent="0.25">
      <c r="A51" s="25"/>
      <c r="B51" s="15" t="s">
        <v>66</v>
      </c>
      <c r="C51" s="387">
        <v>0</v>
      </c>
      <c r="D51" s="57">
        <f t="shared" ref="D51:D61" si="31">C51/12</f>
        <v>0</v>
      </c>
      <c r="E51" s="58">
        <v>0</v>
      </c>
      <c r="F51" s="58">
        <v>0</v>
      </c>
      <c r="G51" s="58">
        <v>0</v>
      </c>
      <c r="H51" s="58">
        <v>0</v>
      </c>
      <c r="I51" s="58">
        <v>0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f t="shared" si="29"/>
        <v>0</v>
      </c>
      <c r="R51" s="89">
        <f t="shared" si="2"/>
        <v>0</v>
      </c>
      <c r="S51" s="15" t="s">
        <v>398</v>
      </c>
      <c r="T51" s="62" t="str">
        <f t="shared" si="30"/>
        <v/>
      </c>
      <c r="U51" s="62">
        <f t="shared" si="9"/>
        <v>0</v>
      </c>
    </row>
    <row r="52" spans="1:21" x14ac:dyDescent="0.25">
      <c r="A52" s="25"/>
      <c r="B52" s="15" t="s">
        <v>67</v>
      </c>
      <c r="C52" s="387">
        <v>0</v>
      </c>
      <c r="D52" s="57">
        <f t="shared" si="31"/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f t="shared" ref="Q52" si="32">SUM(E52:P52)</f>
        <v>0</v>
      </c>
      <c r="R52" s="89">
        <f t="shared" si="2"/>
        <v>0</v>
      </c>
      <c r="S52" s="15" t="s">
        <v>398</v>
      </c>
      <c r="T52" s="62" t="str">
        <f t="shared" si="30"/>
        <v/>
      </c>
      <c r="U52" s="62">
        <f t="shared" si="9"/>
        <v>0</v>
      </c>
    </row>
    <row r="53" spans="1:21" x14ac:dyDescent="0.25">
      <c r="A53" s="25"/>
      <c r="B53" s="15" t="s">
        <v>68</v>
      </c>
      <c r="C53" s="387">
        <v>0</v>
      </c>
      <c r="D53" s="57">
        <f>C53/12</f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f t="shared" si="29"/>
        <v>0</v>
      </c>
      <c r="R53" s="89">
        <f t="shared" si="2"/>
        <v>0</v>
      </c>
      <c r="S53" s="15" t="s">
        <v>398</v>
      </c>
      <c r="T53" s="62" t="str">
        <f t="shared" si="30"/>
        <v/>
      </c>
      <c r="U53" s="62">
        <f t="shared" si="9"/>
        <v>0</v>
      </c>
    </row>
    <row r="54" spans="1:21" x14ac:dyDescent="0.25">
      <c r="A54" s="25"/>
      <c r="B54" s="15" t="s">
        <v>69</v>
      </c>
      <c r="C54" s="16">
        <v>92847.84</v>
      </c>
      <c r="D54" s="57">
        <f t="shared" si="31"/>
        <v>7737.32</v>
      </c>
      <c r="E54" s="58">
        <f>5277.29+6979.94</f>
        <v>12257.23</v>
      </c>
      <c r="F54" s="58">
        <f t="shared" ref="F54:K54" si="33">5277.29+6979.94</f>
        <v>12257.23</v>
      </c>
      <c r="G54" s="58">
        <f t="shared" si="33"/>
        <v>12257.23</v>
      </c>
      <c r="H54" s="58">
        <f t="shared" si="33"/>
        <v>12257.23</v>
      </c>
      <c r="I54" s="58">
        <f t="shared" si="33"/>
        <v>12257.23</v>
      </c>
      <c r="J54" s="58">
        <f t="shared" si="33"/>
        <v>12257.23</v>
      </c>
      <c r="K54" s="58">
        <f t="shared" si="33"/>
        <v>12257.23</v>
      </c>
      <c r="L54" s="58">
        <v>14000</v>
      </c>
      <c r="M54" s="58">
        <v>14000</v>
      </c>
      <c r="N54" s="58">
        <v>14000</v>
      </c>
      <c r="O54" s="58">
        <v>14000</v>
      </c>
      <c r="P54" s="58">
        <v>14000</v>
      </c>
      <c r="Q54" s="58">
        <f>SUM(E54:P54)</f>
        <v>155800.60999999999</v>
      </c>
      <c r="R54" s="89">
        <f t="shared" si="2"/>
        <v>12983.384166666665</v>
      </c>
      <c r="S54" s="15" t="s">
        <v>399</v>
      </c>
      <c r="T54" s="62" t="str">
        <f t="shared" si="30"/>
        <v/>
      </c>
      <c r="U54" s="62">
        <f t="shared" si="9"/>
        <v>0.67802083494887977</v>
      </c>
    </row>
    <row r="55" spans="1:21" x14ac:dyDescent="0.25">
      <c r="A55" s="25"/>
      <c r="B55" s="15" t="s">
        <v>70</v>
      </c>
      <c r="C55" s="16">
        <v>2775.6239999999998</v>
      </c>
      <c r="D55" s="57">
        <f t="shared" si="31"/>
        <v>231.30199999999999</v>
      </c>
      <c r="E55" s="58">
        <v>250</v>
      </c>
      <c r="F55" s="58">
        <v>250</v>
      </c>
      <c r="G55" s="58">
        <v>250</v>
      </c>
      <c r="H55" s="58">
        <v>250</v>
      </c>
      <c r="I55" s="58">
        <v>250</v>
      </c>
      <c r="J55" s="58">
        <v>250</v>
      </c>
      <c r="K55" s="58">
        <v>250</v>
      </c>
      <c r="L55" s="58">
        <v>250</v>
      </c>
      <c r="M55" s="58">
        <v>250</v>
      </c>
      <c r="N55" s="58">
        <v>250</v>
      </c>
      <c r="O55" s="58">
        <v>250</v>
      </c>
      <c r="P55" s="58">
        <v>250</v>
      </c>
      <c r="Q55" s="58">
        <f t="shared" si="29"/>
        <v>3000</v>
      </c>
      <c r="R55" s="89">
        <f t="shared" si="2"/>
        <v>250</v>
      </c>
      <c r="S55" s="15" t="s">
        <v>398</v>
      </c>
      <c r="T55" s="62" t="str">
        <f t="shared" si="30"/>
        <v/>
      </c>
      <c r="U55" s="62">
        <f t="shared" si="9"/>
        <v>8.0838038581594704E-2</v>
      </c>
    </row>
    <row r="56" spans="1:21" x14ac:dyDescent="0.25">
      <c r="A56" s="25"/>
      <c r="B56" s="15" t="s">
        <v>71</v>
      </c>
      <c r="C56" s="387">
        <v>0</v>
      </c>
      <c r="D56" s="57">
        <f t="shared" si="31"/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f t="shared" ref="Q56:Q57" si="34">SUM(E56:P56)</f>
        <v>0</v>
      </c>
      <c r="R56" s="89">
        <f t="shared" si="2"/>
        <v>0</v>
      </c>
      <c r="S56" s="15" t="s">
        <v>398</v>
      </c>
      <c r="T56" s="62" t="str">
        <f t="shared" si="30"/>
        <v/>
      </c>
      <c r="U56" s="62">
        <f t="shared" si="9"/>
        <v>0</v>
      </c>
    </row>
    <row r="57" spans="1:21" x14ac:dyDescent="0.25">
      <c r="A57" s="25"/>
      <c r="B57" s="15" t="s">
        <v>72</v>
      </c>
      <c r="C57" s="387">
        <v>0</v>
      </c>
      <c r="D57" s="57">
        <f t="shared" si="31"/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f t="shared" si="34"/>
        <v>0</v>
      </c>
      <c r="R57" s="89">
        <f t="shared" si="2"/>
        <v>0</v>
      </c>
      <c r="S57" s="15" t="s">
        <v>398</v>
      </c>
      <c r="T57" s="62" t="str">
        <f t="shared" si="30"/>
        <v/>
      </c>
      <c r="U57" s="62">
        <f t="shared" si="9"/>
        <v>0</v>
      </c>
    </row>
    <row r="58" spans="1:21" x14ac:dyDescent="0.25">
      <c r="A58" s="25"/>
      <c r="B58" s="15" t="s">
        <v>73</v>
      </c>
      <c r="C58" s="16">
        <v>931.22400000000005</v>
      </c>
      <c r="D58" s="57">
        <f>C58/12</f>
        <v>77.602000000000004</v>
      </c>
      <c r="E58" s="58">
        <v>100</v>
      </c>
      <c r="F58" s="58">
        <v>100</v>
      </c>
      <c r="G58" s="58">
        <v>100</v>
      </c>
      <c r="H58" s="58">
        <v>100</v>
      </c>
      <c r="I58" s="58">
        <v>100</v>
      </c>
      <c r="J58" s="58">
        <v>100</v>
      </c>
      <c r="K58" s="58">
        <v>100</v>
      </c>
      <c r="L58" s="58">
        <v>100</v>
      </c>
      <c r="M58" s="58">
        <v>100</v>
      </c>
      <c r="N58" s="58">
        <v>100</v>
      </c>
      <c r="O58" s="58">
        <v>100</v>
      </c>
      <c r="P58" s="58">
        <v>100</v>
      </c>
      <c r="Q58" s="58">
        <f t="shared" si="29"/>
        <v>1200</v>
      </c>
      <c r="R58" s="89">
        <f t="shared" si="2"/>
        <v>100</v>
      </c>
      <c r="S58" s="15" t="s">
        <v>398</v>
      </c>
      <c r="T58" s="62" t="str">
        <f t="shared" si="30"/>
        <v/>
      </c>
      <c r="U58" s="62">
        <f t="shared" si="9"/>
        <v>0.28862658178912909</v>
      </c>
    </row>
    <row r="59" spans="1:21" x14ac:dyDescent="0.25">
      <c r="A59" s="25"/>
      <c r="B59" s="15" t="s">
        <v>74</v>
      </c>
      <c r="C59" s="16">
        <v>35296.080000000002</v>
      </c>
      <c r="D59" s="57">
        <f>C59/12</f>
        <v>2941.34</v>
      </c>
      <c r="E59" s="58">
        <v>2941.34</v>
      </c>
      <c r="F59" s="58">
        <v>2941.34</v>
      </c>
      <c r="G59" s="58">
        <v>2941.34</v>
      </c>
      <c r="H59" s="58">
        <v>2941.34</v>
      </c>
      <c r="I59" s="58">
        <v>2941.34</v>
      </c>
      <c r="J59" s="58">
        <v>2941.34</v>
      </c>
      <c r="K59" s="58">
        <v>2941.34</v>
      </c>
      <c r="L59" s="58">
        <v>2941.34</v>
      </c>
      <c r="M59" s="58">
        <v>2941.34</v>
      </c>
      <c r="N59" s="58">
        <v>2941.34</v>
      </c>
      <c r="O59" s="58">
        <v>2941.34</v>
      </c>
      <c r="P59" s="58">
        <v>2941.34</v>
      </c>
      <c r="Q59" s="58">
        <f t="shared" si="29"/>
        <v>35296.080000000002</v>
      </c>
      <c r="R59" s="89">
        <f t="shared" si="2"/>
        <v>2941.34</v>
      </c>
      <c r="S59" s="15" t="s">
        <v>398</v>
      </c>
      <c r="T59" s="62" t="str">
        <f t="shared" si="30"/>
        <v/>
      </c>
      <c r="U59" s="62">
        <f t="shared" si="9"/>
        <v>0</v>
      </c>
    </row>
    <row r="60" spans="1:21" x14ac:dyDescent="0.25">
      <c r="A60" s="25"/>
      <c r="B60" s="15" t="s">
        <v>75</v>
      </c>
      <c r="C60" s="16">
        <v>18000</v>
      </c>
      <c r="D60" s="57">
        <f>C60/12</f>
        <v>1500</v>
      </c>
      <c r="E60" s="58">
        <v>1500</v>
      </c>
      <c r="F60" s="58">
        <v>1500</v>
      </c>
      <c r="G60" s="58">
        <v>1500</v>
      </c>
      <c r="H60" s="58">
        <v>1500</v>
      </c>
      <c r="I60" s="58">
        <v>1500</v>
      </c>
      <c r="J60" s="58">
        <v>1500</v>
      </c>
      <c r="K60" s="58">
        <v>1500</v>
      </c>
      <c r="L60" s="58">
        <v>1500</v>
      </c>
      <c r="M60" s="58">
        <v>1500</v>
      </c>
      <c r="N60" s="58">
        <v>1500</v>
      </c>
      <c r="O60" s="58">
        <v>1500</v>
      </c>
      <c r="P60" s="58">
        <v>1500</v>
      </c>
      <c r="Q60" s="58">
        <f t="shared" si="29"/>
        <v>18000</v>
      </c>
      <c r="R60" s="89">
        <f t="shared" si="2"/>
        <v>1500</v>
      </c>
      <c r="S60" s="15" t="s">
        <v>400</v>
      </c>
      <c r="T60" s="62" t="str">
        <f t="shared" si="30"/>
        <v/>
      </c>
      <c r="U60" s="62">
        <f t="shared" si="9"/>
        <v>0</v>
      </c>
    </row>
    <row r="61" spans="1:21" x14ac:dyDescent="0.25">
      <c r="A61" s="25"/>
      <c r="B61" s="15" t="s">
        <v>76</v>
      </c>
      <c r="C61" s="387">
        <v>0</v>
      </c>
      <c r="D61" s="57">
        <f t="shared" si="31"/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f t="shared" si="29"/>
        <v>0</v>
      </c>
      <c r="R61" s="89">
        <f t="shared" si="2"/>
        <v>0</v>
      </c>
      <c r="S61" s="15" t="s">
        <v>398</v>
      </c>
      <c r="T61" s="62" t="str">
        <f t="shared" si="30"/>
        <v/>
      </c>
      <c r="U61" s="62">
        <f t="shared" si="9"/>
        <v>0</v>
      </c>
    </row>
    <row r="62" spans="1:21" x14ac:dyDescent="0.25">
      <c r="A62" s="63" t="s">
        <v>77</v>
      </c>
      <c r="B62" s="15" t="s">
        <v>48</v>
      </c>
      <c r="C62" s="91">
        <f>SUM(C50:C61)</f>
        <v>149989.152</v>
      </c>
      <c r="D62" s="92">
        <f t="shared" ref="D62" si="35">SUM(D50:D61)</f>
        <v>12499.096</v>
      </c>
      <c r="E62" s="93">
        <f>SUM(E50:E61)</f>
        <v>17148.57</v>
      </c>
      <c r="F62" s="93">
        <f t="shared" ref="F62:Q62" si="36">SUM(F50:F61)</f>
        <v>17148.57</v>
      </c>
      <c r="G62" s="93">
        <f t="shared" si="36"/>
        <v>17148.57</v>
      </c>
      <c r="H62" s="93">
        <f t="shared" si="36"/>
        <v>17148.57</v>
      </c>
      <c r="I62" s="93">
        <f t="shared" si="36"/>
        <v>17148.57</v>
      </c>
      <c r="J62" s="93">
        <f t="shared" si="36"/>
        <v>17148.57</v>
      </c>
      <c r="K62" s="93">
        <f t="shared" si="36"/>
        <v>17148.57</v>
      </c>
      <c r="L62" s="93">
        <f t="shared" si="36"/>
        <v>18891.34</v>
      </c>
      <c r="M62" s="93">
        <f t="shared" si="36"/>
        <v>18891.34</v>
      </c>
      <c r="N62" s="93">
        <f t="shared" si="36"/>
        <v>18891.34</v>
      </c>
      <c r="O62" s="93">
        <f t="shared" si="36"/>
        <v>18891.34</v>
      </c>
      <c r="P62" s="93">
        <f t="shared" si="36"/>
        <v>18891.34</v>
      </c>
      <c r="Q62" s="93">
        <f t="shared" si="36"/>
        <v>214496.69</v>
      </c>
      <c r="R62" s="94">
        <f t="shared" si="2"/>
        <v>17874.724166666667</v>
      </c>
      <c r="T62" s="96" t="str">
        <f t="shared" si="30"/>
        <v/>
      </c>
      <c r="U62" s="96">
        <f t="shared" si="9"/>
        <v>0.43008135681705834</v>
      </c>
    </row>
    <row r="63" spans="1:21" x14ac:dyDescent="0.25">
      <c r="A63" s="15" t="s">
        <v>78</v>
      </c>
      <c r="B63" s="15" t="s">
        <v>48</v>
      </c>
      <c r="C63" s="388">
        <v>0</v>
      </c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387">
        <v>0</v>
      </c>
      <c r="D64" s="57">
        <f t="shared" ref="D64:D72" si="37">C64/12</f>
        <v>0</v>
      </c>
      <c r="E64" s="58">
        <v>0</v>
      </c>
      <c r="F64" s="58">
        <v>0</v>
      </c>
      <c r="G64" s="58">
        <v>0</v>
      </c>
      <c r="H64" s="58">
        <v>0</v>
      </c>
      <c r="I64" s="58">
        <v>0</v>
      </c>
      <c r="J64" s="58">
        <v>0</v>
      </c>
      <c r="K64" s="58">
        <v>0</v>
      </c>
      <c r="L64" s="58">
        <v>0</v>
      </c>
      <c r="M64" s="58">
        <v>0</v>
      </c>
      <c r="N64" s="58">
        <v>0</v>
      </c>
      <c r="O64" s="58">
        <v>0</v>
      </c>
      <c r="P64" s="58">
        <v>0</v>
      </c>
      <c r="Q64" s="58">
        <f>SUM(E64:P64)</f>
        <v>0</v>
      </c>
      <c r="R64" s="89">
        <f t="shared" si="2"/>
        <v>0</v>
      </c>
      <c r="S64" s="15" t="s">
        <v>398</v>
      </c>
      <c r="T64" s="62" t="str">
        <f t="shared" ref="T64:T73" si="38">IFERROR(Q64/$Q$34,"")</f>
        <v/>
      </c>
      <c r="U64" s="62">
        <f t="shared" si="9"/>
        <v>0</v>
      </c>
    </row>
    <row r="65" spans="1:24" x14ac:dyDescent="0.25">
      <c r="A65" s="25"/>
      <c r="B65" s="15" t="s">
        <v>80</v>
      </c>
      <c r="C65" s="16">
        <v>507.43200000000002</v>
      </c>
      <c r="D65" s="57">
        <f t="shared" si="37"/>
        <v>42.286000000000001</v>
      </c>
      <c r="E65" s="58">
        <v>0</v>
      </c>
      <c r="F65" s="58">
        <v>0</v>
      </c>
      <c r="G65" s="58">
        <v>0</v>
      </c>
      <c r="H65" s="58">
        <v>0</v>
      </c>
      <c r="I65" s="58">
        <v>0</v>
      </c>
      <c r="J65" s="58">
        <v>0</v>
      </c>
      <c r="K65" s="58">
        <v>0</v>
      </c>
      <c r="L65" s="58">
        <v>0</v>
      </c>
      <c r="M65" s="58">
        <v>0</v>
      </c>
      <c r="N65" s="58">
        <v>0</v>
      </c>
      <c r="O65" s="58">
        <v>0</v>
      </c>
      <c r="P65" s="58">
        <v>0</v>
      </c>
      <c r="Q65" s="58">
        <f>SUM(E65:P65)</f>
        <v>0</v>
      </c>
      <c r="R65" s="89">
        <f t="shared" si="2"/>
        <v>0</v>
      </c>
      <c r="S65" s="15" t="s">
        <v>401</v>
      </c>
      <c r="T65" s="62" t="str">
        <f t="shared" si="38"/>
        <v/>
      </c>
      <c r="U65" s="62">
        <f t="shared" si="9"/>
        <v>-1</v>
      </c>
    </row>
    <row r="66" spans="1:24" x14ac:dyDescent="0.25">
      <c r="A66" s="25"/>
      <c r="B66" s="15" t="s">
        <v>81</v>
      </c>
      <c r="C66" s="387">
        <v>0</v>
      </c>
      <c r="D66" s="57">
        <f t="shared" si="37"/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f>SUM(E66:P66)</f>
        <v>0</v>
      </c>
      <c r="R66" s="89">
        <f t="shared" si="2"/>
        <v>0</v>
      </c>
      <c r="S66" s="15" t="s">
        <v>402</v>
      </c>
      <c r="T66" s="62" t="str">
        <f t="shared" si="38"/>
        <v/>
      </c>
      <c r="U66" s="62">
        <f t="shared" si="9"/>
        <v>0</v>
      </c>
    </row>
    <row r="67" spans="1:24" x14ac:dyDescent="0.25">
      <c r="A67" s="25"/>
      <c r="B67" s="15" t="s">
        <v>82</v>
      </c>
      <c r="C67" s="16">
        <v>768.22800000000007</v>
      </c>
      <c r="D67" s="57">
        <f t="shared" si="37"/>
        <v>64.019000000000005</v>
      </c>
      <c r="E67" s="58">
        <v>75</v>
      </c>
      <c r="F67" s="58">
        <v>75</v>
      </c>
      <c r="G67" s="58">
        <v>75</v>
      </c>
      <c r="H67" s="58">
        <v>75</v>
      </c>
      <c r="I67" s="58">
        <v>75</v>
      </c>
      <c r="J67" s="58">
        <v>75</v>
      </c>
      <c r="K67" s="58">
        <v>75</v>
      </c>
      <c r="L67" s="58">
        <v>75</v>
      </c>
      <c r="M67" s="58">
        <v>75</v>
      </c>
      <c r="N67" s="58">
        <v>75</v>
      </c>
      <c r="O67" s="58">
        <v>75</v>
      </c>
      <c r="P67" s="58">
        <v>75</v>
      </c>
      <c r="Q67" s="58">
        <f t="shared" ref="Q67:Q72" si="39">SUM(E67:P67)</f>
        <v>900</v>
      </c>
      <c r="R67" s="89">
        <f t="shared" si="2"/>
        <v>75</v>
      </c>
      <c r="S67" s="15" t="s">
        <v>398</v>
      </c>
      <c r="T67" s="62" t="str">
        <f t="shared" si="38"/>
        <v/>
      </c>
      <c r="U67" s="62">
        <f t="shared" si="9"/>
        <v>0.17152720286165035</v>
      </c>
    </row>
    <row r="68" spans="1:24" x14ac:dyDescent="0.25">
      <c r="A68" s="25"/>
      <c r="B68" s="15" t="s">
        <v>83</v>
      </c>
      <c r="C68" s="387">
        <v>0</v>
      </c>
      <c r="D68" s="57">
        <f t="shared" si="37"/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f t="shared" si="39"/>
        <v>0</v>
      </c>
      <c r="R68" s="89">
        <f t="shared" si="2"/>
        <v>0</v>
      </c>
      <c r="S68" s="15" t="s">
        <v>398</v>
      </c>
      <c r="T68" s="62" t="str">
        <f t="shared" si="38"/>
        <v/>
      </c>
      <c r="U68" s="62">
        <f t="shared" si="9"/>
        <v>0</v>
      </c>
    </row>
    <row r="69" spans="1:24" x14ac:dyDescent="0.25">
      <c r="A69" s="25"/>
      <c r="B69" s="15" t="s">
        <v>84</v>
      </c>
      <c r="C69" s="16">
        <v>29046.804</v>
      </c>
      <c r="D69" s="57">
        <f t="shared" si="37"/>
        <v>2420.567</v>
      </c>
      <c r="E69" s="58">
        <v>2450</v>
      </c>
      <c r="F69" s="58">
        <v>2450</v>
      </c>
      <c r="G69" s="58">
        <v>2450</v>
      </c>
      <c r="H69" s="58">
        <v>2450</v>
      </c>
      <c r="I69" s="58">
        <v>2450</v>
      </c>
      <c r="J69" s="58">
        <v>2450</v>
      </c>
      <c r="K69" s="58">
        <v>2450</v>
      </c>
      <c r="L69" s="58">
        <v>2450</v>
      </c>
      <c r="M69" s="58">
        <v>2450</v>
      </c>
      <c r="N69" s="58">
        <v>2450</v>
      </c>
      <c r="O69" s="58">
        <v>2450</v>
      </c>
      <c r="P69" s="58">
        <v>2450</v>
      </c>
      <c r="Q69" s="58">
        <f t="shared" si="39"/>
        <v>29400</v>
      </c>
      <c r="R69" s="89">
        <f t="shared" si="2"/>
        <v>2450</v>
      </c>
      <c r="S69" s="15" t="s">
        <v>398</v>
      </c>
      <c r="T69" s="62" t="str">
        <f t="shared" si="38"/>
        <v/>
      </c>
      <c r="U69" s="62">
        <f t="shared" si="9"/>
        <v>1.2159547742326485E-2</v>
      </c>
    </row>
    <row r="70" spans="1:24" x14ac:dyDescent="0.25">
      <c r="A70" s="25"/>
      <c r="B70" s="15" t="s">
        <v>85</v>
      </c>
      <c r="C70" s="16">
        <v>4479.8159999999998</v>
      </c>
      <c r="D70" s="57">
        <f t="shared" si="37"/>
        <v>373.31799999999998</v>
      </c>
      <c r="E70" s="58">
        <v>375</v>
      </c>
      <c r="F70" s="58">
        <v>375</v>
      </c>
      <c r="G70" s="58">
        <v>375</v>
      </c>
      <c r="H70" s="58">
        <v>375</v>
      </c>
      <c r="I70" s="58">
        <v>375</v>
      </c>
      <c r="J70" s="58">
        <v>375</v>
      </c>
      <c r="K70" s="58">
        <v>375</v>
      </c>
      <c r="L70" s="58">
        <v>375</v>
      </c>
      <c r="M70" s="58">
        <v>375</v>
      </c>
      <c r="N70" s="58">
        <v>375</v>
      </c>
      <c r="O70" s="58">
        <v>375</v>
      </c>
      <c r="P70" s="58">
        <v>375</v>
      </c>
      <c r="Q70" s="58">
        <f t="shared" si="39"/>
        <v>4500</v>
      </c>
      <c r="R70" s="89">
        <f t="shared" si="2"/>
        <v>375</v>
      </c>
      <c r="S70" s="15" t="s">
        <v>398</v>
      </c>
      <c r="T70" s="62" t="str">
        <f t="shared" si="38"/>
        <v/>
      </c>
      <c r="U70" s="62">
        <f t="shared" si="9"/>
        <v>4.5055421919114975E-3</v>
      </c>
    </row>
    <row r="71" spans="1:24" x14ac:dyDescent="0.25">
      <c r="A71" s="25"/>
      <c r="B71" s="15" t="s">
        <v>86</v>
      </c>
      <c r="C71" s="387">
        <v>0</v>
      </c>
      <c r="D71" s="57">
        <f t="shared" si="37"/>
        <v>0</v>
      </c>
      <c r="E71" s="58">
        <v>10</v>
      </c>
      <c r="F71" s="58">
        <v>10</v>
      </c>
      <c r="G71" s="58">
        <v>10</v>
      </c>
      <c r="H71" s="58">
        <v>10</v>
      </c>
      <c r="I71" s="58">
        <v>10</v>
      </c>
      <c r="J71" s="58">
        <v>10</v>
      </c>
      <c r="K71" s="58">
        <v>10</v>
      </c>
      <c r="L71" s="58">
        <v>10</v>
      </c>
      <c r="M71" s="58">
        <v>10</v>
      </c>
      <c r="N71" s="58">
        <v>10</v>
      </c>
      <c r="O71" s="58">
        <v>10</v>
      </c>
      <c r="P71" s="58">
        <v>10</v>
      </c>
      <c r="Q71" s="58">
        <f t="shared" si="39"/>
        <v>120</v>
      </c>
      <c r="R71" s="89">
        <f t="shared" si="2"/>
        <v>10</v>
      </c>
      <c r="S71" s="15" t="s">
        <v>397</v>
      </c>
      <c r="T71" s="62" t="str">
        <f t="shared" si="38"/>
        <v/>
      </c>
      <c r="U71" s="62">
        <f t="shared" si="9"/>
        <v>0</v>
      </c>
    </row>
    <row r="72" spans="1:24" x14ac:dyDescent="0.25">
      <c r="A72" s="25"/>
      <c r="B72" s="15" t="s">
        <v>87</v>
      </c>
      <c r="C72" s="16">
        <v>1375.7400000000002</v>
      </c>
      <c r="D72" s="57">
        <f t="shared" si="37"/>
        <v>114.64500000000002</v>
      </c>
      <c r="E72" s="58">
        <v>120</v>
      </c>
      <c r="F72" s="58">
        <v>120</v>
      </c>
      <c r="G72" s="58">
        <v>120</v>
      </c>
      <c r="H72" s="58">
        <v>120</v>
      </c>
      <c r="I72" s="58">
        <v>120</v>
      </c>
      <c r="J72" s="58">
        <v>120</v>
      </c>
      <c r="K72" s="58">
        <v>120</v>
      </c>
      <c r="L72" s="58">
        <v>120</v>
      </c>
      <c r="M72" s="58">
        <v>120</v>
      </c>
      <c r="N72" s="58">
        <v>120</v>
      </c>
      <c r="O72" s="58">
        <v>120</v>
      </c>
      <c r="P72" s="58">
        <v>120</v>
      </c>
      <c r="Q72" s="58">
        <f t="shared" si="39"/>
        <v>1440</v>
      </c>
      <c r="R72" s="89">
        <f t="shared" si="2"/>
        <v>120</v>
      </c>
      <c r="S72" s="15" t="s">
        <v>398</v>
      </c>
      <c r="T72" s="62" t="str">
        <f t="shared" si="38"/>
        <v/>
      </c>
      <c r="U72" s="62">
        <f t="shared" si="9"/>
        <v>4.6709407300797937E-2</v>
      </c>
    </row>
    <row r="73" spans="1:24" x14ac:dyDescent="0.25">
      <c r="A73" s="63" t="s">
        <v>88</v>
      </c>
      <c r="B73" s="15" t="s">
        <v>48</v>
      </c>
      <c r="C73" s="91">
        <f>SUM(C64:C72)</f>
        <v>36178.019999999997</v>
      </c>
      <c r="D73" s="92">
        <f>SUM(D64:D72)</f>
        <v>3014.8349999999996</v>
      </c>
      <c r="E73" s="93">
        <f>SUM(E64:E72)</f>
        <v>3030</v>
      </c>
      <c r="F73" s="93">
        <f t="shared" ref="F73:Q73" si="40">SUM(F64:F72)</f>
        <v>3030</v>
      </c>
      <c r="G73" s="93">
        <f t="shared" si="40"/>
        <v>3030</v>
      </c>
      <c r="H73" s="93">
        <f t="shared" si="40"/>
        <v>3030</v>
      </c>
      <c r="I73" s="93">
        <f t="shared" si="40"/>
        <v>3030</v>
      </c>
      <c r="J73" s="93">
        <f t="shared" si="40"/>
        <v>3030</v>
      </c>
      <c r="K73" s="93">
        <f t="shared" si="40"/>
        <v>3030</v>
      </c>
      <c r="L73" s="93">
        <f t="shared" si="40"/>
        <v>3030</v>
      </c>
      <c r="M73" s="93">
        <f t="shared" si="40"/>
        <v>3030</v>
      </c>
      <c r="N73" s="93">
        <f t="shared" si="40"/>
        <v>3030</v>
      </c>
      <c r="O73" s="93">
        <f t="shared" si="40"/>
        <v>3030</v>
      </c>
      <c r="P73" s="93">
        <f t="shared" si="40"/>
        <v>3030</v>
      </c>
      <c r="Q73" s="93">
        <f t="shared" si="40"/>
        <v>36360</v>
      </c>
      <c r="R73" s="94">
        <f t="shared" si="2"/>
        <v>3030</v>
      </c>
      <c r="T73" s="96" t="str">
        <f t="shared" si="38"/>
        <v/>
      </c>
      <c r="U73" s="96">
        <f t="shared" si="9"/>
        <v>5.0301260267975757E-3</v>
      </c>
      <c r="X73" t="s">
        <v>1</v>
      </c>
    </row>
    <row r="74" spans="1:24" x14ac:dyDescent="0.25">
      <c r="A74" s="15" t="s">
        <v>89</v>
      </c>
      <c r="B74" s="15"/>
      <c r="C74" s="388">
        <v>0</v>
      </c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4" x14ac:dyDescent="0.25">
      <c r="A75" s="25"/>
      <c r="B75" s="15" t="s">
        <v>90</v>
      </c>
      <c r="C75" s="387">
        <v>0</v>
      </c>
      <c r="D75" s="57">
        <f>C75/12</f>
        <v>0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58">
        <v>0</v>
      </c>
      <c r="Q75" s="58">
        <f>SUM(E75:P75)</f>
        <v>0</v>
      </c>
      <c r="R75" s="89">
        <f t="shared" si="2"/>
        <v>0</v>
      </c>
      <c r="S75" s="15" t="s">
        <v>398</v>
      </c>
      <c r="T75" s="62" t="str">
        <f t="shared" ref="T75:T76" si="41">IFERROR(Q75/$Q$34,"")</f>
        <v/>
      </c>
      <c r="U75" s="62">
        <f t="shared" si="9"/>
        <v>0</v>
      </c>
    </row>
    <row r="76" spans="1:24" x14ac:dyDescent="0.25">
      <c r="A76" s="63" t="s">
        <v>91</v>
      </c>
      <c r="B76" s="15"/>
      <c r="C76" s="389">
        <f>C75</f>
        <v>0</v>
      </c>
      <c r="D76" s="92">
        <f>D75</f>
        <v>0</v>
      </c>
      <c r="E76" s="93">
        <f>SUM(E75)</f>
        <v>0</v>
      </c>
      <c r="F76" s="93">
        <f t="shared" ref="F76:Q76" si="42">SUM(F75)</f>
        <v>0</v>
      </c>
      <c r="G76" s="93">
        <f t="shared" si="42"/>
        <v>0</v>
      </c>
      <c r="H76" s="93">
        <f t="shared" si="42"/>
        <v>0</v>
      </c>
      <c r="I76" s="93">
        <f t="shared" si="42"/>
        <v>0</v>
      </c>
      <c r="J76" s="93">
        <f t="shared" si="42"/>
        <v>0</v>
      </c>
      <c r="K76" s="93">
        <f t="shared" si="42"/>
        <v>0</v>
      </c>
      <c r="L76" s="93">
        <f t="shared" si="42"/>
        <v>0</v>
      </c>
      <c r="M76" s="93">
        <f t="shared" si="42"/>
        <v>0</v>
      </c>
      <c r="N76" s="93">
        <f t="shared" si="42"/>
        <v>0</v>
      </c>
      <c r="O76" s="93">
        <f t="shared" si="42"/>
        <v>0</v>
      </c>
      <c r="P76" s="93">
        <f t="shared" si="42"/>
        <v>0</v>
      </c>
      <c r="Q76" s="93">
        <f t="shared" si="42"/>
        <v>0</v>
      </c>
      <c r="R76" s="94">
        <f t="shared" si="2"/>
        <v>0</v>
      </c>
      <c r="T76" s="96" t="str">
        <f t="shared" si="41"/>
        <v/>
      </c>
      <c r="U76" s="96">
        <f t="shared" si="9"/>
        <v>0</v>
      </c>
    </row>
    <row r="77" spans="1:24" x14ac:dyDescent="0.25">
      <c r="A77" s="15" t="s">
        <v>92</v>
      </c>
      <c r="B77" s="15" t="s">
        <v>48</v>
      </c>
      <c r="C77" s="388">
        <v>0</v>
      </c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4" x14ac:dyDescent="0.25">
      <c r="A78" s="25"/>
      <c r="B78" s="15" t="s">
        <v>93</v>
      </c>
      <c r="C78" s="16">
        <v>289.02</v>
      </c>
      <c r="D78" s="57">
        <f>C78/12</f>
        <v>24.084999999999997</v>
      </c>
      <c r="E78" s="58">
        <v>0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  <c r="O78" s="58">
        <v>0</v>
      </c>
      <c r="P78" s="58">
        <v>0</v>
      </c>
      <c r="Q78" s="58">
        <f>SUM(E78:P78)</f>
        <v>0</v>
      </c>
      <c r="R78" s="89">
        <f t="shared" si="2"/>
        <v>0</v>
      </c>
      <c r="S78" s="15" t="s">
        <v>403</v>
      </c>
      <c r="T78" s="62" t="str">
        <f t="shared" ref="T78:T82" si="43">IFERROR(Q78/$Q$34,"")</f>
        <v/>
      </c>
      <c r="U78" s="62">
        <f t="shared" si="9"/>
        <v>-1</v>
      </c>
    </row>
    <row r="79" spans="1:24" x14ac:dyDescent="0.25">
      <c r="A79" s="25"/>
      <c r="B79" s="15" t="s">
        <v>94</v>
      </c>
      <c r="C79" s="16">
        <v>3868.8239999999996</v>
      </c>
      <c r="D79" s="57">
        <f>C79/12</f>
        <v>322.40199999999999</v>
      </c>
      <c r="E79" s="58">
        <v>375</v>
      </c>
      <c r="F79" s="58">
        <v>375</v>
      </c>
      <c r="G79" s="58">
        <v>375</v>
      </c>
      <c r="H79" s="58">
        <v>375</v>
      </c>
      <c r="I79" s="58">
        <v>375</v>
      </c>
      <c r="J79" s="58">
        <v>375</v>
      </c>
      <c r="K79" s="58">
        <v>375</v>
      </c>
      <c r="L79" s="58">
        <v>375</v>
      </c>
      <c r="M79" s="58">
        <v>375</v>
      </c>
      <c r="N79" s="58">
        <v>375</v>
      </c>
      <c r="O79" s="58">
        <v>375</v>
      </c>
      <c r="P79" s="58">
        <v>375</v>
      </c>
      <c r="Q79" s="58">
        <f>SUM(E79:P79)</f>
        <v>4500</v>
      </c>
      <c r="R79" s="89">
        <f t="shared" si="2"/>
        <v>375</v>
      </c>
      <c r="S79" s="15" t="s">
        <v>404</v>
      </c>
      <c r="T79" s="62" t="str">
        <f t="shared" si="43"/>
        <v/>
      </c>
      <c r="U79" s="62">
        <f t="shared" si="9"/>
        <v>0.1631441492298436</v>
      </c>
    </row>
    <row r="80" spans="1:24" x14ac:dyDescent="0.25">
      <c r="A80" s="25"/>
      <c r="B80" s="15" t="s">
        <v>95</v>
      </c>
      <c r="C80" s="387">
        <v>0</v>
      </c>
      <c r="D80" s="57">
        <f>C80/12</f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58">
        <v>0</v>
      </c>
      <c r="P80" s="58">
        <v>0</v>
      </c>
      <c r="Q80" s="58">
        <f>SUM(E80:P80)</f>
        <v>0</v>
      </c>
      <c r="R80" s="89">
        <f t="shared" si="2"/>
        <v>0</v>
      </c>
      <c r="S80" s="15" t="s">
        <v>398</v>
      </c>
      <c r="T80" s="62" t="str">
        <f t="shared" si="43"/>
        <v/>
      </c>
      <c r="U80" s="62">
        <f t="shared" si="9"/>
        <v>0</v>
      </c>
    </row>
    <row r="81" spans="1:25" x14ac:dyDescent="0.25">
      <c r="A81" s="25"/>
      <c r="B81" s="15" t="s">
        <v>96</v>
      </c>
      <c r="C81" s="387">
        <v>0</v>
      </c>
      <c r="D81" s="57">
        <f>C81/12</f>
        <v>0</v>
      </c>
      <c r="E81" s="58">
        <v>0</v>
      </c>
      <c r="F81" s="58">
        <v>0</v>
      </c>
      <c r="G81" s="58">
        <v>0</v>
      </c>
      <c r="H81" s="58">
        <v>0</v>
      </c>
      <c r="I81" s="58">
        <v>0</v>
      </c>
      <c r="J81" s="58">
        <v>0</v>
      </c>
      <c r="K81" s="58">
        <v>0</v>
      </c>
      <c r="L81" s="58">
        <v>0</v>
      </c>
      <c r="M81" s="58">
        <v>0</v>
      </c>
      <c r="N81" s="58">
        <v>0</v>
      </c>
      <c r="O81" s="58">
        <v>0</v>
      </c>
      <c r="P81" s="58">
        <v>0</v>
      </c>
      <c r="Q81" s="58">
        <f>SUM(E81:P81)</f>
        <v>0</v>
      </c>
      <c r="R81" s="89">
        <f t="shared" si="2"/>
        <v>0</v>
      </c>
      <c r="S81" s="15" t="s">
        <v>405</v>
      </c>
      <c r="T81" s="62" t="str">
        <f t="shared" si="43"/>
        <v/>
      </c>
      <c r="U81" s="62">
        <f t="shared" si="9"/>
        <v>0</v>
      </c>
    </row>
    <row r="82" spans="1:25" x14ac:dyDescent="0.25">
      <c r="A82" s="63" t="s">
        <v>97</v>
      </c>
      <c r="B82" s="15" t="s">
        <v>48</v>
      </c>
      <c r="C82" s="91">
        <f>SUM(C78:C81)</f>
        <v>4157.8439999999991</v>
      </c>
      <c r="D82" s="92">
        <f>SUM(D78:D81)</f>
        <v>346.48699999999997</v>
      </c>
      <c r="E82" s="93">
        <f>SUM(E78:E81)</f>
        <v>375</v>
      </c>
      <c r="F82" s="93">
        <f t="shared" ref="F82:Q82" si="44">SUM(F78:F81)</f>
        <v>375</v>
      </c>
      <c r="G82" s="93">
        <f t="shared" si="44"/>
        <v>375</v>
      </c>
      <c r="H82" s="93">
        <f t="shared" si="44"/>
        <v>375</v>
      </c>
      <c r="I82" s="93">
        <f t="shared" si="44"/>
        <v>375</v>
      </c>
      <c r="J82" s="93">
        <f t="shared" si="44"/>
        <v>375</v>
      </c>
      <c r="K82" s="93">
        <f t="shared" si="44"/>
        <v>375</v>
      </c>
      <c r="L82" s="93">
        <f t="shared" si="44"/>
        <v>375</v>
      </c>
      <c r="M82" s="93">
        <f t="shared" si="44"/>
        <v>375</v>
      </c>
      <c r="N82" s="93">
        <f t="shared" si="44"/>
        <v>375</v>
      </c>
      <c r="O82" s="93">
        <f t="shared" si="44"/>
        <v>375</v>
      </c>
      <c r="P82" s="93">
        <f t="shared" si="44"/>
        <v>375</v>
      </c>
      <c r="Q82" s="93">
        <f t="shared" si="44"/>
        <v>4500</v>
      </c>
      <c r="R82" s="94">
        <f t="shared" si="2"/>
        <v>375</v>
      </c>
      <c r="T82" s="96" t="str">
        <f t="shared" si="43"/>
        <v/>
      </c>
      <c r="U82" s="96">
        <f t="shared" si="9"/>
        <v>8.2291687711227482E-2</v>
      </c>
    </row>
    <row r="83" spans="1:25" x14ac:dyDescent="0.25">
      <c r="A83" s="15" t="s">
        <v>98</v>
      </c>
      <c r="B83" s="15" t="s">
        <v>48</v>
      </c>
      <c r="C83" s="388">
        <v>0</v>
      </c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5" x14ac:dyDescent="0.25">
      <c r="A84" s="25"/>
      <c r="B84" s="15" t="s">
        <v>99</v>
      </c>
      <c r="C84" s="16">
        <v>14790.564</v>
      </c>
      <c r="D84" s="57">
        <f t="shared" ref="D84:D89" si="45">C84/12</f>
        <v>1232.547</v>
      </c>
      <c r="E84" s="58">
        <v>1350</v>
      </c>
      <c r="F84" s="58">
        <v>1350</v>
      </c>
      <c r="G84" s="58">
        <v>1350</v>
      </c>
      <c r="H84" s="58">
        <v>1350</v>
      </c>
      <c r="I84" s="58">
        <v>1350</v>
      </c>
      <c r="J84" s="58">
        <v>1350</v>
      </c>
      <c r="K84" s="58">
        <v>1350</v>
      </c>
      <c r="L84" s="58">
        <v>1350</v>
      </c>
      <c r="M84" s="58">
        <v>1350</v>
      </c>
      <c r="N84" s="58">
        <v>1350</v>
      </c>
      <c r="O84" s="58">
        <v>1350</v>
      </c>
      <c r="P84" s="58">
        <v>1350</v>
      </c>
      <c r="Q84" s="58">
        <f t="shared" ref="Q84:Q89" si="46">SUM(E84:P84)</f>
        <v>16200</v>
      </c>
      <c r="R84" s="89">
        <f t="shared" si="2"/>
        <v>1350</v>
      </c>
      <c r="S84" s="15" t="s">
        <v>398</v>
      </c>
      <c r="T84" s="62" t="str">
        <f t="shared" ref="T84:T90" si="47">IFERROR(Q84/$Q$34,"")</f>
        <v/>
      </c>
      <c r="U84" s="62">
        <f t="shared" si="9"/>
        <v>9.5292917835993252E-2</v>
      </c>
    </row>
    <row r="85" spans="1:25" x14ac:dyDescent="0.25">
      <c r="A85" s="25"/>
      <c r="B85" s="15" t="s">
        <v>100</v>
      </c>
      <c r="C85" s="16">
        <v>0</v>
      </c>
      <c r="D85" s="57">
        <f t="shared" si="45"/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f t="shared" si="46"/>
        <v>0</v>
      </c>
      <c r="R85" s="89">
        <f t="shared" si="2"/>
        <v>0</v>
      </c>
      <c r="S85" s="15" t="s">
        <v>398</v>
      </c>
      <c r="T85" s="62" t="str">
        <f t="shared" si="47"/>
        <v/>
      </c>
      <c r="U85" s="62">
        <f t="shared" si="9"/>
        <v>0</v>
      </c>
    </row>
    <row r="86" spans="1:25" x14ac:dyDescent="0.25">
      <c r="A86" s="25"/>
      <c r="B86" s="15" t="s">
        <v>101</v>
      </c>
      <c r="C86" s="16">
        <v>4743.3119999999999</v>
      </c>
      <c r="D86" s="57">
        <f t="shared" si="45"/>
        <v>395.27600000000001</v>
      </c>
      <c r="E86" s="58">
        <v>400</v>
      </c>
      <c r="F86" s="58">
        <v>400</v>
      </c>
      <c r="G86" s="58">
        <v>400</v>
      </c>
      <c r="H86" s="58">
        <v>400</v>
      </c>
      <c r="I86" s="58">
        <v>400</v>
      </c>
      <c r="J86" s="58">
        <v>400</v>
      </c>
      <c r="K86" s="58">
        <v>400</v>
      </c>
      <c r="L86" s="58">
        <v>400</v>
      </c>
      <c r="M86" s="58">
        <v>400</v>
      </c>
      <c r="N86" s="58">
        <v>400</v>
      </c>
      <c r="O86" s="58">
        <v>400</v>
      </c>
      <c r="P86" s="58">
        <v>400</v>
      </c>
      <c r="Q86" s="58">
        <f t="shared" si="46"/>
        <v>4800</v>
      </c>
      <c r="R86" s="89">
        <f t="shared" si="2"/>
        <v>400</v>
      </c>
      <c r="S86" s="15" t="s">
        <v>398</v>
      </c>
      <c r="T86" s="62" t="str">
        <f t="shared" si="47"/>
        <v/>
      </c>
      <c r="U86" s="62">
        <f t="shared" si="9"/>
        <v>1.1951142998816038E-2</v>
      </c>
    </row>
    <row r="87" spans="1:25" x14ac:dyDescent="0.25">
      <c r="A87" s="25"/>
      <c r="B87" s="15" t="s">
        <v>102</v>
      </c>
      <c r="C87" s="16">
        <v>548.83200000000011</v>
      </c>
      <c r="D87" s="57">
        <f t="shared" si="45"/>
        <v>45.736000000000011</v>
      </c>
      <c r="E87" s="58">
        <v>100</v>
      </c>
      <c r="F87" s="58">
        <v>100</v>
      </c>
      <c r="G87" s="58">
        <v>100</v>
      </c>
      <c r="H87" s="58">
        <v>100</v>
      </c>
      <c r="I87" s="58">
        <v>100</v>
      </c>
      <c r="J87" s="58">
        <v>100</v>
      </c>
      <c r="K87" s="58">
        <v>100</v>
      </c>
      <c r="L87" s="58">
        <v>100</v>
      </c>
      <c r="M87" s="58">
        <v>100</v>
      </c>
      <c r="N87" s="58">
        <v>100</v>
      </c>
      <c r="O87" s="58">
        <v>100</v>
      </c>
      <c r="P87" s="58">
        <v>100</v>
      </c>
      <c r="Q87" s="58">
        <f t="shared" si="46"/>
        <v>1200</v>
      </c>
      <c r="R87" s="89">
        <f t="shared" si="2"/>
        <v>100</v>
      </c>
      <c r="S87" s="15" t="s">
        <v>397</v>
      </c>
      <c r="T87" s="62" t="str">
        <f t="shared" si="47"/>
        <v/>
      </c>
      <c r="U87" s="62">
        <f t="shared" si="9"/>
        <v>1.1864614308203598</v>
      </c>
    </row>
    <row r="88" spans="1:25" x14ac:dyDescent="0.25">
      <c r="A88" s="25"/>
      <c r="B88" s="15" t="s">
        <v>103</v>
      </c>
      <c r="C88" s="388">
        <v>0</v>
      </c>
      <c r="D88" s="57">
        <f t="shared" si="45"/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f t="shared" si="46"/>
        <v>0</v>
      </c>
      <c r="R88" s="89">
        <f t="shared" ref="R88:R137" si="48">AVERAGE(E88:P88)</f>
        <v>0</v>
      </c>
      <c r="S88" s="15" t="s">
        <v>398</v>
      </c>
      <c r="T88" s="62" t="str">
        <f t="shared" si="47"/>
        <v/>
      </c>
      <c r="U88" s="62">
        <f t="shared" si="9"/>
        <v>0</v>
      </c>
    </row>
    <row r="89" spans="1:25" x14ac:dyDescent="0.25">
      <c r="A89" s="25"/>
      <c r="B89" s="15" t="s">
        <v>104</v>
      </c>
      <c r="C89" s="16">
        <v>7153.848</v>
      </c>
      <c r="D89" s="57">
        <f t="shared" si="45"/>
        <v>596.154</v>
      </c>
      <c r="E89" s="58">
        <v>600</v>
      </c>
      <c r="F89" s="58">
        <v>600</v>
      </c>
      <c r="G89" s="58">
        <v>600</v>
      </c>
      <c r="H89" s="58">
        <v>600</v>
      </c>
      <c r="I89" s="58">
        <v>600</v>
      </c>
      <c r="J89" s="58">
        <v>600</v>
      </c>
      <c r="K89" s="58">
        <v>600</v>
      </c>
      <c r="L89" s="58">
        <v>600</v>
      </c>
      <c r="M89" s="58">
        <v>600</v>
      </c>
      <c r="N89" s="58">
        <v>600</v>
      </c>
      <c r="O89" s="58">
        <v>600</v>
      </c>
      <c r="P89" s="58">
        <v>600</v>
      </c>
      <c r="Q89" s="58">
        <f t="shared" si="46"/>
        <v>7200</v>
      </c>
      <c r="R89" s="89">
        <f t="shared" si="48"/>
        <v>600</v>
      </c>
      <c r="S89" s="15" t="s">
        <v>398</v>
      </c>
      <c r="T89" s="62" t="str">
        <f t="shared" si="47"/>
        <v/>
      </c>
      <c r="U89" s="62">
        <f t="shared" ref="U89:U137" si="49">IFERROR((Q89-C89)/C89,0)</f>
        <v>6.4513531738443486E-3</v>
      </c>
    </row>
    <row r="90" spans="1:25" x14ac:dyDescent="0.25">
      <c r="A90" s="63" t="s">
        <v>105</v>
      </c>
      <c r="B90" s="15" t="s">
        <v>48</v>
      </c>
      <c r="C90" s="91">
        <f>SUM(C84:C89)</f>
        <v>27236.555999999997</v>
      </c>
      <c r="D90" s="92">
        <f t="shared" ref="D90" si="50">SUM(D84:D89)</f>
        <v>2269.7130000000002</v>
      </c>
      <c r="E90" s="93">
        <f>SUM(E84:E89)</f>
        <v>2450</v>
      </c>
      <c r="F90" s="93">
        <f t="shared" ref="F90:Q90" si="51">SUM(F84:F89)</f>
        <v>2450</v>
      </c>
      <c r="G90" s="93">
        <f t="shared" si="51"/>
        <v>2450</v>
      </c>
      <c r="H90" s="93">
        <f t="shared" si="51"/>
        <v>2450</v>
      </c>
      <c r="I90" s="93">
        <f t="shared" si="51"/>
        <v>2450</v>
      </c>
      <c r="J90" s="93">
        <f t="shared" si="51"/>
        <v>2450</v>
      </c>
      <c r="K90" s="93">
        <f t="shared" si="51"/>
        <v>2450</v>
      </c>
      <c r="L90" s="93">
        <f t="shared" si="51"/>
        <v>2450</v>
      </c>
      <c r="M90" s="93">
        <f t="shared" si="51"/>
        <v>2450</v>
      </c>
      <c r="N90" s="93">
        <f t="shared" si="51"/>
        <v>2450</v>
      </c>
      <c r="O90" s="93">
        <f t="shared" si="51"/>
        <v>2450</v>
      </c>
      <c r="P90" s="93">
        <f t="shared" si="51"/>
        <v>2450</v>
      </c>
      <c r="Q90" s="93">
        <f t="shared" si="51"/>
        <v>29400</v>
      </c>
      <c r="R90" s="94">
        <f>AVERAGE(E90:P90)</f>
        <v>2450</v>
      </c>
      <c r="T90" s="96" t="str">
        <f t="shared" si="47"/>
        <v/>
      </c>
      <c r="U90" s="96">
        <f t="shared" si="49"/>
        <v>7.9431628580353672E-2</v>
      </c>
    </row>
    <row r="91" spans="1:25" x14ac:dyDescent="0.25">
      <c r="A91" s="15" t="s">
        <v>106</v>
      </c>
      <c r="B91" s="15"/>
      <c r="C91" s="388" t="s">
        <v>1</v>
      </c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5" x14ac:dyDescent="0.25">
      <c r="A92" s="15"/>
      <c r="B92" s="15" t="s">
        <v>107</v>
      </c>
      <c r="C92" s="387">
        <v>0</v>
      </c>
      <c r="D92" s="57">
        <f>C92/12</f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f>SUM(E92:P92)</f>
        <v>0</v>
      </c>
      <c r="R92" s="89">
        <f t="shared" si="48"/>
        <v>0</v>
      </c>
      <c r="S92" s="15" t="s">
        <v>406</v>
      </c>
      <c r="T92" s="62" t="str">
        <f t="shared" ref="T92:T129" si="52">IFERROR(Q92/$Q$34,"")</f>
        <v/>
      </c>
      <c r="U92" s="62">
        <f t="shared" si="49"/>
        <v>0</v>
      </c>
    </row>
    <row r="93" spans="1:25" x14ac:dyDescent="0.25">
      <c r="A93" s="25"/>
      <c r="B93" s="15" t="s">
        <v>108</v>
      </c>
      <c r="C93" s="16">
        <v>6995.52</v>
      </c>
      <c r="D93" s="57">
        <f>C93/12</f>
        <v>582.96</v>
      </c>
      <c r="E93" s="58">
        <v>700</v>
      </c>
      <c r="F93" s="58">
        <v>700</v>
      </c>
      <c r="G93" s="58">
        <v>700</v>
      </c>
      <c r="H93" s="58">
        <v>700</v>
      </c>
      <c r="I93" s="58">
        <v>700</v>
      </c>
      <c r="J93" s="58">
        <v>700</v>
      </c>
      <c r="K93" s="58">
        <v>700</v>
      </c>
      <c r="L93" s="58">
        <v>700</v>
      </c>
      <c r="M93" s="58">
        <v>700</v>
      </c>
      <c r="N93" s="58">
        <v>700</v>
      </c>
      <c r="O93" s="58">
        <v>700</v>
      </c>
      <c r="P93" s="58">
        <v>700</v>
      </c>
      <c r="Q93" s="58">
        <f>SUM(E93:P93)</f>
        <v>8400</v>
      </c>
      <c r="R93" s="89">
        <f t="shared" si="48"/>
        <v>700</v>
      </c>
      <c r="S93" s="15" t="s">
        <v>406</v>
      </c>
      <c r="T93" s="62" t="str">
        <f t="shared" si="52"/>
        <v/>
      </c>
      <c r="U93" s="62">
        <f t="shared" si="49"/>
        <v>0.20076849183477419</v>
      </c>
      <c r="Y93" t="s">
        <v>1</v>
      </c>
    </row>
    <row r="94" spans="1:25" x14ac:dyDescent="0.25">
      <c r="A94" s="25"/>
      <c r="B94" s="15" t="s">
        <v>109</v>
      </c>
      <c r="C94" s="16">
        <v>45622.991999999998</v>
      </c>
      <c r="D94" s="57">
        <f>C94/12</f>
        <v>3801.9159999999997</v>
      </c>
      <c r="E94" s="58">
        <v>4000</v>
      </c>
      <c r="F94" s="58">
        <v>4000</v>
      </c>
      <c r="G94" s="58">
        <v>4000</v>
      </c>
      <c r="H94" s="58">
        <v>4000</v>
      </c>
      <c r="I94" s="58">
        <v>4000</v>
      </c>
      <c r="J94" s="58">
        <v>4000</v>
      </c>
      <c r="K94" s="58">
        <v>4000</v>
      </c>
      <c r="L94" s="58">
        <v>4000</v>
      </c>
      <c r="M94" s="58">
        <v>4000</v>
      </c>
      <c r="N94" s="58">
        <v>4000</v>
      </c>
      <c r="O94" s="58">
        <v>4000</v>
      </c>
      <c r="P94" s="58">
        <v>4000</v>
      </c>
      <c r="Q94" s="58">
        <f>SUM(E94:P94)</f>
        <v>48000</v>
      </c>
      <c r="R94" s="89">
        <f t="shared" si="48"/>
        <v>4000</v>
      </c>
      <c r="S94" s="15" t="s">
        <v>406</v>
      </c>
      <c r="T94" s="62" t="str">
        <f t="shared" si="52"/>
        <v/>
      </c>
      <c r="U94" s="62">
        <f t="shared" si="49"/>
        <v>5.2101098498756979E-2</v>
      </c>
    </row>
    <row r="95" spans="1:25" x14ac:dyDescent="0.25">
      <c r="A95" s="63" t="s">
        <v>110</v>
      </c>
      <c r="B95" s="15"/>
      <c r="C95" s="91">
        <f>SUM(C92:C94)</f>
        <v>52618.512000000002</v>
      </c>
      <c r="D95" s="92">
        <f t="shared" ref="D95:Q95" si="53">SUM(D92:D94)</f>
        <v>4384.8760000000002</v>
      </c>
      <c r="E95" s="93">
        <f t="shared" si="53"/>
        <v>4700</v>
      </c>
      <c r="F95" s="93">
        <f t="shared" si="53"/>
        <v>4700</v>
      </c>
      <c r="G95" s="93">
        <f t="shared" si="53"/>
        <v>4700</v>
      </c>
      <c r="H95" s="93">
        <f t="shared" si="53"/>
        <v>4700</v>
      </c>
      <c r="I95" s="93">
        <f t="shared" si="53"/>
        <v>4700</v>
      </c>
      <c r="J95" s="93">
        <f t="shared" si="53"/>
        <v>4700</v>
      </c>
      <c r="K95" s="93">
        <f t="shared" si="53"/>
        <v>4700</v>
      </c>
      <c r="L95" s="93">
        <f t="shared" si="53"/>
        <v>4700</v>
      </c>
      <c r="M95" s="93">
        <f t="shared" si="53"/>
        <v>4700</v>
      </c>
      <c r="N95" s="93">
        <f t="shared" si="53"/>
        <v>4700</v>
      </c>
      <c r="O95" s="93">
        <f t="shared" si="53"/>
        <v>4700</v>
      </c>
      <c r="P95" s="93">
        <f t="shared" si="53"/>
        <v>4700</v>
      </c>
      <c r="Q95" s="93">
        <f t="shared" si="53"/>
        <v>56400</v>
      </c>
      <c r="R95" s="94">
        <f>AVERAGE(E95:P95)</f>
        <v>4700</v>
      </c>
      <c r="T95" s="96" t="str">
        <f t="shared" si="52"/>
        <v/>
      </c>
      <c r="U95" s="96">
        <f t="shared" si="49"/>
        <v>7.1866114343940343E-2</v>
      </c>
    </row>
    <row r="96" spans="1:25" x14ac:dyDescent="0.25">
      <c r="A96" s="15" t="s">
        <v>111</v>
      </c>
      <c r="B96" s="15" t="s">
        <v>48</v>
      </c>
      <c r="C96" s="388" t="s">
        <v>1</v>
      </c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  <c r="W96" t="s">
        <v>1</v>
      </c>
    </row>
    <row r="97" spans="1:24" x14ac:dyDescent="0.25">
      <c r="A97" s="25"/>
      <c r="B97" s="15" t="s">
        <v>112</v>
      </c>
      <c r="C97" s="16">
        <v>-4174.6440000000002</v>
      </c>
      <c r="D97" s="57">
        <f t="shared" ref="D97:D120" si="54">C97/12</f>
        <v>-347.887</v>
      </c>
      <c r="E97" s="58">
        <v>-300</v>
      </c>
      <c r="F97" s="58">
        <v>-300</v>
      </c>
      <c r="G97" s="58">
        <v>-300</v>
      </c>
      <c r="H97" s="58">
        <v>-300</v>
      </c>
      <c r="I97" s="58">
        <v>-300</v>
      </c>
      <c r="J97" s="58">
        <v>-300</v>
      </c>
      <c r="K97" s="58">
        <v>-300</v>
      </c>
      <c r="L97" s="58">
        <v>-300</v>
      </c>
      <c r="M97" s="58">
        <v>-300</v>
      </c>
      <c r="N97" s="58">
        <v>-300</v>
      </c>
      <c r="O97" s="58">
        <v>-300</v>
      </c>
      <c r="P97" s="58">
        <v>-300</v>
      </c>
      <c r="Q97" s="58">
        <f t="shared" ref="Q97:Q120" si="55">SUM(E97:P97)</f>
        <v>-3600</v>
      </c>
      <c r="R97" s="89">
        <f t="shared" si="48"/>
        <v>-300</v>
      </c>
      <c r="S97" s="15" t="s">
        <v>407</v>
      </c>
      <c r="T97" s="62" t="str">
        <f t="shared" si="52"/>
        <v/>
      </c>
      <c r="U97" s="62">
        <f t="shared" si="49"/>
        <v>-0.13765101886532125</v>
      </c>
    </row>
    <row r="98" spans="1:24" x14ac:dyDescent="0.25">
      <c r="A98" s="25"/>
      <c r="B98" s="15" t="s">
        <v>113</v>
      </c>
      <c r="C98" s="16">
        <v>1432.3319999999999</v>
      </c>
      <c r="D98" s="57">
        <f t="shared" si="54"/>
        <v>119.36099999999999</v>
      </c>
      <c r="E98" s="58">
        <v>200</v>
      </c>
      <c r="F98" s="58">
        <v>200</v>
      </c>
      <c r="G98" s="58">
        <v>200</v>
      </c>
      <c r="H98" s="58">
        <v>200</v>
      </c>
      <c r="I98" s="58">
        <v>200</v>
      </c>
      <c r="J98" s="58">
        <v>200</v>
      </c>
      <c r="K98" s="58">
        <v>200</v>
      </c>
      <c r="L98" s="58">
        <v>200</v>
      </c>
      <c r="M98" s="58">
        <v>200</v>
      </c>
      <c r="N98" s="58">
        <v>200</v>
      </c>
      <c r="O98" s="58">
        <v>200</v>
      </c>
      <c r="P98" s="58">
        <v>200</v>
      </c>
      <c r="Q98" s="58">
        <f t="shared" si="55"/>
        <v>2400</v>
      </c>
      <c r="R98" s="89">
        <f t="shared" si="48"/>
        <v>200</v>
      </c>
      <c r="S98" s="15" t="s">
        <v>408</v>
      </c>
      <c r="T98" s="62" t="str">
        <f t="shared" si="52"/>
        <v/>
      </c>
      <c r="U98" s="62">
        <f t="shared" si="49"/>
        <v>0.67558917904508187</v>
      </c>
    </row>
    <row r="99" spans="1:24" x14ac:dyDescent="0.25">
      <c r="A99" s="25"/>
      <c r="B99" s="15" t="s">
        <v>114</v>
      </c>
      <c r="C99" s="16">
        <v>864.36</v>
      </c>
      <c r="D99" s="57">
        <f t="shared" si="54"/>
        <v>72.03</v>
      </c>
      <c r="E99" s="58">
        <v>0</v>
      </c>
      <c r="F99" s="58">
        <v>0</v>
      </c>
      <c r="G99" s="58">
        <v>0</v>
      </c>
      <c r="H99" s="58">
        <v>0</v>
      </c>
      <c r="I99" s="58">
        <v>0</v>
      </c>
      <c r="J99" s="58">
        <v>0</v>
      </c>
      <c r="K99" s="58">
        <v>0</v>
      </c>
      <c r="L99" s="58">
        <v>0</v>
      </c>
      <c r="M99" s="58">
        <v>0</v>
      </c>
      <c r="N99" s="58">
        <v>0</v>
      </c>
      <c r="O99" s="58">
        <v>0</v>
      </c>
      <c r="P99" s="58">
        <v>0</v>
      </c>
      <c r="Q99" s="58">
        <f t="shared" si="55"/>
        <v>0</v>
      </c>
      <c r="R99" s="89">
        <f t="shared" si="48"/>
        <v>0</v>
      </c>
      <c r="S99" s="15" t="s">
        <v>409</v>
      </c>
      <c r="T99" s="62" t="str">
        <f t="shared" si="52"/>
        <v/>
      </c>
      <c r="U99" s="62">
        <f t="shared" si="49"/>
        <v>-1</v>
      </c>
    </row>
    <row r="100" spans="1:24" x14ac:dyDescent="0.25">
      <c r="A100" s="25"/>
      <c r="B100" s="15" t="s">
        <v>115</v>
      </c>
      <c r="C100" s="16">
        <v>13321.74</v>
      </c>
      <c r="D100" s="57">
        <f t="shared" si="54"/>
        <v>1110.145</v>
      </c>
      <c r="E100" s="58">
        <v>2600</v>
      </c>
      <c r="F100" s="58">
        <v>2600</v>
      </c>
      <c r="G100" s="58">
        <v>2600</v>
      </c>
      <c r="H100" s="58">
        <v>2600</v>
      </c>
      <c r="I100" s="58">
        <v>2600</v>
      </c>
      <c r="J100" s="58">
        <v>2600</v>
      </c>
      <c r="K100" s="58">
        <v>2600</v>
      </c>
      <c r="L100" s="58">
        <v>2600</v>
      </c>
      <c r="M100" s="58">
        <v>2600</v>
      </c>
      <c r="N100" s="58">
        <v>2600</v>
      </c>
      <c r="O100" s="58">
        <v>2600</v>
      </c>
      <c r="P100" s="58">
        <v>2600</v>
      </c>
      <c r="Q100" s="58">
        <f t="shared" si="55"/>
        <v>31200</v>
      </c>
      <c r="R100" s="89">
        <f t="shared" si="48"/>
        <v>2600</v>
      </c>
      <c r="S100" s="15" t="s">
        <v>410</v>
      </c>
      <c r="T100" s="62" t="str">
        <f t="shared" si="52"/>
        <v/>
      </c>
      <c r="U100" s="62">
        <f t="shared" si="49"/>
        <v>1.3420364006503656</v>
      </c>
      <c r="W100" t="s">
        <v>1</v>
      </c>
    </row>
    <row r="101" spans="1:24" x14ac:dyDescent="0.25">
      <c r="A101" s="25"/>
      <c r="B101" s="15" t="s">
        <v>116</v>
      </c>
      <c r="C101" s="16">
        <v>11289.335999999999</v>
      </c>
      <c r="D101" s="57">
        <f t="shared" si="54"/>
        <v>940.77799999999991</v>
      </c>
      <c r="E101" s="58">
        <v>1260</v>
      </c>
      <c r="F101" s="58">
        <v>1260</v>
      </c>
      <c r="G101" s="58">
        <v>1260</v>
      </c>
      <c r="H101" s="58">
        <v>1260</v>
      </c>
      <c r="I101" s="58">
        <v>1260</v>
      </c>
      <c r="J101" s="58">
        <v>1260</v>
      </c>
      <c r="K101" s="58">
        <v>1260</v>
      </c>
      <c r="L101" s="58">
        <v>1260</v>
      </c>
      <c r="M101" s="58">
        <v>1260</v>
      </c>
      <c r="N101" s="58">
        <v>1260</v>
      </c>
      <c r="O101" s="58">
        <v>1260</v>
      </c>
      <c r="P101" s="58">
        <v>1260</v>
      </c>
      <c r="Q101" s="58">
        <f t="shared" si="55"/>
        <v>15120</v>
      </c>
      <c r="R101" s="89">
        <f t="shared" si="48"/>
        <v>1260</v>
      </c>
      <c r="S101" s="15" t="s">
        <v>411</v>
      </c>
      <c r="T101" s="62" t="str">
        <f t="shared" si="52"/>
        <v/>
      </c>
      <c r="U101" s="62">
        <f t="shared" si="49"/>
        <v>0.33931703334899421</v>
      </c>
      <c r="W101" t="s">
        <v>1</v>
      </c>
    </row>
    <row r="102" spans="1:24" x14ac:dyDescent="0.25">
      <c r="A102" s="25"/>
      <c r="B102" s="15" t="s">
        <v>117</v>
      </c>
      <c r="C102" s="16">
        <v>60886.571999999993</v>
      </c>
      <c r="D102" s="57">
        <f t="shared" si="54"/>
        <v>5073.8809999999994</v>
      </c>
      <c r="E102" s="58">
        <v>5300</v>
      </c>
      <c r="F102" s="58">
        <v>5300</v>
      </c>
      <c r="G102" s="58">
        <v>5300</v>
      </c>
      <c r="H102" s="58">
        <v>5300</v>
      </c>
      <c r="I102" s="58">
        <v>5300</v>
      </c>
      <c r="J102" s="58">
        <v>5300</v>
      </c>
      <c r="K102" s="58">
        <v>5300</v>
      </c>
      <c r="L102" s="58">
        <v>5300</v>
      </c>
      <c r="M102" s="58">
        <v>5300</v>
      </c>
      <c r="N102" s="58">
        <v>5300</v>
      </c>
      <c r="O102" s="58">
        <v>5300</v>
      </c>
      <c r="P102" s="58">
        <v>5300</v>
      </c>
      <c r="Q102" s="58">
        <f t="shared" si="55"/>
        <v>63600</v>
      </c>
      <c r="R102" s="89">
        <f t="shared" si="48"/>
        <v>5300</v>
      </c>
      <c r="S102" s="15" t="s">
        <v>412</v>
      </c>
      <c r="T102" s="62" t="str">
        <f t="shared" si="52"/>
        <v/>
      </c>
      <c r="U102" s="62">
        <f t="shared" si="49"/>
        <v>4.4565294298388278E-2</v>
      </c>
      <c r="W102" t="s">
        <v>1</v>
      </c>
    </row>
    <row r="103" spans="1:24" x14ac:dyDescent="0.25">
      <c r="A103" s="25"/>
      <c r="B103" s="15" t="s">
        <v>118</v>
      </c>
      <c r="C103" s="16">
        <v>17465.988000000001</v>
      </c>
      <c r="D103" s="57">
        <f t="shared" si="54"/>
        <v>1455.499</v>
      </c>
      <c r="E103" s="58">
        <v>1800</v>
      </c>
      <c r="F103" s="58">
        <v>1800</v>
      </c>
      <c r="G103" s="58">
        <v>1800</v>
      </c>
      <c r="H103" s="58">
        <v>1800</v>
      </c>
      <c r="I103" s="58">
        <v>1800</v>
      </c>
      <c r="J103" s="58">
        <v>1800</v>
      </c>
      <c r="K103" s="58">
        <v>1800</v>
      </c>
      <c r="L103" s="58">
        <v>1800</v>
      </c>
      <c r="M103" s="58">
        <v>1800</v>
      </c>
      <c r="N103" s="58">
        <v>1800</v>
      </c>
      <c r="O103" s="58">
        <v>1800</v>
      </c>
      <c r="P103" s="58">
        <v>1800</v>
      </c>
      <c r="Q103" s="58">
        <f t="shared" si="55"/>
        <v>21600</v>
      </c>
      <c r="R103" s="89">
        <f t="shared" si="48"/>
        <v>1800</v>
      </c>
      <c r="S103" s="15" t="s">
        <v>413</v>
      </c>
      <c r="T103" s="62" t="str">
        <f t="shared" si="52"/>
        <v/>
      </c>
      <c r="U103" s="62">
        <f t="shared" si="49"/>
        <v>0.23668927288854191</v>
      </c>
      <c r="W103" t="s">
        <v>1</v>
      </c>
      <c r="X103" t="s">
        <v>1</v>
      </c>
    </row>
    <row r="104" spans="1:24" x14ac:dyDescent="0.25">
      <c r="A104" s="25"/>
      <c r="B104" s="15" t="s">
        <v>119</v>
      </c>
      <c r="C104" s="16">
        <v>104695.97999999998</v>
      </c>
      <c r="D104" s="57">
        <f t="shared" si="54"/>
        <v>8724.6649999999991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58">
        <v>0</v>
      </c>
      <c r="P104" s="58">
        <v>0</v>
      </c>
      <c r="Q104" s="58">
        <f t="shared" si="55"/>
        <v>0</v>
      </c>
      <c r="R104" s="89">
        <f t="shared" si="48"/>
        <v>0</v>
      </c>
      <c r="S104" s="15" t="s">
        <v>414</v>
      </c>
      <c r="T104" s="62" t="str">
        <f t="shared" si="52"/>
        <v/>
      </c>
      <c r="U104" s="62">
        <f t="shared" si="49"/>
        <v>-1</v>
      </c>
    </row>
    <row r="105" spans="1:24" x14ac:dyDescent="0.25">
      <c r="A105" s="25"/>
      <c r="B105" s="15" t="s">
        <v>120</v>
      </c>
      <c r="C105" s="16">
        <v>7264.2240000000011</v>
      </c>
      <c r="D105" s="57">
        <f t="shared" si="54"/>
        <v>605.35200000000009</v>
      </c>
      <c r="E105" s="58">
        <v>500</v>
      </c>
      <c r="F105" s="58">
        <v>500</v>
      </c>
      <c r="G105" s="58">
        <v>500</v>
      </c>
      <c r="H105" s="58">
        <v>500</v>
      </c>
      <c r="I105" s="58">
        <v>500</v>
      </c>
      <c r="J105" s="58">
        <v>500</v>
      </c>
      <c r="K105" s="58">
        <v>500</v>
      </c>
      <c r="L105" s="58">
        <v>500</v>
      </c>
      <c r="M105" s="58">
        <v>500</v>
      </c>
      <c r="N105" s="58">
        <v>500</v>
      </c>
      <c r="O105" s="58">
        <v>500</v>
      </c>
      <c r="P105" s="58">
        <v>500</v>
      </c>
      <c r="Q105" s="58">
        <f t="shared" si="55"/>
        <v>6000</v>
      </c>
      <c r="R105" s="89">
        <f t="shared" si="48"/>
        <v>500</v>
      </c>
      <c r="S105" s="15" t="s">
        <v>413</v>
      </c>
      <c r="T105" s="62" t="str">
        <f t="shared" si="52"/>
        <v/>
      </c>
      <c r="U105" s="62">
        <f t="shared" si="49"/>
        <v>-0.17403428088120643</v>
      </c>
    </row>
    <row r="106" spans="1:24" x14ac:dyDescent="0.25">
      <c r="A106" s="25"/>
      <c r="B106" s="15" t="s">
        <v>121</v>
      </c>
      <c r="C106" s="16">
        <v>1436.9279999999999</v>
      </c>
      <c r="D106" s="57">
        <f t="shared" si="54"/>
        <v>119.74399999999999</v>
      </c>
      <c r="E106" s="58">
        <v>135</v>
      </c>
      <c r="F106" s="58">
        <v>135</v>
      </c>
      <c r="G106" s="58">
        <v>135</v>
      </c>
      <c r="H106" s="58">
        <v>135</v>
      </c>
      <c r="I106" s="58">
        <v>135</v>
      </c>
      <c r="J106" s="58">
        <v>135</v>
      </c>
      <c r="K106" s="58">
        <v>135</v>
      </c>
      <c r="L106" s="58">
        <v>135</v>
      </c>
      <c r="M106" s="58">
        <v>135</v>
      </c>
      <c r="N106" s="58">
        <v>135</v>
      </c>
      <c r="O106" s="58">
        <v>135</v>
      </c>
      <c r="P106" s="58">
        <v>135</v>
      </c>
      <c r="Q106" s="58">
        <f t="shared" si="55"/>
        <v>1620</v>
      </c>
      <c r="R106" s="89">
        <f t="shared" si="48"/>
        <v>135</v>
      </c>
      <c r="S106" s="15" t="s">
        <v>398</v>
      </c>
      <c r="T106" s="62" t="str">
        <f t="shared" si="52"/>
        <v/>
      </c>
      <c r="U106" s="62">
        <f t="shared" si="49"/>
        <v>0.12740513094601827</v>
      </c>
    </row>
    <row r="107" spans="1:24" x14ac:dyDescent="0.25">
      <c r="A107" s="25"/>
      <c r="B107" s="15" t="s">
        <v>122</v>
      </c>
      <c r="C107" s="16">
        <v>31376.387999999999</v>
      </c>
      <c r="D107" s="57">
        <f t="shared" si="54"/>
        <v>2614.6990000000001</v>
      </c>
      <c r="E107" s="58">
        <v>2700</v>
      </c>
      <c r="F107" s="58">
        <v>2700</v>
      </c>
      <c r="G107" s="58">
        <v>2700</v>
      </c>
      <c r="H107" s="58">
        <v>2700</v>
      </c>
      <c r="I107" s="58">
        <v>2700</v>
      </c>
      <c r="J107" s="58">
        <v>2700</v>
      </c>
      <c r="K107" s="58">
        <v>2700</v>
      </c>
      <c r="L107" s="58">
        <v>2700</v>
      </c>
      <c r="M107" s="58">
        <v>2700</v>
      </c>
      <c r="N107" s="58">
        <v>2700</v>
      </c>
      <c r="O107" s="58">
        <v>2700</v>
      </c>
      <c r="P107" s="58">
        <v>2700</v>
      </c>
      <c r="Q107" s="58">
        <f t="shared" si="55"/>
        <v>32400</v>
      </c>
      <c r="R107" s="89">
        <f t="shared" si="48"/>
        <v>2700</v>
      </c>
      <c r="S107" s="15" t="s">
        <v>415</v>
      </c>
      <c r="T107" s="62" t="str">
        <f t="shared" si="52"/>
        <v/>
      </c>
      <c r="U107" s="62">
        <f t="shared" si="49"/>
        <v>3.2623640426680124E-2</v>
      </c>
    </row>
    <row r="108" spans="1:24" x14ac:dyDescent="0.25">
      <c r="A108" s="86" t="s">
        <v>1</v>
      </c>
      <c r="B108" s="15" t="s">
        <v>123</v>
      </c>
      <c r="C108" s="16">
        <v>57398.399999999994</v>
      </c>
      <c r="D108" s="57">
        <f t="shared" si="54"/>
        <v>4783.2</v>
      </c>
      <c r="E108" s="58">
        <v>4783.2</v>
      </c>
      <c r="F108" s="58">
        <v>4783.2</v>
      </c>
      <c r="G108" s="58">
        <v>4783.2</v>
      </c>
      <c r="H108" s="58">
        <v>4783.2</v>
      </c>
      <c r="I108" s="58">
        <v>4783.2</v>
      </c>
      <c r="J108" s="58">
        <v>4783.2</v>
      </c>
      <c r="K108" s="58">
        <v>4783.2</v>
      </c>
      <c r="L108" s="58">
        <v>4783.2</v>
      </c>
      <c r="M108" s="58">
        <v>4783.2</v>
      </c>
      <c r="N108" s="58">
        <v>4783.2</v>
      </c>
      <c r="O108" s="58">
        <v>4783.2</v>
      </c>
      <c r="P108" s="58">
        <v>4783.2</v>
      </c>
      <c r="Q108" s="58">
        <f t="shared" si="55"/>
        <v>57398.399999999987</v>
      </c>
      <c r="R108" s="89">
        <f t="shared" si="48"/>
        <v>4783.1999999999989</v>
      </c>
      <c r="S108" s="15" t="s">
        <v>398</v>
      </c>
      <c r="T108" s="62" t="str">
        <f t="shared" si="52"/>
        <v/>
      </c>
      <c r="U108" s="62">
        <f t="shared" si="49"/>
        <v>-1.2676237689871891E-16</v>
      </c>
    </row>
    <row r="109" spans="1:24" ht="23.25" x14ac:dyDescent="0.25">
      <c r="A109" s="25"/>
      <c r="B109" s="15" t="s">
        <v>124</v>
      </c>
      <c r="C109" s="16">
        <v>57724.248000000007</v>
      </c>
      <c r="D109" s="57">
        <f t="shared" si="54"/>
        <v>4810.3540000000003</v>
      </c>
      <c r="E109" s="58">
        <v>3650</v>
      </c>
      <c r="F109" s="58">
        <v>3650</v>
      </c>
      <c r="G109" s="58">
        <v>3650</v>
      </c>
      <c r="H109" s="58">
        <v>3650</v>
      </c>
      <c r="I109" s="58">
        <v>3650</v>
      </c>
      <c r="J109" s="58">
        <v>3650</v>
      </c>
      <c r="K109" s="58">
        <v>3650</v>
      </c>
      <c r="L109" s="58">
        <v>3650</v>
      </c>
      <c r="M109" s="58">
        <v>3650</v>
      </c>
      <c r="N109" s="58">
        <v>3650</v>
      </c>
      <c r="O109" s="58">
        <v>3650</v>
      </c>
      <c r="P109" s="58">
        <v>3650</v>
      </c>
      <c r="Q109" s="58">
        <f t="shared" si="55"/>
        <v>43800</v>
      </c>
      <c r="R109" s="89">
        <f t="shared" si="48"/>
        <v>3650</v>
      </c>
      <c r="S109" s="15" t="s">
        <v>416</v>
      </c>
      <c r="T109" s="62" t="str">
        <f t="shared" si="52"/>
        <v/>
      </c>
      <c r="U109" s="62">
        <f t="shared" si="49"/>
        <v>-0.24122008484198884</v>
      </c>
    </row>
    <row r="110" spans="1:24" x14ac:dyDescent="0.25">
      <c r="A110" s="25"/>
      <c r="B110" s="15" t="s">
        <v>125</v>
      </c>
      <c r="C110" s="16">
        <v>3706.7999999999997</v>
      </c>
      <c r="D110" s="57">
        <f t="shared" si="54"/>
        <v>308.89999999999998</v>
      </c>
      <c r="E110" s="58">
        <v>350</v>
      </c>
      <c r="F110" s="58">
        <v>350</v>
      </c>
      <c r="G110" s="58">
        <v>350</v>
      </c>
      <c r="H110" s="58">
        <v>350</v>
      </c>
      <c r="I110" s="58">
        <v>350</v>
      </c>
      <c r="J110" s="58">
        <v>350</v>
      </c>
      <c r="K110" s="58">
        <v>350</v>
      </c>
      <c r="L110" s="58">
        <v>350</v>
      </c>
      <c r="M110" s="58">
        <v>350</v>
      </c>
      <c r="N110" s="58">
        <v>350</v>
      </c>
      <c r="O110" s="58">
        <v>350</v>
      </c>
      <c r="P110" s="58">
        <v>350</v>
      </c>
      <c r="Q110" s="58">
        <f t="shared" si="55"/>
        <v>4200</v>
      </c>
      <c r="R110" s="89">
        <f t="shared" si="48"/>
        <v>350</v>
      </c>
      <c r="S110" s="15" t="s">
        <v>398</v>
      </c>
      <c r="T110" s="62" t="str">
        <f t="shared" si="52"/>
        <v/>
      </c>
      <c r="U110" s="62">
        <f t="shared" si="49"/>
        <v>0.13305276788604734</v>
      </c>
    </row>
    <row r="111" spans="1:24" x14ac:dyDescent="0.25">
      <c r="A111" s="25"/>
      <c r="B111" s="15" t="s">
        <v>126</v>
      </c>
      <c r="C111" s="16">
        <v>9554.387999999999</v>
      </c>
      <c r="D111" s="57">
        <f t="shared" si="54"/>
        <v>796.19899999999996</v>
      </c>
      <c r="E111" s="58">
        <v>800</v>
      </c>
      <c r="F111" s="58">
        <v>800</v>
      </c>
      <c r="G111" s="58">
        <v>800</v>
      </c>
      <c r="H111" s="58">
        <v>800</v>
      </c>
      <c r="I111" s="58">
        <v>800</v>
      </c>
      <c r="J111" s="58">
        <v>800</v>
      </c>
      <c r="K111" s="58">
        <v>800</v>
      </c>
      <c r="L111" s="58">
        <v>800</v>
      </c>
      <c r="M111" s="58">
        <v>800</v>
      </c>
      <c r="N111" s="58">
        <v>800</v>
      </c>
      <c r="O111" s="58">
        <v>800</v>
      </c>
      <c r="P111" s="58">
        <v>800</v>
      </c>
      <c r="Q111" s="58">
        <f t="shared" si="55"/>
        <v>9600</v>
      </c>
      <c r="R111" s="89">
        <f t="shared" si="48"/>
        <v>800</v>
      </c>
      <c r="S111" s="15" t="s">
        <v>398</v>
      </c>
      <c r="T111" s="62" t="str">
        <f t="shared" si="52"/>
        <v/>
      </c>
      <c r="U111" s="62">
        <f t="shared" si="49"/>
        <v>4.7739321451045315E-3</v>
      </c>
    </row>
    <row r="112" spans="1:24" x14ac:dyDescent="0.25">
      <c r="A112" s="390"/>
      <c r="B112" s="15" t="s">
        <v>127</v>
      </c>
      <c r="C112" s="16">
        <v>38444.207999999999</v>
      </c>
      <c r="D112" s="57">
        <f t="shared" si="54"/>
        <v>3203.6839999999997</v>
      </c>
      <c r="E112" s="58">
        <v>6250</v>
      </c>
      <c r="F112" s="58">
        <v>6250</v>
      </c>
      <c r="G112" s="58">
        <v>6250</v>
      </c>
      <c r="H112" s="58">
        <v>6250</v>
      </c>
      <c r="I112" s="58">
        <v>6250</v>
      </c>
      <c r="J112" s="58">
        <v>6250</v>
      </c>
      <c r="K112" s="58">
        <v>6250</v>
      </c>
      <c r="L112" s="58">
        <v>6250</v>
      </c>
      <c r="M112" s="58">
        <v>6250</v>
      </c>
      <c r="N112" s="58">
        <v>6250</v>
      </c>
      <c r="O112" s="58">
        <v>6250</v>
      </c>
      <c r="P112" s="58">
        <v>6250</v>
      </c>
      <c r="Q112" s="58">
        <f t="shared" si="55"/>
        <v>75000</v>
      </c>
      <c r="R112" s="89">
        <f t="shared" si="48"/>
        <v>6250</v>
      </c>
      <c r="S112" s="15" t="s">
        <v>417</v>
      </c>
      <c r="T112" s="62" t="str">
        <f t="shared" si="52"/>
        <v/>
      </c>
      <c r="U112" s="62">
        <f t="shared" si="49"/>
        <v>0.95087905049311983</v>
      </c>
    </row>
    <row r="113" spans="1:21" x14ac:dyDescent="0.25">
      <c r="A113" s="391" t="s">
        <v>1</v>
      </c>
      <c r="B113" s="392" t="s">
        <v>128</v>
      </c>
      <c r="C113" s="393">
        <v>36917.730000000003</v>
      </c>
      <c r="D113" s="57">
        <f t="shared" si="54"/>
        <v>3076.4775000000004</v>
      </c>
      <c r="E113" s="58">
        <v>3100</v>
      </c>
      <c r="F113" s="58">
        <v>3100</v>
      </c>
      <c r="G113" s="58">
        <v>3100</v>
      </c>
      <c r="H113" s="58">
        <v>3100</v>
      </c>
      <c r="I113" s="58">
        <v>3100</v>
      </c>
      <c r="J113" s="58">
        <v>3100</v>
      </c>
      <c r="K113" s="58">
        <v>3100</v>
      </c>
      <c r="L113" s="58">
        <v>3100</v>
      </c>
      <c r="M113" s="58">
        <v>3100</v>
      </c>
      <c r="N113" s="58">
        <v>3100</v>
      </c>
      <c r="O113" s="58">
        <v>3100</v>
      </c>
      <c r="P113" s="58">
        <v>3100</v>
      </c>
      <c r="Q113" s="58">
        <f t="shared" si="55"/>
        <v>37200</v>
      </c>
      <c r="R113" s="89">
        <f t="shared" si="48"/>
        <v>3100</v>
      </c>
      <c r="S113" s="15" t="s">
        <v>398</v>
      </c>
      <c r="T113" s="62" t="str">
        <f t="shared" si="52"/>
        <v/>
      </c>
      <c r="U113" s="62">
        <f t="shared" si="49"/>
        <v>7.6459197247500527E-3</v>
      </c>
    </row>
    <row r="114" spans="1:21" x14ac:dyDescent="0.25">
      <c r="A114" s="25"/>
      <c r="B114" s="15" t="s">
        <v>129</v>
      </c>
      <c r="C114" s="394">
        <v>0</v>
      </c>
      <c r="D114" s="57">
        <f t="shared" si="54"/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f t="shared" si="55"/>
        <v>0</v>
      </c>
      <c r="R114" s="89">
        <f t="shared" si="48"/>
        <v>0</v>
      </c>
      <c r="S114" s="15" t="s">
        <v>398</v>
      </c>
      <c r="T114" s="62" t="str">
        <f t="shared" si="52"/>
        <v/>
      </c>
      <c r="U114" s="62">
        <f t="shared" si="49"/>
        <v>0</v>
      </c>
    </row>
    <row r="115" spans="1:21" x14ac:dyDescent="0.25">
      <c r="A115" s="25"/>
      <c r="B115" s="15" t="s">
        <v>130</v>
      </c>
      <c r="C115" s="16">
        <f>67240.4/10*12</f>
        <v>80688.479999999981</v>
      </c>
      <c r="D115" s="57">
        <f t="shared" si="54"/>
        <v>6724.0399999999981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f t="shared" si="55"/>
        <v>0</v>
      </c>
      <c r="R115" s="89">
        <f t="shared" si="48"/>
        <v>0</v>
      </c>
      <c r="S115" s="15" t="s">
        <v>418</v>
      </c>
      <c r="T115" s="62" t="str">
        <f t="shared" si="52"/>
        <v/>
      </c>
      <c r="U115" s="62">
        <f t="shared" si="49"/>
        <v>-1</v>
      </c>
    </row>
    <row r="116" spans="1:21" x14ac:dyDescent="0.25">
      <c r="A116" s="25"/>
      <c r="B116" s="15" t="s">
        <v>131</v>
      </c>
      <c r="C116" s="16">
        <v>29.208000000000002</v>
      </c>
      <c r="D116" s="57">
        <f t="shared" si="54"/>
        <v>2.4340000000000002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f t="shared" si="55"/>
        <v>0</v>
      </c>
      <c r="R116" s="89">
        <f t="shared" si="48"/>
        <v>0</v>
      </c>
      <c r="S116" s="15" t="s">
        <v>398</v>
      </c>
      <c r="T116" s="62" t="str">
        <f t="shared" si="52"/>
        <v/>
      </c>
      <c r="U116" s="62">
        <f t="shared" si="49"/>
        <v>-1</v>
      </c>
    </row>
    <row r="117" spans="1:21" x14ac:dyDescent="0.25">
      <c r="A117" s="25"/>
      <c r="B117" s="15" t="s">
        <v>132</v>
      </c>
      <c r="C117" s="388">
        <v>0</v>
      </c>
      <c r="D117" s="57">
        <f t="shared" si="54"/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f t="shared" si="55"/>
        <v>0</v>
      </c>
      <c r="R117" s="89">
        <f t="shared" si="48"/>
        <v>0</v>
      </c>
      <c r="S117" s="15" t="s">
        <v>398</v>
      </c>
      <c r="T117" s="62" t="str">
        <f t="shared" si="52"/>
        <v/>
      </c>
      <c r="U117" s="62">
        <f t="shared" si="49"/>
        <v>0</v>
      </c>
    </row>
    <row r="118" spans="1:21" x14ac:dyDescent="0.25">
      <c r="A118" s="25"/>
      <c r="B118" s="15" t="s">
        <v>133</v>
      </c>
      <c r="C118" s="16">
        <f>-5361.11/10*12</f>
        <v>-6433.3320000000003</v>
      </c>
      <c r="D118" s="57">
        <f t="shared" si="54"/>
        <v>-536.11099999999999</v>
      </c>
      <c r="E118" s="58">
        <v>-2600</v>
      </c>
      <c r="F118" s="58">
        <v>-2600</v>
      </c>
      <c r="G118" s="58">
        <v>-2600</v>
      </c>
      <c r="H118" s="58">
        <v>-2600</v>
      </c>
      <c r="I118" s="58">
        <v>-2600</v>
      </c>
      <c r="J118" s="58">
        <v>-2600</v>
      </c>
      <c r="K118" s="58">
        <v>-2600</v>
      </c>
      <c r="L118" s="58">
        <v>-2600</v>
      </c>
      <c r="M118" s="58">
        <v>-2600</v>
      </c>
      <c r="N118" s="58">
        <v>-2600</v>
      </c>
      <c r="O118" s="58">
        <v>-2600</v>
      </c>
      <c r="P118" s="58">
        <v>-2600</v>
      </c>
      <c r="Q118" s="58">
        <f t="shared" si="55"/>
        <v>-31200</v>
      </c>
      <c r="R118" s="89">
        <f t="shared" si="48"/>
        <v>-2600</v>
      </c>
      <c r="S118" s="15" t="s">
        <v>398</v>
      </c>
      <c r="T118" s="62" t="str">
        <f t="shared" si="52"/>
        <v/>
      </c>
      <c r="U118" s="62">
        <f t="shared" si="49"/>
        <v>3.8497419377703492</v>
      </c>
    </row>
    <row r="119" spans="1:21" x14ac:dyDescent="0.25">
      <c r="A119" s="25"/>
      <c r="B119" s="15" t="s">
        <v>134</v>
      </c>
      <c r="C119" s="16">
        <f>-283.63/10*12</f>
        <v>-340.35599999999999</v>
      </c>
      <c r="D119" s="57">
        <f t="shared" si="54"/>
        <v>-28.363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f>SUM(E119:P119)</f>
        <v>0</v>
      </c>
      <c r="R119" s="89">
        <f>AVERAGE(E119:P119)</f>
        <v>0</v>
      </c>
      <c r="S119" s="15" t="s">
        <v>400</v>
      </c>
      <c r="T119" s="62" t="str">
        <f t="shared" si="52"/>
        <v/>
      </c>
      <c r="U119" s="62">
        <f t="shared" si="49"/>
        <v>-1</v>
      </c>
    </row>
    <row r="120" spans="1:21" x14ac:dyDescent="0.25">
      <c r="A120" s="25"/>
      <c r="B120" s="15" t="s">
        <v>135</v>
      </c>
      <c r="C120" s="16">
        <f>-2500/10*12</f>
        <v>-3000</v>
      </c>
      <c r="D120" s="57">
        <f t="shared" si="54"/>
        <v>-250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f t="shared" si="55"/>
        <v>0</v>
      </c>
      <c r="R120" s="89">
        <f t="shared" si="48"/>
        <v>0</v>
      </c>
      <c r="S120" s="15" t="s">
        <v>398</v>
      </c>
      <c r="T120" s="62" t="str">
        <f t="shared" si="52"/>
        <v/>
      </c>
      <c r="U120" s="62">
        <f t="shared" si="49"/>
        <v>-1</v>
      </c>
    </row>
    <row r="121" spans="1:21" x14ac:dyDescent="0.25">
      <c r="A121" s="63" t="s">
        <v>136</v>
      </c>
      <c r="B121" s="15" t="s">
        <v>48</v>
      </c>
      <c r="C121" s="91">
        <f>SUM(C97:C120)</f>
        <v>520548.97799999983</v>
      </c>
      <c r="D121" s="92">
        <f t="shared" ref="D121" si="56">SUM(D97:D120)</f>
        <v>43379.081500000008</v>
      </c>
      <c r="E121" s="93">
        <f>SUM(E97:E120)</f>
        <v>30528.199999999997</v>
      </c>
      <c r="F121" s="93">
        <f t="shared" ref="F121:Q121" si="57">SUM(F97:F120)</f>
        <v>30528.199999999997</v>
      </c>
      <c r="G121" s="93">
        <f t="shared" si="57"/>
        <v>30528.199999999997</v>
      </c>
      <c r="H121" s="93">
        <f t="shared" si="57"/>
        <v>30528.199999999997</v>
      </c>
      <c r="I121" s="93">
        <f t="shared" si="57"/>
        <v>30528.199999999997</v>
      </c>
      <c r="J121" s="93">
        <f t="shared" si="57"/>
        <v>30528.199999999997</v>
      </c>
      <c r="K121" s="93">
        <f t="shared" si="57"/>
        <v>30528.199999999997</v>
      </c>
      <c r="L121" s="93">
        <f t="shared" si="57"/>
        <v>30528.199999999997</v>
      </c>
      <c r="M121" s="93">
        <f t="shared" si="57"/>
        <v>30528.199999999997</v>
      </c>
      <c r="N121" s="93">
        <f t="shared" si="57"/>
        <v>30528.199999999997</v>
      </c>
      <c r="O121" s="93">
        <f t="shared" si="57"/>
        <v>30528.199999999997</v>
      </c>
      <c r="P121" s="93">
        <f t="shared" si="57"/>
        <v>30528.199999999997</v>
      </c>
      <c r="Q121" s="93">
        <f t="shared" si="57"/>
        <v>366338.4</v>
      </c>
      <c r="R121" s="94">
        <f>AVERAGE(E121:P121)</f>
        <v>30528.200000000008</v>
      </c>
      <c r="T121" s="96" t="str">
        <f t="shared" si="52"/>
        <v/>
      </c>
      <c r="U121" s="96">
        <f t="shared" si="49"/>
        <v>-0.29624604891645728</v>
      </c>
    </row>
    <row r="122" spans="1:21" x14ac:dyDescent="0.25">
      <c r="A122" s="15" t="s">
        <v>137</v>
      </c>
      <c r="B122" s="15" t="s">
        <v>48</v>
      </c>
      <c r="C122" s="388" t="s">
        <v>1</v>
      </c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16">
        <v>194705.40000000002</v>
      </c>
      <c r="D123" s="57">
        <f>C123/12</f>
        <v>16225.450000000003</v>
      </c>
      <c r="E123" s="58">
        <v>13500</v>
      </c>
      <c r="F123" s="58">
        <v>13500</v>
      </c>
      <c r="G123" s="58">
        <v>13500</v>
      </c>
      <c r="H123" s="58">
        <v>13500</v>
      </c>
      <c r="I123" s="58">
        <v>13500</v>
      </c>
      <c r="J123" s="58">
        <v>13500</v>
      </c>
      <c r="K123" s="58">
        <v>13500</v>
      </c>
      <c r="L123" s="58">
        <v>13500</v>
      </c>
      <c r="M123" s="58">
        <v>13500</v>
      </c>
      <c r="N123" s="58">
        <v>13500</v>
      </c>
      <c r="O123" s="58">
        <v>13500</v>
      </c>
      <c r="P123" s="58">
        <v>13500</v>
      </c>
      <c r="Q123" s="58">
        <f>SUM(E123:P123)</f>
        <v>162000</v>
      </c>
      <c r="R123" s="89">
        <f t="shared" si="48"/>
        <v>13500</v>
      </c>
      <c r="S123" s="15" t="s">
        <v>419</v>
      </c>
      <c r="T123" s="62" t="str">
        <f t="shared" si="52"/>
        <v/>
      </c>
      <c r="U123" s="62">
        <f>IFERROR((Q123-C123)/C123,0)</f>
        <v>-0.16797376960269217</v>
      </c>
    </row>
    <row r="124" spans="1:21" x14ac:dyDescent="0.25">
      <c r="A124" s="63" t="s">
        <v>139</v>
      </c>
      <c r="B124" s="15" t="s">
        <v>48</v>
      </c>
      <c r="C124" s="91">
        <f>SUM(C123:C123)</f>
        <v>194705.40000000002</v>
      </c>
      <c r="D124" s="92">
        <f>SUM(D123:D123)</f>
        <v>16225.450000000003</v>
      </c>
      <c r="E124" s="93">
        <f>SUM(E123:E123)</f>
        <v>13500</v>
      </c>
      <c r="F124" s="93">
        <f t="shared" ref="F124:Q124" si="58">SUM(F123:F123)</f>
        <v>13500</v>
      </c>
      <c r="G124" s="93">
        <f t="shared" si="58"/>
        <v>13500</v>
      </c>
      <c r="H124" s="93">
        <f t="shared" si="58"/>
        <v>13500</v>
      </c>
      <c r="I124" s="93">
        <f t="shared" si="58"/>
        <v>13500</v>
      </c>
      <c r="J124" s="93">
        <f t="shared" si="58"/>
        <v>13500</v>
      </c>
      <c r="K124" s="93">
        <f t="shared" si="58"/>
        <v>13500</v>
      </c>
      <c r="L124" s="93">
        <f t="shared" si="58"/>
        <v>13500</v>
      </c>
      <c r="M124" s="93">
        <f t="shared" si="58"/>
        <v>13500</v>
      </c>
      <c r="N124" s="93">
        <f t="shared" si="58"/>
        <v>13500</v>
      </c>
      <c r="O124" s="93">
        <f t="shared" si="58"/>
        <v>13500</v>
      </c>
      <c r="P124" s="93">
        <f t="shared" si="58"/>
        <v>13500</v>
      </c>
      <c r="Q124" s="93">
        <f t="shared" si="58"/>
        <v>162000</v>
      </c>
      <c r="R124" s="94">
        <f t="shared" si="48"/>
        <v>13500</v>
      </c>
      <c r="T124" s="96" t="str">
        <f t="shared" si="52"/>
        <v/>
      </c>
      <c r="U124" s="96">
        <f t="shared" si="49"/>
        <v>-0.16797376960269217</v>
      </c>
    </row>
    <row r="125" spans="1:21" x14ac:dyDescent="0.25">
      <c r="A125" s="15" t="s">
        <v>140</v>
      </c>
      <c r="B125" s="15"/>
      <c r="C125" s="388" t="s">
        <v>1</v>
      </c>
      <c r="D125" s="138"/>
      <c r="E125" s="139"/>
      <c r="F125" s="139"/>
      <c r="G125" s="139"/>
      <c r="H125" s="395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387">
        <v>0</v>
      </c>
      <c r="D126" s="57">
        <f>C126/12</f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f>SUM(E126:P126)</f>
        <v>0</v>
      </c>
      <c r="R126" s="89">
        <f t="shared" si="48"/>
        <v>0</v>
      </c>
      <c r="S126" s="15" t="s">
        <v>420</v>
      </c>
      <c r="T126" s="62" t="str">
        <f t="shared" si="52"/>
        <v/>
      </c>
      <c r="U126" s="62">
        <f t="shared" si="49"/>
        <v>0</v>
      </c>
    </row>
    <row r="127" spans="1:21" ht="15.75" thickBot="1" x14ac:dyDescent="0.3">
      <c r="A127" s="63" t="s">
        <v>142</v>
      </c>
      <c r="B127" s="15"/>
      <c r="C127" s="396">
        <v>0</v>
      </c>
      <c r="D127" s="397">
        <f t="shared" ref="D127" si="59">SUM(D126:D126)</f>
        <v>0</v>
      </c>
      <c r="E127" s="398">
        <f>SUM(E126:E126)</f>
        <v>0</v>
      </c>
      <c r="F127" s="398">
        <f t="shared" ref="F127:Q127" si="60">SUM(F126:F126)</f>
        <v>0</v>
      </c>
      <c r="G127" s="398">
        <f t="shared" si="60"/>
        <v>0</v>
      </c>
      <c r="H127" s="398">
        <f t="shared" si="60"/>
        <v>0</v>
      </c>
      <c r="I127" s="398">
        <f t="shared" si="60"/>
        <v>0</v>
      </c>
      <c r="J127" s="398">
        <f t="shared" si="60"/>
        <v>0</v>
      </c>
      <c r="K127" s="398">
        <f t="shared" si="60"/>
        <v>0</v>
      </c>
      <c r="L127" s="398">
        <f t="shared" si="60"/>
        <v>0</v>
      </c>
      <c r="M127" s="398">
        <f t="shared" si="60"/>
        <v>0</v>
      </c>
      <c r="N127" s="398">
        <f t="shared" si="60"/>
        <v>0</v>
      </c>
      <c r="O127" s="398">
        <f t="shared" si="60"/>
        <v>0</v>
      </c>
      <c r="P127" s="398">
        <f t="shared" si="60"/>
        <v>0</v>
      </c>
      <c r="Q127" s="398">
        <f t="shared" si="60"/>
        <v>0</v>
      </c>
      <c r="R127" s="399">
        <f t="shared" si="48"/>
        <v>0</v>
      </c>
      <c r="T127" s="141" t="str">
        <f t="shared" si="52"/>
        <v/>
      </c>
      <c r="U127" s="141">
        <f t="shared" si="49"/>
        <v>0</v>
      </c>
    </row>
    <row r="128" spans="1:21" s="142" customFormat="1" ht="15.75" thickBot="1" x14ac:dyDescent="0.3">
      <c r="A128" s="63" t="s">
        <v>143</v>
      </c>
      <c r="B128" s="142" t="s">
        <v>48</v>
      </c>
      <c r="C128" s="143">
        <f>C124+C121+C90+C82+C73+C62+C48+C95+C76+C127+C134</f>
        <v>2902917.2220000001</v>
      </c>
      <c r="D128" s="144">
        <f t="shared" ref="D128:P128" si="61">D124+D121+D90+D82+D73+D62+D48+D95+D76+D127+D134</f>
        <v>241909.76850000001</v>
      </c>
      <c r="E128" s="145">
        <f>E124+E121+E90+E82+E73+E62+E48+E95+E76+E127+E134</f>
        <v>271549.48607538012</v>
      </c>
      <c r="F128" s="146">
        <f t="shared" si="61"/>
        <v>269312.19178364961</v>
      </c>
      <c r="G128" s="146">
        <f t="shared" si="61"/>
        <v>269532.07261913741</v>
      </c>
      <c r="H128" s="146">
        <f t="shared" si="61"/>
        <v>283484.03223312029</v>
      </c>
      <c r="I128" s="146">
        <f>I124+I121+I90+I82+I73+I62+I48+I95+I76+I127+I134</f>
        <v>293606.69219898887</v>
      </c>
      <c r="J128" s="146">
        <f t="shared" si="61"/>
        <v>272988.36464922514</v>
      </c>
      <c r="K128" s="146">
        <f t="shared" si="61"/>
        <v>308376.90998716681</v>
      </c>
      <c r="L128" s="146">
        <f t="shared" si="61"/>
        <v>301309.32996114739</v>
      </c>
      <c r="M128" s="146">
        <f t="shared" si="61"/>
        <v>291946.1869595116</v>
      </c>
      <c r="N128" s="146">
        <f t="shared" si="61"/>
        <v>312152.44713911181</v>
      </c>
      <c r="O128" s="146">
        <f t="shared" si="61"/>
        <v>292597.49582920637</v>
      </c>
      <c r="P128" s="146">
        <f t="shared" si="61"/>
        <v>302563.11248259706</v>
      </c>
      <c r="Q128" s="147">
        <f t="shared" ref="Q128" si="62">Q124+Q121+Q90+Q82+Q73+Q62+Q48+Q95+Q76+Q127</f>
        <v>3324167.3219182426</v>
      </c>
      <c r="R128" s="148">
        <f t="shared" si="48"/>
        <v>289118.1934931869</v>
      </c>
      <c r="T128" s="76" t="str">
        <f t="shared" si="52"/>
        <v/>
      </c>
      <c r="U128" s="76">
        <f t="shared" si="49"/>
        <v>0.14511268069435931</v>
      </c>
    </row>
    <row r="129" spans="1:21" ht="15.75" thickBot="1" x14ac:dyDescent="0.3">
      <c r="A129" s="78" t="s">
        <v>144</v>
      </c>
      <c r="B129" t="s">
        <v>48</v>
      </c>
      <c r="C129" s="149">
        <f>C34-C128+C102+C134</f>
        <v>-2696779.65</v>
      </c>
      <c r="D129" s="150">
        <f t="shared" ref="D129:P129" si="63">D34-D128+D102+D134</f>
        <v>-224731.63750000001</v>
      </c>
      <c r="E129" s="151">
        <f t="shared" si="63"/>
        <v>-254145.23607538012</v>
      </c>
      <c r="F129" s="152">
        <f t="shared" si="63"/>
        <v>-251907.94178364961</v>
      </c>
      <c r="G129" s="152">
        <f t="shared" si="63"/>
        <v>-252127.82261913741</v>
      </c>
      <c r="H129" s="152">
        <f t="shared" si="63"/>
        <v>-266079.78223312029</v>
      </c>
      <c r="I129" s="152">
        <f>I34-I128+I102+I134</f>
        <v>-276202.44219898887</v>
      </c>
      <c r="J129" s="152">
        <f t="shared" si="63"/>
        <v>-255584.11464922514</v>
      </c>
      <c r="K129" s="152">
        <f t="shared" si="63"/>
        <v>-290972.65998716681</v>
      </c>
      <c r="L129" s="152">
        <f t="shared" si="63"/>
        <v>-283905.07996114739</v>
      </c>
      <c r="M129" s="152">
        <f t="shared" si="63"/>
        <v>-274541.9369595116</v>
      </c>
      <c r="N129" s="152">
        <f t="shared" si="63"/>
        <v>-294748.19713911181</v>
      </c>
      <c r="O129" s="152">
        <f t="shared" si="63"/>
        <v>-275193.24582920637</v>
      </c>
      <c r="P129" s="152">
        <f t="shared" si="63"/>
        <v>-285158.86248259706</v>
      </c>
      <c r="Q129" s="153">
        <f t="shared" ref="Q129" si="64">Q34-Q128+Q102</f>
        <v>-3260567.3219182426</v>
      </c>
      <c r="R129" s="154">
        <f>AVERAGE(E129:P129)</f>
        <v>-271713.9434931869</v>
      </c>
      <c r="T129" s="31" t="str">
        <f t="shared" si="52"/>
        <v/>
      </c>
      <c r="U129" s="31">
        <f t="shared" si="49"/>
        <v>0.20905959888797096</v>
      </c>
    </row>
    <row r="130" spans="1:21" x14ac:dyDescent="0.25">
      <c r="A130" s="78" t="s">
        <v>145</v>
      </c>
      <c r="B130" t="s">
        <v>48</v>
      </c>
      <c r="C130" s="155">
        <f t="shared" ref="C130:Q130" si="65">IFERROR(C129/C34,0)</f>
        <v>0</v>
      </c>
      <c r="D130" s="156">
        <f t="shared" si="65"/>
        <v>0</v>
      </c>
      <c r="E130" s="157">
        <f t="shared" si="65"/>
        <v>0</v>
      </c>
      <c r="F130" s="158">
        <f t="shared" si="65"/>
        <v>0</v>
      </c>
      <c r="G130" s="158">
        <f t="shared" si="65"/>
        <v>0</v>
      </c>
      <c r="H130" s="158">
        <f t="shared" si="65"/>
        <v>0</v>
      </c>
      <c r="I130" s="158">
        <f t="shared" si="65"/>
        <v>0</v>
      </c>
      <c r="J130" s="158">
        <f t="shared" si="65"/>
        <v>0</v>
      </c>
      <c r="K130" s="158">
        <f t="shared" si="65"/>
        <v>0</v>
      </c>
      <c r="L130" s="158">
        <f t="shared" si="65"/>
        <v>0</v>
      </c>
      <c r="M130" s="158">
        <f t="shared" si="65"/>
        <v>0</v>
      </c>
      <c r="N130" s="158">
        <f t="shared" si="65"/>
        <v>0</v>
      </c>
      <c r="O130" s="158">
        <f t="shared" si="65"/>
        <v>0</v>
      </c>
      <c r="P130" s="158">
        <f t="shared" si="65"/>
        <v>0</v>
      </c>
      <c r="Q130" s="159">
        <f t="shared" si="65"/>
        <v>0</v>
      </c>
      <c r="R130" s="160">
        <f t="shared" si="48"/>
        <v>0</v>
      </c>
      <c r="T130" s="31"/>
      <c r="U130" s="31">
        <f>IFERROR((Q130-C130)/C130,0)</f>
        <v>0</v>
      </c>
    </row>
    <row r="131" spans="1:21" x14ac:dyDescent="0.25">
      <c r="A131" s="78" t="s">
        <v>146</v>
      </c>
      <c r="C131" s="161" t="s">
        <v>1</v>
      </c>
      <c r="D131" s="162" t="s">
        <v>1</v>
      </c>
      <c r="E131" s="163" t="s">
        <v>1</v>
      </c>
      <c r="F131" s="164" t="s">
        <v>1</v>
      </c>
      <c r="G131" s="164" t="s">
        <v>1</v>
      </c>
      <c r="H131" s="164" t="s">
        <v>1</v>
      </c>
      <c r="I131" s="164" t="s">
        <v>1</v>
      </c>
      <c r="J131" s="164" t="s">
        <v>1</v>
      </c>
      <c r="K131" s="164" t="s">
        <v>1</v>
      </c>
      <c r="L131" s="164" t="s">
        <v>1</v>
      </c>
      <c r="M131" s="164" t="s">
        <v>1</v>
      </c>
      <c r="N131" s="164" t="s">
        <v>1</v>
      </c>
      <c r="O131" s="164" t="s">
        <v>1</v>
      </c>
      <c r="P131" s="164" t="s">
        <v>1</v>
      </c>
      <c r="Q131" s="165"/>
      <c r="R131" s="166"/>
      <c r="T131" s="55"/>
      <c r="U131" s="55"/>
    </row>
    <row r="132" spans="1:21" x14ac:dyDescent="0.25">
      <c r="A132" s="78"/>
      <c r="B132" s="15" t="s">
        <v>147</v>
      </c>
      <c r="C132" s="167">
        <v>139584</v>
      </c>
      <c r="D132" s="168">
        <f>C132/12</f>
        <v>11632</v>
      </c>
      <c r="E132" s="400">
        <v>11632</v>
      </c>
      <c r="F132" s="400">
        <v>11632</v>
      </c>
      <c r="G132" s="400">
        <v>11632</v>
      </c>
      <c r="H132" s="400">
        <v>11632</v>
      </c>
      <c r="I132" s="400">
        <v>11632</v>
      </c>
      <c r="J132" s="400">
        <v>11632</v>
      </c>
      <c r="K132" s="400">
        <v>11632</v>
      </c>
      <c r="L132" s="400">
        <v>11632</v>
      </c>
      <c r="M132" s="400">
        <v>11632</v>
      </c>
      <c r="N132" s="400">
        <v>11632</v>
      </c>
      <c r="O132" s="400">
        <v>11632</v>
      </c>
      <c r="P132" s="400">
        <v>11632</v>
      </c>
      <c r="Q132" s="170">
        <f>SUM(E132:P132)</f>
        <v>139584</v>
      </c>
      <c r="R132" s="171">
        <f t="shared" si="48"/>
        <v>11632</v>
      </c>
      <c r="S132" s="15" t="s">
        <v>400</v>
      </c>
      <c r="T132" s="62" t="str">
        <f t="shared" ref="T132:T136" si="66">IFERROR(Q132/$Q$34,"")</f>
        <v/>
      </c>
      <c r="U132" s="62">
        <f t="shared" si="49"/>
        <v>0</v>
      </c>
    </row>
    <row r="133" spans="1:21" x14ac:dyDescent="0.25">
      <c r="A133" s="78"/>
      <c r="B133" s="15" t="s">
        <v>148</v>
      </c>
      <c r="C133" s="167">
        <v>5667</v>
      </c>
      <c r="D133" s="168">
        <f>C133/12</f>
        <v>472.25</v>
      </c>
      <c r="E133" s="400">
        <v>472.25</v>
      </c>
      <c r="F133" s="400">
        <v>472.25</v>
      </c>
      <c r="G133" s="400">
        <v>472.25</v>
      </c>
      <c r="H133" s="400">
        <v>472.25</v>
      </c>
      <c r="I133" s="400">
        <v>472.25</v>
      </c>
      <c r="J133" s="400">
        <v>472.25</v>
      </c>
      <c r="K133" s="400">
        <v>472.25</v>
      </c>
      <c r="L133" s="400">
        <v>472.25</v>
      </c>
      <c r="M133" s="400">
        <v>472.25</v>
      </c>
      <c r="N133" s="400">
        <v>472.25</v>
      </c>
      <c r="O133" s="400">
        <v>472.25</v>
      </c>
      <c r="P133" s="400">
        <v>472.25</v>
      </c>
      <c r="Q133" s="170">
        <f>SUM(E133:P133)</f>
        <v>5667</v>
      </c>
      <c r="R133" s="171">
        <f t="shared" si="48"/>
        <v>472.25</v>
      </c>
      <c r="S133" s="15" t="s">
        <v>400</v>
      </c>
      <c r="T133" s="62" t="str">
        <f t="shared" si="66"/>
        <v/>
      </c>
      <c r="U133" s="62">
        <f t="shared" si="49"/>
        <v>0</v>
      </c>
    </row>
    <row r="134" spans="1:21" ht="15.75" thickBot="1" x14ac:dyDescent="0.3">
      <c r="A134" s="63" t="s">
        <v>149</v>
      </c>
      <c r="C134" s="172">
        <f>SUM(C132:C133)</f>
        <v>145251</v>
      </c>
      <c r="D134" s="173">
        <f>SUM(D132:D133)</f>
        <v>12104.25</v>
      </c>
      <c r="E134" s="174">
        <f t="shared" ref="E134:P134" si="67">SUM(E132:E133)</f>
        <v>12104.25</v>
      </c>
      <c r="F134" s="175">
        <f t="shared" si="67"/>
        <v>12104.25</v>
      </c>
      <c r="G134" s="175">
        <f t="shared" si="67"/>
        <v>12104.25</v>
      </c>
      <c r="H134" s="175">
        <f t="shared" si="67"/>
        <v>12104.25</v>
      </c>
      <c r="I134" s="175">
        <f>SUM(I132:I133)</f>
        <v>12104.25</v>
      </c>
      <c r="J134" s="175">
        <f t="shared" si="67"/>
        <v>12104.25</v>
      </c>
      <c r="K134" s="175">
        <f t="shared" si="67"/>
        <v>12104.25</v>
      </c>
      <c r="L134" s="175">
        <f t="shared" si="67"/>
        <v>12104.25</v>
      </c>
      <c r="M134" s="175">
        <f t="shared" si="67"/>
        <v>12104.25</v>
      </c>
      <c r="N134" s="175">
        <f t="shared" si="67"/>
        <v>12104.25</v>
      </c>
      <c r="O134" s="175">
        <f t="shared" si="67"/>
        <v>12104.25</v>
      </c>
      <c r="P134" s="175">
        <f t="shared" si="67"/>
        <v>12104.25</v>
      </c>
      <c r="Q134" s="176">
        <f>SUM(Q132:Q133)</f>
        <v>145251</v>
      </c>
      <c r="R134" s="177">
        <f>AVERAGE(E134:P134)</f>
        <v>12104.25</v>
      </c>
      <c r="T134" s="141" t="str">
        <f t="shared" si="66"/>
        <v/>
      </c>
      <c r="U134" s="141">
        <f t="shared" si="49"/>
        <v>0</v>
      </c>
    </row>
    <row r="135" spans="1:21" ht="23.25" thickBot="1" x14ac:dyDescent="0.3">
      <c r="A135" s="63" t="s">
        <v>150</v>
      </c>
      <c r="C135" s="143">
        <f>C134+C128</f>
        <v>3048168.2220000001</v>
      </c>
      <c r="D135" s="144">
        <f t="shared" ref="D135:P135" si="68">D134+D128</f>
        <v>254014.01850000001</v>
      </c>
      <c r="E135" s="145">
        <f>E134+E128</f>
        <v>283653.73607538012</v>
      </c>
      <c r="F135" s="146">
        <f t="shared" si="68"/>
        <v>281416.44178364961</v>
      </c>
      <c r="G135" s="146">
        <f t="shared" si="68"/>
        <v>281636.32261913741</v>
      </c>
      <c r="H135" s="146">
        <f t="shared" si="68"/>
        <v>295588.28223312029</v>
      </c>
      <c r="I135" s="146">
        <f>I134+I128</f>
        <v>305710.94219898887</v>
      </c>
      <c r="J135" s="146">
        <f t="shared" si="68"/>
        <v>285092.61464922514</v>
      </c>
      <c r="K135" s="146">
        <f t="shared" si="68"/>
        <v>320481.15998716681</v>
      </c>
      <c r="L135" s="146">
        <f t="shared" si="68"/>
        <v>313413.57996114739</v>
      </c>
      <c r="M135" s="146">
        <f t="shared" si="68"/>
        <v>304050.4369595116</v>
      </c>
      <c r="N135" s="146">
        <f t="shared" si="68"/>
        <v>324256.69713911181</v>
      </c>
      <c r="O135" s="146">
        <f t="shared" si="68"/>
        <v>304701.74582920637</v>
      </c>
      <c r="P135" s="146">
        <f t="shared" si="68"/>
        <v>314667.36248259706</v>
      </c>
      <c r="Q135" s="147">
        <f>Q134+Q128</f>
        <v>3469418.3219182426</v>
      </c>
      <c r="R135" s="148">
        <f t="shared" si="48"/>
        <v>301222.4434931869</v>
      </c>
      <c r="T135" s="76" t="str">
        <f t="shared" si="66"/>
        <v/>
      </c>
      <c r="U135" s="76">
        <f t="shared" si="49"/>
        <v>0.13819778609260841</v>
      </c>
    </row>
    <row r="136" spans="1:21" ht="15.75" thickBot="1" x14ac:dyDescent="0.3">
      <c r="A136" s="78" t="s">
        <v>151</v>
      </c>
      <c r="C136" s="149">
        <f>C34-C135+C134</f>
        <v>-2902917.2220000001</v>
      </c>
      <c r="D136" s="150">
        <f t="shared" ref="D136" si="69">D34-D135</f>
        <v>-254014.01850000001</v>
      </c>
      <c r="E136" s="151">
        <f>E34-E135+E134</f>
        <v>-271549.48607538012</v>
      </c>
      <c r="F136" s="151">
        <f t="shared" ref="F136:P136" si="70">F34-F135+F134</f>
        <v>-269312.19178364961</v>
      </c>
      <c r="G136" s="151">
        <f t="shared" si="70"/>
        <v>-269532.07261913741</v>
      </c>
      <c r="H136" s="151">
        <f t="shared" si="70"/>
        <v>-283484.03223312029</v>
      </c>
      <c r="I136" s="151">
        <f t="shared" si="70"/>
        <v>-293606.69219898887</v>
      </c>
      <c r="J136" s="151">
        <f t="shared" si="70"/>
        <v>-272988.36464922514</v>
      </c>
      <c r="K136" s="151">
        <f t="shared" si="70"/>
        <v>-308376.90998716681</v>
      </c>
      <c r="L136" s="151">
        <f t="shared" si="70"/>
        <v>-301309.32996114739</v>
      </c>
      <c r="M136" s="151">
        <f t="shared" si="70"/>
        <v>-291946.1869595116</v>
      </c>
      <c r="N136" s="151">
        <f t="shared" si="70"/>
        <v>-312152.44713911181</v>
      </c>
      <c r="O136" s="151">
        <f t="shared" si="70"/>
        <v>-292597.49582920637</v>
      </c>
      <c r="P136" s="151">
        <f t="shared" si="70"/>
        <v>-302563.11248259706</v>
      </c>
      <c r="Q136" s="153">
        <f t="shared" ref="Q136" si="71">Q34-Q135</f>
        <v>-3469418.3219182426</v>
      </c>
      <c r="R136" s="154">
        <f>AVERAGE(E136:P136)</f>
        <v>-289118.1934931869</v>
      </c>
      <c r="T136" s="31" t="str">
        <f t="shared" si="66"/>
        <v/>
      </c>
      <c r="U136" s="31">
        <f t="shared" si="49"/>
        <v>0.195148899054016</v>
      </c>
    </row>
    <row r="137" spans="1:21" ht="15.75" thickBot="1" x14ac:dyDescent="0.3">
      <c r="A137" s="78" t="s">
        <v>152</v>
      </c>
      <c r="C137" s="178">
        <f t="shared" ref="C137:Q137" si="72">IFERROR(C136/C34,0)</f>
        <v>0</v>
      </c>
      <c r="D137" s="179">
        <f t="shared" si="72"/>
        <v>0</v>
      </c>
      <c r="E137" s="157">
        <f t="shared" si="72"/>
        <v>0</v>
      </c>
      <c r="F137" s="158">
        <f t="shared" si="72"/>
        <v>0</v>
      </c>
      <c r="G137" s="158">
        <f t="shared" si="72"/>
        <v>0</v>
      </c>
      <c r="H137" s="158">
        <f t="shared" si="72"/>
        <v>0</v>
      </c>
      <c r="I137" s="158">
        <f t="shared" si="72"/>
        <v>0</v>
      </c>
      <c r="J137" s="158">
        <f t="shared" si="72"/>
        <v>0</v>
      </c>
      <c r="K137" s="158">
        <f t="shared" si="72"/>
        <v>0</v>
      </c>
      <c r="L137" s="158">
        <f t="shared" si="72"/>
        <v>0</v>
      </c>
      <c r="M137" s="158">
        <f t="shared" si="72"/>
        <v>0</v>
      </c>
      <c r="N137" s="158">
        <f t="shared" si="72"/>
        <v>0</v>
      </c>
      <c r="O137" s="158">
        <f t="shared" si="72"/>
        <v>0</v>
      </c>
      <c r="P137" s="158">
        <f t="shared" si="72"/>
        <v>0</v>
      </c>
      <c r="Q137" s="159">
        <f t="shared" si="72"/>
        <v>0</v>
      </c>
      <c r="R137" s="180">
        <f t="shared" si="48"/>
        <v>0</v>
      </c>
      <c r="T137" s="181"/>
      <c r="U137" s="181">
        <f t="shared" si="49"/>
        <v>0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80E0-10FE-4C6E-A1BC-F8A3B232D65B}">
  <dimension ref="A1:X138"/>
  <sheetViews>
    <sheetView topLeftCell="B1" workbookViewId="0">
      <selection activeCell="I24" sqref="I24"/>
    </sheetView>
  </sheetViews>
  <sheetFormatPr defaultRowHeight="15" x14ac:dyDescent="0.25"/>
  <cols>
    <col min="1" max="1" width="35" hidden="1" customWidth="1"/>
    <col min="2" max="2" width="34.85546875" bestFit="1" customWidth="1"/>
    <col min="3" max="3" width="12.42578125" bestFit="1" customWidth="1"/>
    <col min="4" max="4" width="10.5703125" bestFit="1" customWidth="1"/>
    <col min="5" max="5" width="11.28515625" bestFit="1" customWidth="1"/>
    <col min="6" max="7" width="11" bestFit="1" customWidth="1"/>
    <col min="8" max="8" width="11.28515625" bestFit="1" customWidth="1"/>
    <col min="9" max="9" width="11" bestFit="1" customWidth="1"/>
    <col min="10" max="12" width="11.28515625" bestFit="1" customWidth="1"/>
    <col min="13" max="13" width="10.5703125" bestFit="1" customWidth="1"/>
    <col min="14" max="14" width="11.28515625" bestFit="1" customWidth="1"/>
    <col min="15" max="15" width="10.5703125" bestFit="1" customWidth="1"/>
    <col min="16" max="16" width="11.28515625" bestFit="1" customWidth="1"/>
    <col min="17" max="17" width="13" bestFit="1" customWidth="1"/>
    <col min="18" max="18" width="11.28515625" bestFit="1" customWidth="1"/>
    <col min="19" max="19" width="58.28515625" bestFit="1" customWidth="1"/>
    <col min="20" max="20" width="9.5703125" bestFit="1" customWidth="1"/>
    <col min="21" max="21" width="10.7109375" bestFit="1" customWidth="1"/>
    <col min="22" max="22" width="9.5703125" bestFit="1" customWidth="1"/>
    <col min="23" max="23" width="6.140625" bestFit="1" customWidth="1"/>
    <col min="24" max="24" width="5.85546875" bestFit="1" customWidth="1"/>
  </cols>
  <sheetData>
    <row r="1" spans="1:24" ht="18" x14ac:dyDescent="0.25">
      <c r="A1" s="403" t="s">
        <v>365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</row>
    <row r="2" spans="1:24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4" x14ac:dyDescent="0.25">
      <c r="A3" s="404" t="s">
        <v>2</v>
      </c>
      <c r="B3" s="404"/>
      <c r="C3" s="404"/>
      <c r="D3" s="404"/>
      <c r="E3" s="404"/>
      <c r="F3" s="404"/>
      <c r="G3" s="404"/>
      <c r="H3" s="404"/>
      <c r="I3" s="404"/>
      <c r="J3" s="404"/>
      <c r="K3" s="404"/>
      <c r="L3" s="404"/>
      <c r="M3" s="404"/>
      <c r="N3" s="404"/>
      <c r="O3" s="404"/>
      <c r="P3" s="404"/>
      <c r="Q3" s="404"/>
    </row>
    <row r="4" spans="1:24" x14ac:dyDescent="0.25">
      <c r="E4" s="1">
        <v>31</v>
      </c>
      <c r="F4" s="1">
        <v>29</v>
      </c>
      <c r="G4" s="1">
        <v>31</v>
      </c>
      <c r="H4" s="1">
        <v>30</v>
      </c>
      <c r="I4" s="1">
        <v>31</v>
      </c>
      <c r="J4" s="1">
        <v>30</v>
      </c>
      <c r="K4" s="1">
        <v>31</v>
      </c>
      <c r="L4" s="1">
        <v>31</v>
      </c>
      <c r="M4" s="1">
        <v>30</v>
      </c>
      <c r="N4" s="1">
        <v>31</v>
      </c>
      <c r="O4" s="1">
        <v>30</v>
      </c>
      <c r="P4" s="1">
        <v>31</v>
      </c>
    </row>
    <row r="5" spans="1:24" s="6" customFormat="1" ht="15.75" thickBot="1" x14ac:dyDescent="0.3">
      <c r="A5" s="2"/>
      <c r="B5" s="2"/>
      <c r="C5" s="3"/>
      <c r="D5" s="3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4" ht="36.75" x14ac:dyDescent="0.25">
      <c r="A6" s="7"/>
      <c r="B6" s="8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S6" s="14"/>
      <c r="T6" s="13" t="s">
        <v>19</v>
      </c>
      <c r="U6" s="13" t="s">
        <v>20</v>
      </c>
    </row>
    <row r="7" spans="1:24" x14ac:dyDescent="0.25">
      <c r="A7" s="15" t="s">
        <v>21</v>
      </c>
      <c r="B7" s="15" t="s">
        <v>22</v>
      </c>
      <c r="C7" s="16">
        <v>9.58</v>
      </c>
      <c r="D7" s="17">
        <f>C7/10</f>
        <v>0.95799999999999996</v>
      </c>
      <c r="E7" s="18">
        <v>2</v>
      </c>
      <c r="F7" s="18">
        <v>2</v>
      </c>
      <c r="G7" s="18">
        <v>3</v>
      </c>
      <c r="H7" s="18">
        <v>3</v>
      </c>
      <c r="I7" s="18">
        <v>2</v>
      </c>
      <c r="J7" s="18">
        <v>2</v>
      </c>
      <c r="K7" s="18">
        <v>2</v>
      </c>
      <c r="L7" s="18">
        <v>2</v>
      </c>
      <c r="M7" s="18">
        <v>2</v>
      </c>
      <c r="N7" s="18">
        <v>3</v>
      </c>
      <c r="O7" s="18">
        <v>3</v>
      </c>
      <c r="P7" s="18">
        <v>3</v>
      </c>
      <c r="Q7" s="19">
        <f t="shared" ref="Q7:Q13" si="0">SUM(E7:P7)</f>
        <v>29</v>
      </c>
      <c r="R7" s="20">
        <f>AVERAGE(E7:P7)</f>
        <v>2.4166666666666665</v>
      </c>
      <c r="S7" s="15"/>
      <c r="T7" s="21"/>
      <c r="U7" s="22">
        <f>IFERROR((Q7-C7)/C7,0)</f>
        <v>2.0271398747390399</v>
      </c>
    </row>
    <row r="8" spans="1:24" x14ac:dyDescent="0.25">
      <c r="A8" s="25"/>
      <c r="B8" s="15" t="s">
        <v>23</v>
      </c>
      <c r="C8" s="16">
        <v>65.25</v>
      </c>
      <c r="D8" s="17">
        <f t="shared" ref="D8:D10" si="1">C8/10</f>
        <v>6.5250000000000004</v>
      </c>
      <c r="E8" s="18">
        <v>14</v>
      </c>
      <c r="F8" s="18">
        <v>14</v>
      </c>
      <c r="G8" s="18">
        <v>15</v>
      </c>
      <c r="H8" s="18">
        <v>15</v>
      </c>
      <c r="I8" s="18">
        <v>14</v>
      </c>
      <c r="J8" s="18">
        <v>14</v>
      </c>
      <c r="K8" s="18">
        <v>14</v>
      </c>
      <c r="L8" s="18">
        <v>14</v>
      </c>
      <c r="M8" s="18">
        <v>14</v>
      </c>
      <c r="N8" s="18">
        <v>15</v>
      </c>
      <c r="O8" s="18">
        <v>15</v>
      </c>
      <c r="P8" s="18">
        <v>15</v>
      </c>
      <c r="Q8" s="19">
        <f t="shared" si="0"/>
        <v>173</v>
      </c>
      <c r="R8" s="20">
        <f t="shared" ref="R8:R87" si="2">AVERAGE(E8:P8)</f>
        <v>14.416666666666666</v>
      </c>
      <c r="S8" s="15"/>
      <c r="T8" s="21"/>
      <c r="U8" s="22">
        <f t="shared" ref="U8:U13" si="3">IFERROR((Q8-C8)/C8,0)</f>
        <v>1.6513409961685823</v>
      </c>
    </row>
    <row r="9" spans="1:24" x14ac:dyDescent="0.25">
      <c r="A9" s="25"/>
      <c r="B9" s="15" t="s">
        <v>24</v>
      </c>
      <c r="C9" s="16">
        <f>10.75+4.14</f>
        <v>14.89</v>
      </c>
      <c r="D9" s="17">
        <f t="shared" si="1"/>
        <v>1.4890000000000001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3</v>
      </c>
      <c r="L9" s="18">
        <v>3</v>
      </c>
      <c r="M9" s="18">
        <v>3</v>
      </c>
      <c r="N9" s="18">
        <v>3</v>
      </c>
      <c r="O9" s="18">
        <v>3</v>
      </c>
      <c r="P9" s="18">
        <v>3</v>
      </c>
      <c r="Q9" s="19">
        <f t="shared" si="0"/>
        <v>30</v>
      </c>
      <c r="R9" s="20">
        <f t="shared" si="2"/>
        <v>2.5</v>
      </c>
      <c r="S9" s="15"/>
      <c r="T9" s="21"/>
      <c r="U9" s="22">
        <f t="shared" si="3"/>
        <v>1.0147750167897918</v>
      </c>
    </row>
    <row r="10" spans="1:24" x14ac:dyDescent="0.25">
      <c r="A10" s="15"/>
      <c r="B10" s="15" t="s">
        <v>25</v>
      </c>
      <c r="C10" s="16">
        <v>28.89</v>
      </c>
      <c r="D10" s="17">
        <f t="shared" si="1"/>
        <v>2.8890000000000002</v>
      </c>
      <c r="E10" s="18">
        <v>6</v>
      </c>
      <c r="F10" s="18">
        <v>6</v>
      </c>
      <c r="G10" s="18">
        <v>8</v>
      </c>
      <c r="H10" s="18">
        <v>8</v>
      </c>
      <c r="I10" s="18">
        <v>8</v>
      </c>
      <c r="J10" s="18">
        <v>8</v>
      </c>
      <c r="K10" s="18">
        <v>8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9">
        <f t="shared" si="0"/>
        <v>102</v>
      </c>
      <c r="R10" s="20">
        <f t="shared" si="2"/>
        <v>8.5</v>
      </c>
      <c r="S10" s="15"/>
      <c r="T10" s="21"/>
      <c r="U10" s="22">
        <f t="shared" si="3"/>
        <v>2.5306334371754931</v>
      </c>
    </row>
    <row r="11" spans="1:24" x14ac:dyDescent="0.25">
      <c r="A11" s="15"/>
      <c r="B11" s="15" t="s">
        <v>26</v>
      </c>
      <c r="C11" s="16">
        <v>0</v>
      </c>
      <c r="D11" s="17">
        <f t="shared" ref="D11:D13" si="4">C11/9</f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9">
        <f t="shared" si="0"/>
        <v>0</v>
      </c>
      <c r="R11" s="20">
        <f t="shared" si="2"/>
        <v>0</v>
      </c>
      <c r="S11" s="15"/>
      <c r="T11" s="21"/>
      <c r="U11" s="22">
        <f t="shared" si="3"/>
        <v>0</v>
      </c>
    </row>
    <row r="12" spans="1:24" x14ac:dyDescent="0.25">
      <c r="A12" s="15"/>
      <c r="B12" s="15" t="s">
        <v>27</v>
      </c>
      <c r="C12" s="16">
        <v>0</v>
      </c>
      <c r="D12" s="17">
        <f t="shared" si="4"/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9">
        <f>SUM(E12:P12)</f>
        <v>0</v>
      </c>
      <c r="R12" s="20">
        <f>AVERAGE(E12:P12)</f>
        <v>0</v>
      </c>
      <c r="S12" s="15"/>
      <c r="T12" s="21"/>
      <c r="U12" s="22">
        <f t="shared" si="3"/>
        <v>0</v>
      </c>
    </row>
    <row r="13" spans="1:24" x14ac:dyDescent="0.25">
      <c r="A13" s="15"/>
      <c r="B13" s="15" t="s">
        <v>28</v>
      </c>
      <c r="C13" s="16">
        <v>0</v>
      </c>
      <c r="D13" s="17">
        <f t="shared" si="4"/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9">
        <f t="shared" si="0"/>
        <v>0</v>
      </c>
      <c r="R13" s="20">
        <f t="shared" si="2"/>
        <v>0</v>
      </c>
      <c r="S13" s="15"/>
      <c r="T13" s="21"/>
      <c r="U13" s="22">
        <f t="shared" si="3"/>
        <v>0</v>
      </c>
    </row>
    <row r="14" spans="1:24" x14ac:dyDescent="0.25">
      <c r="A14" s="25"/>
      <c r="B14" s="15" t="s">
        <v>29</v>
      </c>
      <c r="C14" s="26">
        <f>SUM(C7:C13)</f>
        <v>118.61</v>
      </c>
      <c r="D14" s="27">
        <f t="shared" ref="D14" si="5">SUM(D7:D13)</f>
        <v>11.861000000000001</v>
      </c>
      <c r="E14" s="28">
        <f>SUM(E7:E13)</f>
        <v>24</v>
      </c>
      <c r="F14" s="28">
        <f>SUM(F7:F13)</f>
        <v>24</v>
      </c>
      <c r="G14" s="28">
        <f t="shared" ref="G14:Q14" si="6">SUM(G7:G13)</f>
        <v>28</v>
      </c>
      <c r="H14" s="28">
        <f t="shared" si="6"/>
        <v>28</v>
      </c>
      <c r="I14" s="28">
        <f t="shared" si="6"/>
        <v>26</v>
      </c>
      <c r="J14" s="28">
        <f t="shared" si="6"/>
        <v>26</v>
      </c>
      <c r="K14" s="28">
        <f t="shared" si="6"/>
        <v>27</v>
      </c>
      <c r="L14" s="28">
        <f t="shared" si="6"/>
        <v>29</v>
      </c>
      <c r="M14" s="28">
        <f t="shared" si="6"/>
        <v>29</v>
      </c>
      <c r="N14" s="28">
        <f t="shared" si="6"/>
        <v>31</v>
      </c>
      <c r="O14" s="28">
        <f t="shared" si="6"/>
        <v>31</v>
      </c>
      <c r="P14" s="28">
        <f t="shared" si="6"/>
        <v>31</v>
      </c>
      <c r="Q14" s="28">
        <f t="shared" si="6"/>
        <v>334</v>
      </c>
      <c r="R14" s="29">
        <f>AVERAGE(E14:P14)</f>
        <v>27.833333333333332</v>
      </c>
      <c r="T14" s="30"/>
      <c r="U14" s="31">
        <f>IFERROR((Q14-C14)/C14,0)</f>
        <v>1.8159514374841919</v>
      </c>
      <c r="W14" s="23"/>
      <c r="X14" s="24" t="s">
        <v>1</v>
      </c>
    </row>
    <row r="15" spans="1:24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  <c r="W15" s="23"/>
    </row>
    <row r="16" spans="1:24" s="44" customFormat="1" ht="12" x14ac:dyDescent="0.2">
      <c r="A16" s="15" t="s">
        <v>30</v>
      </c>
      <c r="B16" s="15" t="s">
        <v>31</v>
      </c>
      <c r="C16" s="40"/>
      <c r="D16" s="41"/>
      <c r="E16" s="42">
        <v>620</v>
      </c>
      <c r="F16" s="42">
        <v>620</v>
      </c>
      <c r="G16" s="42">
        <v>620</v>
      </c>
      <c r="H16" s="42">
        <v>620</v>
      </c>
      <c r="I16" s="42">
        <v>620</v>
      </c>
      <c r="J16" s="42">
        <v>620</v>
      </c>
      <c r="K16" s="42">
        <v>620</v>
      </c>
      <c r="L16" s="42">
        <v>620</v>
      </c>
      <c r="M16" s="42">
        <v>620</v>
      </c>
      <c r="N16" s="42">
        <v>620</v>
      </c>
      <c r="O16" s="42">
        <v>620</v>
      </c>
      <c r="P16" s="42">
        <v>620</v>
      </c>
      <c r="Q16" s="42">
        <f>AVERAGE(E16:E16)</f>
        <v>620</v>
      </c>
      <c r="R16" s="43">
        <f t="shared" si="2"/>
        <v>620</v>
      </c>
      <c r="S16" s="15"/>
      <c r="T16" s="21"/>
      <c r="U16" s="22" t="str">
        <f t="shared" ref="U16:U21" si="7">IFERROR((Q16-C16)/C16,"")</f>
        <v/>
      </c>
      <c r="W16" s="45"/>
    </row>
    <row r="17" spans="1:23" s="44" customFormat="1" ht="12" x14ac:dyDescent="0.2">
      <c r="B17" s="15" t="s">
        <v>32</v>
      </c>
      <c r="C17" s="40"/>
      <c r="D17" s="41"/>
      <c r="E17" s="42">
        <v>440</v>
      </c>
      <c r="F17" s="42">
        <v>440</v>
      </c>
      <c r="G17" s="42">
        <v>440</v>
      </c>
      <c r="H17" s="42">
        <v>440</v>
      </c>
      <c r="I17" s="42">
        <v>440</v>
      </c>
      <c r="J17" s="42">
        <v>440</v>
      </c>
      <c r="K17" s="42">
        <v>440</v>
      </c>
      <c r="L17" s="42">
        <v>440</v>
      </c>
      <c r="M17" s="42">
        <v>440</v>
      </c>
      <c r="N17" s="42">
        <v>440</v>
      </c>
      <c r="O17" s="42">
        <v>440</v>
      </c>
      <c r="P17" s="42">
        <v>440</v>
      </c>
      <c r="Q17" s="42">
        <f>AVERAGE(E17:P17)</f>
        <v>440</v>
      </c>
      <c r="R17" s="43">
        <f t="shared" si="2"/>
        <v>440</v>
      </c>
      <c r="S17" s="15"/>
      <c r="T17" s="21"/>
      <c r="U17" s="22" t="str">
        <f t="shared" si="7"/>
        <v/>
      </c>
      <c r="W17" s="45"/>
    </row>
    <row r="18" spans="1:23" s="44" customFormat="1" ht="12" x14ac:dyDescent="0.2">
      <c r="B18" s="15" t="s">
        <v>33</v>
      </c>
      <c r="C18" s="40"/>
      <c r="D18" s="41"/>
      <c r="E18" s="42">
        <v>290</v>
      </c>
      <c r="F18" s="42">
        <v>290</v>
      </c>
      <c r="G18" s="42">
        <v>290</v>
      </c>
      <c r="H18" s="42">
        <v>290</v>
      </c>
      <c r="I18" s="42">
        <v>290</v>
      </c>
      <c r="J18" s="42">
        <v>290</v>
      </c>
      <c r="K18" s="42">
        <v>290</v>
      </c>
      <c r="L18" s="42">
        <v>290</v>
      </c>
      <c r="M18" s="42">
        <v>290</v>
      </c>
      <c r="N18" s="42">
        <v>290</v>
      </c>
      <c r="O18" s="42">
        <v>290</v>
      </c>
      <c r="P18" s="42">
        <v>290</v>
      </c>
      <c r="Q18" s="42">
        <f>AVERAGE(E18:P18)</f>
        <v>290</v>
      </c>
      <c r="R18" s="43">
        <f t="shared" si="2"/>
        <v>290</v>
      </c>
      <c r="S18" s="15"/>
      <c r="T18" s="21"/>
      <c r="U18" s="22" t="str">
        <f t="shared" si="7"/>
        <v/>
      </c>
      <c r="W18" s="45"/>
    </row>
    <row r="19" spans="1:23" s="44" customFormat="1" ht="12" x14ac:dyDescent="0.2">
      <c r="B19" s="15" t="s">
        <v>34</v>
      </c>
      <c r="C19" s="40"/>
      <c r="D19" s="41"/>
      <c r="E19" s="42">
        <v>190</v>
      </c>
      <c r="F19" s="42">
        <v>190</v>
      </c>
      <c r="G19" s="42">
        <v>190</v>
      </c>
      <c r="H19" s="42">
        <v>190</v>
      </c>
      <c r="I19" s="42">
        <v>190</v>
      </c>
      <c r="J19" s="42">
        <v>190</v>
      </c>
      <c r="K19" s="42">
        <v>190</v>
      </c>
      <c r="L19" s="42">
        <v>190</v>
      </c>
      <c r="M19" s="42">
        <v>190</v>
      </c>
      <c r="N19" s="42">
        <v>190</v>
      </c>
      <c r="O19" s="42">
        <v>190</v>
      </c>
      <c r="P19" s="42">
        <v>190</v>
      </c>
      <c r="Q19" s="42">
        <f>AVERAGE(E19:P19)</f>
        <v>190</v>
      </c>
      <c r="R19" s="43">
        <f t="shared" si="2"/>
        <v>190</v>
      </c>
      <c r="S19" s="15"/>
      <c r="T19" s="21"/>
      <c r="U19" s="22" t="str">
        <f t="shared" si="7"/>
        <v/>
      </c>
      <c r="W19" s="45"/>
    </row>
    <row r="20" spans="1:23" s="44" customFormat="1" ht="12" x14ac:dyDescent="0.2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 t="shared" si="2"/>
        <v>0</v>
      </c>
      <c r="S20" s="15"/>
      <c r="T20" s="21"/>
      <c r="U20" s="22" t="str">
        <f t="shared" si="7"/>
        <v/>
      </c>
      <c r="W20" s="45"/>
    </row>
    <row r="21" spans="1:23" s="44" customFormat="1" ht="12" x14ac:dyDescent="0.2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 t="shared" si="2"/>
        <v>0</v>
      </c>
      <c r="S21" s="15"/>
      <c r="T21" s="21"/>
      <c r="U21" s="22" t="str">
        <f t="shared" si="7"/>
        <v/>
      </c>
    </row>
    <row r="22" spans="1:23" s="44" customFormat="1" ht="12" x14ac:dyDescent="0.2">
      <c r="B22" s="15"/>
      <c r="C22" s="46"/>
      <c r="D22" s="47"/>
      <c r="E22" s="42"/>
      <c r="R22" s="48"/>
      <c r="S22" s="49"/>
      <c r="T22" s="50"/>
      <c r="U22" s="50"/>
    </row>
    <row r="23" spans="1:23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3" x14ac:dyDescent="0.25">
      <c r="A24" s="25"/>
      <c r="B24" s="15" t="s">
        <v>38</v>
      </c>
      <c r="C24" s="56">
        <v>1307561.8400000001</v>
      </c>
      <c r="D24" s="57">
        <f t="shared" ref="D24:D28" si="8">C24/12</f>
        <v>108963.48666666668</v>
      </c>
      <c r="E24" s="58">
        <f>((E7*E16)+(E8*E17))*E4</f>
        <v>229400</v>
      </c>
      <c r="F24" s="58">
        <f t="shared" ref="F24:P24" si="9">((F7*F16)+(F8*F17))*F4</f>
        <v>214600</v>
      </c>
      <c r="G24" s="58">
        <f t="shared" si="9"/>
        <v>262260</v>
      </c>
      <c r="H24" s="58">
        <f t="shared" si="9"/>
        <v>253800</v>
      </c>
      <c r="I24" s="58">
        <f t="shared" si="9"/>
        <v>229400</v>
      </c>
      <c r="J24" s="58">
        <f t="shared" si="9"/>
        <v>222000</v>
      </c>
      <c r="K24" s="58">
        <f t="shared" si="9"/>
        <v>229400</v>
      </c>
      <c r="L24" s="58">
        <f t="shared" si="9"/>
        <v>229400</v>
      </c>
      <c r="M24" s="58">
        <f t="shared" si="9"/>
        <v>222000</v>
      </c>
      <c r="N24" s="58">
        <f t="shared" si="9"/>
        <v>262260</v>
      </c>
      <c r="O24" s="58">
        <f t="shared" si="9"/>
        <v>253800</v>
      </c>
      <c r="P24" s="58">
        <f t="shared" si="9"/>
        <v>262260</v>
      </c>
      <c r="Q24" s="59">
        <f>SUM(E24:P24)</f>
        <v>2870580</v>
      </c>
      <c r="R24" s="60">
        <f t="shared" si="2"/>
        <v>239215</v>
      </c>
      <c r="S24" s="15"/>
      <c r="T24" s="61"/>
      <c r="U24" s="62">
        <f>IFERROR((Q24-C24)/C24,0)</f>
        <v>1.195368442382809</v>
      </c>
      <c r="V24" s="15"/>
    </row>
    <row r="25" spans="1:23" x14ac:dyDescent="0.25">
      <c r="A25" s="25"/>
      <c r="B25" s="15" t="s">
        <v>39</v>
      </c>
      <c r="C25" s="56">
        <v>209430.18</v>
      </c>
      <c r="D25" s="57">
        <f t="shared" si="8"/>
        <v>17452.514999999999</v>
      </c>
      <c r="E25" s="58">
        <f>(((E9*E18)*21.75)+(((E10*E19)*13.08)+(((E11*E20)*4.33))))</f>
        <v>27526.2</v>
      </c>
      <c r="F25" s="58">
        <f t="shared" ref="F25:P25" si="10">(((F9*F18)*21.75)+(((F10*F19)*13.08)+(((F11*F20)*4.33))))</f>
        <v>27526.2</v>
      </c>
      <c r="G25" s="58">
        <f t="shared" si="10"/>
        <v>32496.6</v>
      </c>
      <c r="H25" s="58">
        <f t="shared" si="10"/>
        <v>32496.6</v>
      </c>
      <c r="I25" s="58">
        <f t="shared" si="10"/>
        <v>32496.6</v>
      </c>
      <c r="J25" s="58">
        <f t="shared" si="10"/>
        <v>32496.6</v>
      </c>
      <c r="K25" s="58">
        <f t="shared" si="10"/>
        <v>38804.1</v>
      </c>
      <c r="L25" s="58">
        <f t="shared" si="10"/>
        <v>43774.5</v>
      </c>
      <c r="M25" s="58">
        <f t="shared" si="10"/>
        <v>43774.5</v>
      </c>
      <c r="N25" s="58">
        <f t="shared" si="10"/>
        <v>43774.5</v>
      </c>
      <c r="O25" s="58">
        <f t="shared" si="10"/>
        <v>43774.5</v>
      </c>
      <c r="P25" s="58">
        <f t="shared" si="10"/>
        <v>43774.5</v>
      </c>
      <c r="Q25" s="59">
        <f>SUM(E25:P25)</f>
        <v>442715.4</v>
      </c>
      <c r="R25" s="60">
        <f t="shared" si="2"/>
        <v>36892.950000000004</v>
      </c>
      <c r="S25" s="15"/>
      <c r="T25" s="61"/>
      <c r="U25" s="62">
        <f t="shared" ref="U25:U88" si="11">IFERROR((Q25-C25)/C25,0)</f>
        <v>1.1139045002969488</v>
      </c>
      <c r="V25" s="15"/>
    </row>
    <row r="26" spans="1:23" x14ac:dyDescent="0.25">
      <c r="A26" s="25"/>
      <c r="B26" s="15" t="s">
        <v>40</v>
      </c>
      <c r="C26" s="56">
        <v>0</v>
      </c>
      <c r="D26" s="57">
        <f t="shared" si="8"/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9">
        <f>SUM(E26:P26)</f>
        <v>0</v>
      </c>
      <c r="R26" s="60">
        <f>AVERAGE(E26:P26)</f>
        <v>0</v>
      </c>
      <c r="S26" s="15"/>
      <c r="T26" s="61"/>
      <c r="U26" s="62">
        <f t="shared" si="11"/>
        <v>0</v>
      </c>
      <c r="V26" s="15"/>
    </row>
    <row r="27" spans="1:23" x14ac:dyDescent="0.25">
      <c r="A27" s="25"/>
      <c r="B27" s="15" t="s">
        <v>41</v>
      </c>
      <c r="C27" s="56">
        <v>0</v>
      </c>
      <c r="D27" s="57">
        <f t="shared" si="8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9">
        <f>SUM(E27:P27)</f>
        <v>0</v>
      </c>
      <c r="R27" s="60">
        <f t="shared" si="2"/>
        <v>0</v>
      </c>
      <c r="S27" s="15"/>
      <c r="T27" s="61"/>
      <c r="U27" s="62">
        <f t="shared" si="11"/>
        <v>0</v>
      </c>
      <c r="V27" s="15"/>
    </row>
    <row r="28" spans="1:23" x14ac:dyDescent="0.25">
      <c r="A28" s="25"/>
      <c r="B28" s="15" t="s">
        <v>42</v>
      </c>
      <c r="C28" s="56">
        <v>0</v>
      </c>
      <c r="D28" s="57">
        <f t="shared" si="8"/>
        <v>0</v>
      </c>
      <c r="E28" s="58">
        <f>E14*E22*E5</f>
        <v>0</v>
      </c>
      <c r="F28" s="58">
        <f t="shared" ref="F28:P28" si="12">F14*F22*F5</f>
        <v>0</v>
      </c>
      <c r="G28" s="58">
        <f t="shared" si="12"/>
        <v>0</v>
      </c>
      <c r="H28" s="58">
        <f t="shared" si="12"/>
        <v>0</v>
      </c>
      <c r="I28" s="58">
        <f t="shared" si="12"/>
        <v>0</v>
      </c>
      <c r="J28" s="58">
        <f t="shared" si="12"/>
        <v>0</v>
      </c>
      <c r="K28" s="58">
        <f t="shared" si="12"/>
        <v>0</v>
      </c>
      <c r="L28" s="58">
        <f t="shared" si="12"/>
        <v>0</v>
      </c>
      <c r="M28" s="58">
        <f t="shared" si="12"/>
        <v>0</v>
      </c>
      <c r="N28" s="58">
        <f t="shared" si="12"/>
        <v>0</v>
      </c>
      <c r="O28" s="58">
        <f t="shared" si="12"/>
        <v>0</v>
      </c>
      <c r="P28" s="58">
        <f t="shared" si="12"/>
        <v>0</v>
      </c>
      <c r="Q28" s="59">
        <f>SUM(E28:P28)</f>
        <v>0</v>
      </c>
      <c r="R28" s="60">
        <f t="shared" si="2"/>
        <v>0</v>
      </c>
      <c r="S28" s="15"/>
      <c r="T28" s="61"/>
      <c r="U28" s="62">
        <f t="shared" si="11"/>
        <v>0</v>
      </c>
      <c r="V28" s="15"/>
    </row>
    <row r="29" spans="1:23" x14ac:dyDescent="0.25">
      <c r="A29" s="63" t="s">
        <v>43</v>
      </c>
      <c r="B29" s="15"/>
      <c r="C29" s="64">
        <f>SUM(C24:C28)</f>
        <v>1516992.02</v>
      </c>
      <c r="D29" s="65">
        <f>SUM(D24:D28)</f>
        <v>126416.00166666668</v>
      </c>
      <c r="E29" s="66">
        <f t="shared" ref="E29:Q29" si="13">SUM(E24:E28)</f>
        <v>256926.2</v>
      </c>
      <c r="F29" s="66">
        <f t="shared" si="13"/>
        <v>242126.2</v>
      </c>
      <c r="G29" s="66">
        <f t="shared" si="13"/>
        <v>294756.59999999998</v>
      </c>
      <c r="H29" s="66">
        <f t="shared" si="13"/>
        <v>286296.59999999998</v>
      </c>
      <c r="I29" s="66">
        <f t="shared" si="13"/>
        <v>261896.6</v>
      </c>
      <c r="J29" s="66">
        <f t="shared" si="13"/>
        <v>254496.6</v>
      </c>
      <c r="K29" s="66">
        <f t="shared" si="13"/>
        <v>268204.09999999998</v>
      </c>
      <c r="L29" s="66">
        <f t="shared" si="13"/>
        <v>273174.5</v>
      </c>
      <c r="M29" s="66">
        <f t="shared" si="13"/>
        <v>265774.5</v>
      </c>
      <c r="N29" s="66">
        <f t="shared" si="13"/>
        <v>306034.5</v>
      </c>
      <c r="O29" s="66">
        <f t="shared" si="13"/>
        <v>297574.5</v>
      </c>
      <c r="P29" s="66">
        <f t="shared" si="13"/>
        <v>306034.5</v>
      </c>
      <c r="Q29" s="66">
        <f t="shared" si="13"/>
        <v>3313295.4</v>
      </c>
      <c r="R29" s="67">
        <f>AVERAGE(E29:P29)</f>
        <v>276107.95</v>
      </c>
      <c r="T29" s="68"/>
      <c r="U29" s="69">
        <f t="shared" si="11"/>
        <v>1.1841218386896986</v>
      </c>
    </row>
    <row r="30" spans="1:23" x14ac:dyDescent="0.25">
      <c r="A30" s="15" t="s">
        <v>44</v>
      </c>
      <c r="B30" s="15"/>
      <c r="C30" s="64"/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T30" s="69"/>
      <c r="U30" s="69"/>
    </row>
    <row r="31" spans="1:23" x14ac:dyDescent="0.25">
      <c r="A31" s="63"/>
      <c r="B31" s="15" t="s">
        <v>45</v>
      </c>
      <c r="C31" s="56">
        <v>0</v>
      </c>
      <c r="D31" s="57">
        <f>C31/12</f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9">
        <f>SUM(E31:P31)</f>
        <v>0</v>
      </c>
      <c r="R31" s="60">
        <f>AVERAGE(E31:P31)</f>
        <v>0</v>
      </c>
      <c r="S31" s="15"/>
      <c r="T31" s="61"/>
      <c r="U31" s="62">
        <f t="shared" si="11"/>
        <v>0</v>
      </c>
    </row>
    <row r="32" spans="1:23" x14ac:dyDescent="0.25">
      <c r="A32" s="63" t="s">
        <v>46</v>
      </c>
      <c r="B32" s="15"/>
      <c r="C32" s="64">
        <f t="shared" ref="C32:D32" si="14">SUM(C31)</f>
        <v>0</v>
      </c>
      <c r="D32" s="65">
        <f t="shared" si="14"/>
        <v>0</v>
      </c>
      <c r="E32" s="66">
        <f>SUM(E31)</f>
        <v>0</v>
      </c>
      <c r="F32" s="66">
        <f>SUM(F31)</f>
        <v>0</v>
      </c>
      <c r="G32" s="66">
        <f t="shared" ref="G32:P32" si="15">SUM(G31)</f>
        <v>0</v>
      </c>
      <c r="H32" s="66">
        <f t="shared" si="15"/>
        <v>0</v>
      </c>
      <c r="I32" s="66">
        <f t="shared" si="15"/>
        <v>0</v>
      </c>
      <c r="J32" s="66">
        <f t="shared" si="15"/>
        <v>0</v>
      </c>
      <c r="K32" s="66">
        <f t="shared" si="15"/>
        <v>0</v>
      </c>
      <c r="L32" s="66">
        <f t="shared" si="15"/>
        <v>0</v>
      </c>
      <c r="M32" s="66">
        <f t="shared" si="15"/>
        <v>0</v>
      </c>
      <c r="N32" s="66">
        <f t="shared" si="15"/>
        <v>0</v>
      </c>
      <c r="O32" s="66">
        <f t="shared" si="15"/>
        <v>0</v>
      </c>
      <c r="P32" s="66">
        <f t="shared" si="15"/>
        <v>0</v>
      </c>
      <c r="Q32" s="66">
        <f>SUM(Q31)</f>
        <v>0</v>
      </c>
      <c r="R32" s="67">
        <f>AVERAGE(E32:P32)</f>
        <v>0</v>
      </c>
      <c r="T32" s="68"/>
      <c r="U32" s="69">
        <f t="shared" si="11"/>
        <v>0</v>
      </c>
    </row>
    <row r="33" spans="1:22" s="70" customFormat="1" x14ac:dyDescent="0.25">
      <c r="A33" s="63" t="s">
        <v>47</v>
      </c>
      <c r="B33" s="70" t="s">
        <v>48</v>
      </c>
      <c r="C33" s="71">
        <f t="shared" ref="C33:D33" si="16">C29+C32</f>
        <v>1516992.02</v>
      </c>
      <c r="D33" s="72">
        <f t="shared" si="16"/>
        <v>126416.00166666668</v>
      </c>
      <c r="E33" s="73">
        <f>E29+E32</f>
        <v>256926.2</v>
      </c>
      <c r="F33" s="73">
        <f>F29+F32</f>
        <v>242126.2</v>
      </c>
      <c r="G33" s="73">
        <f t="shared" ref="G33:Q33" si="17">G29+G32</f>
        <v>294756.59999999998</v>
      </c>
      <c r="H33" s="73">
        <f t="shared" si="17"/>
        <v>286296.59999999998</v>
      </c>
      <c r="I33" s="73">
        <f t="shared" si="17"/>
        <v>261896.6</v>
      </c>
      <c r="J33" s="73">
        <f t="shared" si="17"/>
        <v>254496.6</v>
      </c>
      <c r="K33" s="73">
        <f t="shared" si="17"/>
        <v>268204.09999999998</v>
      </c>
      <c r="L33" s="73">
        <f t="shared" si="17"/>
        <v>273174.5</v>
      </c>
      <c r="M33" s="73">
        <f t="shared" si="17"/>
        <v>265774.5</v>
      </c>
      <c r="N33" s="73">
        <f t="shared" si="17"/>
        <v>306034.5</v>
      </c>
      <c r="O33" s="73">
        <f t="shared" si="17"/>
        <v>297574.5</v>
      </c>
      <c r="P33" s="73">
        <f t="shared" si="17"/>
        <v>306034.5</v>
      </c>
      <c r="Q33" s="73">
        <f t="shared" si="17"/>
        <v>3313295.4</v>
      </c>
      <c r="R33" s="74">
        <f>AVERAGE(E33:P33)</f>
        <v>276107.95</v>
      </c>
      <c r="T33" s="75"/>
      <c r="U33" s="76">
        <f t="shared" si="11"/>
        <v>1.1841218386896986</v>
      </c>
      <c r="V33" s="77"/>
    </row>
    <row r="34" spans="1:22" x14ac:dyDescent="0.25">
      <c r="A34" s="78" t="s">
        <v>49</v>
      </c>
      <c r="B34" t="s">
        <v>48</v>
      </c>
      <c r="C34" s="79">
        <f t="shared" ref="C34:D34" si="18">C33</f>
        <v>1516992.02</v>
      </c>
      <c r="D34" s="80">
        <f t="shared" si="18"/>
        <v>126416.00166666668</v>
      </c>
      <c r="E34" s="81">
        <f>E33</f>
        <v>256926.2</v>
      </c>
      <c r="F34" s="81">
        <f t="shared" ref="F34:Q34" si="19">F33</f>
        <v>242126.2</v>
      </c>
      <c r="G34" s="81">
        <f t="shared" si="19"/>
        <v>294756.59999999998</v>
      </c>
      <c r="H34" s="81">
        <f t="shared" si="19"/>
        <v>286296.59999999998</v>
      </c>
      <c r="I34" s="81">
        <f t="shared" si="19"/>
        <v>261896.6</v>
      </c>
      <c r="J34" s="81">
        <f t="shared" si="19"/>
        <v>254496.6</v>
      </c>
      <c r="K34" s="81">
        <f t="shared" si="19"/>
        <v>268204.09999999998</v>
      </c>
      <c r="L34" s="81">
        <f t="shared" si="19"/>
        <v>273174.5</v>
      </c>
      <c r="M34" s="81">
        <f t="shared" si="19"/>
        <v>265774.5</v>
      </c>
      <c r="N34" s="81">
        <f t="shared" si="19"/>
        <v>306034.5</v>
      </c>
      <c r="O34" s="81">
        <f t="shared" si="19"/>
        <v>297574.5</v>
      </c>
      <c r="P34" s="81">
        <f t="shared" si="19"/>
        <v>306034.5</v>
      </c>
      <c r="Q34" s="81">
        <f t="shared" si="19"/>
        <v>3313295.4</v>
      </c>
      <c r="R34" s="82">
        <f t="shared" si="2"/>
        <v>276107.95</v>
      </c>
      <c r="T34" s="30"/>
      <c r="U34" s="31">
        <f t="shared" si="11"/>
        <v>1.1841218386896986</v>
      </c>
    </row>
    <row r="35" spans="1:22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2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2" x14ac:dyDescent="0.25">
      <c r="A37" s="88"/>
      <c r="B37" s="15" t="s">
        <v>52</v>
      </c>
      <c r="C37" s="56">
        <v>640814.12400000007</v>
      </c>
      <c r="D37" s="57">
        <f t="shared" ref="D37:D47" si="20">C37/12</f>
        <v>53401.177000000003</v>
      </c>
      <c r="E37" s="58">
        <f>'[2]Payroll 2024'!W162</f>
        <v>75110.373129771004</v>
      </c>
      <c r="F37" s="58">
        <f>'[2]Payroll 2024'!X162</f>
        <v>69070.436335877865</v>
      </c>
      <c r="G37" s="58">
        <f>'[2]Payroll 2024'!Y162</f>
        <v>71590.436335877865</v>
      </c>
      <c r="H37" s="58">
        <f>'[2]Payroll 2024'!Z162</f>
        <v>80107.02473282443</v>
      </c>
      <c r="I37" s="58">
        <f>'[2]Payroll 2024'!AA162</f>
        <v>90404.647207633592</v>
      </c>
      <c r="J37" s="58">
        <f>'[2]Payroll 2024'!AB162</f>
        <v>78612.736702290073</v>
      </c>
      <c r="K37" s="58">
        <f>'[2]Payroll 2024'!AC162</f>
        <v>90630.691207633587</v>
      </c>
      <c r="L37" s="58">
        <f>'[2]Payroll 2024'!AD162</f>
        <v>86809.026372519089</v>
      </c>
      <c r="M37" s="58">
        <f>'[2]Payroll 2024'!AE162</f>
        <v>82976.561537404559</v>
      </c>
      <c r="N37" s="58">
        <f>'[2]Payroll 2024'!AF162</f>
        <v>90879.091207633581</v>
      </c>
      <c r="O37" s="58">
        <f>'[2]Payroll 2024'!AG162</f>
        <v>83670.985337404563</v>
      </c>
      <c r="P37" s="58">
        <f>'[2]Payroll 2024'!AH162</f>
        <v>87655.317972519071</v>
      </c>
      <c r="Q37" s="58">
        <f>SUM(E37:P37)</f>
        <v>987517.32807938929</v>
      </c>
      <c r="R37" s="89">
        <f>AVERAGE(E37:P37)</f>
        <v>82293.110673282441</v>
      </c>
      <c r="S37" s="15"/>
      <c r="T37" s="62">
        <f>Q37/$Q$34</f>
        <v>0.29804687142576824</v>
      </c>
      <c r="U37" s="62">
        <f t="shared" si="11"/>
        <v>0.54103552199387728</v>
      </c>
    </row>
    <row r="38" spans="1:22" x14ac:dyDescent="0.25">
      <c r="A38" s="25"/>
      <c r="B38" s="15" t="s">
        <v>53</v>
      </c>
      <c r="C38" s="56">
        <v>0</v>
      </c>
      <c r="D38" s="57">
        <f t="shared" si="20"/>
        <v>0</v>
      </c>
      <c r="E38" s="58">
        <f>'[2]Payroll 2024'!W163</f>
        <v>0</v>
      </c>
      <c r="F38" s="58">
        <f>'[2]Payroll 2024'!X163</f>
        <v>0</v>
      </c>
      <c r="G38" s="58">
        <f>'[2]Payroll 2024'!Y163</f>
        <v>0</v>
      </c>
      <c r="H38" s="58">
        <f>'[2]Payroll 2024'!Z163</f>
        <v>0</v>
      </c>
      <c r="I38" s="58">
        <f>'[2]Payroll 2024'!AA163</f>
        <v>0</v>
      </c>
      <c r="J38" s="58">
        <f>'[2]Payroll 2024'!AB163</f>
        <v>0</v>
      </c>
      <c r="K38" s="58">
        <f>'[2]Payroll 2024'!AC163</f>
        <v>0</v>
      </c>
      <c r="L38" s="58">
        <f>'[2]Payroll 2024'!AD163</f>
        <v>0</v>
      </c>
      <c r="M38" s="58">
        <f>'[2]Payroll 2024'!AE163</f>
        <v>0</v>
      </c>
      <c r="N38" s="58">
        <f>'[2]Payroll 2024'!AF163</f>
        <v>0</v>
      </c>
      <c r="O38" s="58">
        <f>'[2]Payroll 2024'!AG163</f>
        <v>0</v>
      </c>
      <c r="P38" s="58">
        <f>'[2]Payroll 2024'!AH163</f>
        <v>0</v>
      </c>
      <c r="Q38" s="58">
        <f t="shared" ref="Q38:Q42" si="21">SUM(E38:P38)</f>
        <v>0</v>
      </c>
      <c r="R38" s="89">
        <f t="shared" si="2"/>
        <v>0</v>
      </c>
      <c r="S38" s="15"/>
      <c r="T38" s="62">
        <f t="shared" ref="T38:T102" si="22">Q38/$Q$34</f>
        <v>0</v>
      </c>
      <c r="U38" s="62">
        <f t="shared" si="11"/>
        <v>0</v>
      </c>
    </row>
    <row r="39" spans="1:22" x14ac:dyDescent="0.25">
      <c r="A39" s="25"/>
      <c r="B39" s="15" t="s">
        <v>54</v>
      </c>
      <c r="C39" s="56">
        <f>10783*12</f>
        <v>129396</v>
      </c>
      <c r="D39" s="57">
        <f>C39/12</f>
        <v>10783</v>
      </c>
      <c r="E39" s="58">
        <f>'[2]Payroll 2024'!W161</f>
        <v>10905.311297709923</v>
      </c>
      <c r="F39" s="58">
        <f>'[2]Payroll 2024'!X161</f>
        <v>9957.0233587786261</v>
      </c>
      <c r="G39" s="58">
        <f>'[2]Payroll 2024'!Y161</f>
        <v>9957.0233587786261</v>
      </c>
      <c r="H39" s="58">
        <f>'[2]Payroll 2024'!Z161</f>
        <v>14901.973740458016</v>
      </c>
      <c r="I39" s="58">
        <f>'[2]Payroll 2024'!AA161</f>
        <v>15579.336183206107</v>
      </c>
      <c r="J39" s="58">
        <f>'[2]Payroll 2024'!AB161</f>
        <v>13547.24885496183</v>
      </c>
      <c r="K39" s="58">
        <f>'[2]Payroll 2024'!AC161</f>
        <v>15579.336183206107</v>
      </c>
      <c r="L39" s="58">
        <f>'[2]Payroll 2024'!AD161</f>
        <v>15086.668140458016</v>
      </c>
      <c r="M39" s="58">
        <f>'[2]Payroll 2024'!AE161</f>
        <v>14400.910497709923</v>
      </c>
      <c r="N39" s="58">
        <f>'[2]Payroll 2024'!AF161</f>
        <v>15772.425783206107</v>
      </c>
      <c r="O39" s="58">
        <f>'[2]Payroll 2024'!AG161</f>
        <v>14412.722997709923</v>
      </c>
      <c r="P39" s="58">
        <f>'[2]Payroll 2024'!AH161</f>
        <v>15099.043140458016</v>
      </c>
      <c r="Q39" s="58">
        <f>SUM(E39:P39)</f>
        <v>165199.02353664121</v>
      </c>
      <c r="R39" s="89">
        <f t="shared" si="2"/>
        <v>13766.5852947201</v>
      </c>
      <c r="S39" s="15"/>
      <c r="T39" s="62">
        <f t="shared" si="22"/>
        <v>4.9859431047603306E-2</v>
      </c>
      <c r="U39" s="62">
        <f t="shared" si="11"/>
        <v>0.27669343361959575</v>
      </c>
    </row>
    <row r="40" spans="1:22" x14ac:dyDescent="0.25">
      <c r="A40" s="25"/>
      <c r="B40" s="15" t="s">
        <v>55</v>
      </c>
      <c r="C40" s="56">
        <v>27629.279999999999</v>
      </c>
      <c r="D40" s="57">
        <f t="shared" si="20"/>
        <v>2302.44</v>
      </c>
      <c r="E40" s="58">
        <f>5.9%*SUM(E37:E39)</f>
        <v>5074.9253812213747</v>
      </c>
      <c r="F40" s="58">
        <f t="shared" ref="F40:P40" si="23">5.9%*SUM(F37:F39)</f>
        <v>4662.6201219847326</v>
      </c>
      <c r="G40" s="58">
        <f t="shared" si="23"/>
        <v>4811.3001219847329</v>
      </c>
      <c r="H40" s="58">
        <f t="shared" si="23"/>
        <v>5605.5309099236638</v>
      </c>
      <c r="I40" s="58">
        <f t="shared" si="23"/>
        <v>6253.0550200595426</v>
      </c>
      <c r="J40" s="58">
        <f t="shared" si="23"/>
        <v>5437.4391478778625</v>
      </c>
      <c r="K40" s="58">
        <f t="shared" si="23"/>
        <v>6266.3916160595427</v>
      </c>
      <c r="L40" s="58">
        <f t="shared" si="23"/>
        <v>6011.8459762656494</v>
      </c>
      <c r="M40" s="58">
        <f t="shared" si="23"/>
        <v>5745.2708500717545</v>
      </c>
      <c r="N40" s="58">
        <f t="shared" si="23"/>
        <v>6292.4395024595424</v>
      </c>
      <c r="O40" s="58">
        <f t="shared" si="23"/>
        <v>5786.9387917717549</v>
      </c>
      <c r="P40" s="58">
        <f t="shared" si="23"/>
        <v>6062.5073056656483</v>
      </c>
      <c r="Q40" s="58">
        <f>SUM(E40:P40)</f>
        <v>68010.264745345805</v>
      </c>
      <c r="R40" s="89">
        <f t="shared" si="2"/>
        <v>5667.5220621121507</v>
      </c>
      <c r="S40" s="15"/>
      <c r="T40" s="62">
        <f t="shared" si="22"/>
        <v>2.0526471845928922E-2</v>
      </c>
      <c r="U40" s="62">
        <f t="shared" si="11"/>
        <v>1.4615286661594442</v>
      </c>
    </row>
    <row r="41" spans="1:22" x14ac:dyDescent="0.25">
      <c r="A41" s="25"/>
      <c r="B41" s="15" t="s">
        <v>56</v>
      </c>
      <c r="C41" s="56">
        <v>1800.66</v>
      </c>
      <c r="D41" s="57">
        <f t="shared" si="20"/>
        <v>150.05500000000001</v>
      </c>
      <c r="E41" s="58">
        <f>1%*SUM(E37:E39)</f>
        <v>860.15684427480926</v>
      </c>
      <c r="F41" s="58">
        <f t="shared" ref="F41:P41" si="24">1%*SUM(F37:F39)</f>
        <v>790.27459694656488</v>
      </c>
      <c r="G41" s="58">
        <f t="shared" si="24"/>
        <v>815.47459694656482</v>
      </c>
      <c r="H41" s="58">
        <f t="shared" si="24"/>
        <v>950.08998473282441</v>
      </c>
      <c r="I41" s="58">
        <f t="shared" si="24"/>
        <v>1059.8398339083969</v>
      </c>
      <c r="J41" s="58">
        <f t="shared" si="24"/>
        <v>921.599855572519</v>
      </c>
      <c r="K41" s="58">
        <f t="shared" si="24"/>
        <v>1062.100273908397</v>
      </c>
      <c r="L41" s="58">
        <f t="shared" si="24"/>
        <v>1018.956945129771</v>
      </c>
      <c r="M41" s="58">
        <f t="shared" si="24"/>
        <v>973.77472035114477</v>
      </c>
      <c r="N41" s="58">
        <f t="shared" si="24"/>
        <v>1066.515169908397</v>
      </c>
      <c r="O41" s="58">
        <f t="shared" si="24"/>
        <v>980.83708335114488</v>
      </c>
      <c r="P41" s="58">
        <f t="shared" si="24"/>
        <v>1027.5436111297709</v>
      </c>
      <c r="Q41" s="58">
        <f>SUM(E41:P41)</f>
        <v>11527.163516160306</v>
      </c>
      <c r="R41" s="89">
        <f t="shared" si="2"/>
        <v>960.59695968002552</v>
      </c>
      <c r="S41" s="15"/>
      <c r="T41" s="62">
        <f t="shared" si="22"/>
        <v>3.4790630247337156E-3</v>
      </c>
      <c r="U41" s="62">
        <f t="shared" si="11"/>
        <v>5.40163246596265</v>
      </c>
    </row>
    <row r="42" spans="1:22" x14ac:dyDescent="0.25">
      <c r="A42" s="25"/>
      <c r="B42" s="15" t="s">
        <v>57</v>
      </c>
      <c r="C42" s="56">
        <v>0</v>
      </c>
      <c r="D42" s="57">
        <f t="shared" si="20"/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f t="shared" si="21"/>
        <v>0</v>
      </c>
      <c r="R42" s="89">
        <f t="shared" si="2"/>
        <v>0</v>
      </c>
      <c r="S42" s="90"/>
      <c r="T42" s="62">
        <f t="shared" si="22"/>
        <v>0</v>
      </c>
      <c r="U42" s="62">
        <f>IFERROR((Q42-C43)/C43,0)</f>
        <v>-1</v>
      </c>
    </row>
    <row r="43" spans="1:22" x14ac:dyDescent="0.25">
      <c r="A43" s="25"/>
      <c r="B43" s="15" t="s">
        <v>58</v>
      </c>
      <c r="C43" s="56">
        <v>47941.680000000008</v>
      </c>
      <c r="D43" s="57">
        <f t="shared" si="20"/>
        <v>3995.1400000000008</v>
      </c>
      <c r="E43" s="58">
        <f>0.0786*E37</f>
        <v>5903.6753280000012</v>
      </c>
      <c r="F43" s="58">
        <f t="shared" ref="F43:P45" si="25">0.0786*F37</f>
        <v>5428.9362960000008</v>
      </c>
      <c r="G43" s="58">
        <f t="shared" si="25"/>
        <v>5627.008296</v>
      </c>
      <c r="H43" s="58">
        <f t="shared" si="25"/>
        <v>6296.4121440000008</v>
      </c>
      <c r="I43" s="58">
        <f t="shared" si="25"/>
        <v>7105.8052705200007</v>
      </c>
      <c r="J43" s="58">
        <f t="shared" si="25"/>
        <v>6178.9611047999997</v>
      </c>
      <c r="K43" s="58">
        <f t="shared" si="25"/>
        <v>7123.5723289200005</v>
      </c>
      <c r="L43" s="58">
        <f t="shared" si="25"/>
        <v>6823.1894728800007</v>
      </c>
      <c r="M43" s="58">
        <f t="shared" si="25"/>
        <v>6521.9577368399987</v>
      </c>
      <c r="N43" s="58">
        <f t="shared" si="25"/>
        <v>7143.0965689199993</v>
      </c>
      <c r="O43" s="58">
        <f t="shared" si="25"/>
        <v>6576.5394475199992</v>
      </c>
      <c r="P43" s="58">
        <f t="shared" si="25"/>
        <v>6889.7079926399992</v>
      </c>
      <c r="Q43" s="58">
        <f>SUM(E43:P43)</f>
        <v>77618.861987040014</v>
      </c>
      <c r="R43" s="89">
        <f t="shared" si="2"/>
        <v>6468.2384989200009</v>
      </c>
      <c r="S43" s="15"/>
      <c r="T43" s="62">
        <f t="shared" si="22"/>
        <v>2.3426484094065388E-2</v>
      </c>
      <c r="U43" s="62">
        <f>IFERROR((Q43-C44)/C44,0)</f>
        <v>0</v>
      </c>
    </row>
    <row r="44" spans="1:22" x14ac:dyDescent="0.25">
      <c r="A44" s="25"/>
      <c r="B44" s="15" t="s">
        <v>59</v>
      </c>
      <c r="C44" s="56">
        <v>0</v>
      </c>
      <c r="D44" s="57">
        <f t="shared" si="20"/>
        <v>0</v>
      </c>
      <c r="E44" s="58">
        <f>0.0786*E38</f>
        <v>0</v>
      </c>
      <c r="F44" s="58">
        <f t="shared" si="25"/>
        <v>0</v>
      </c>
      <c r="G44" s="58">
        <f t="shared" si="25"/>
        <v>0</v>
      </c>
      <c r="H44" s="58">
        <f t="shared" si="25"/>
        <v>0</v>
      </c>
      <c r="I44" s="58">
        <f t="shared" si="25"/>
        <v>0</v>
      </c>
      <c r="J44" s="58">
        <f t="shared" si="25"/>
        <v>0</v>
      </c>
      <c r="K44" s="58">
        <f t="shared" si="25"/>
        <v>0</v>
      </c>
      <c r="L44" s="58">
        <f t="shared" si="25"/>
        <v>0</v>
      </c>
      <c r="M44" s="58">
        <f t="shared" si="25"/>
        <v>0</v>
      </c>
      <c r="N44" s="58">
        <f t="shared" si="25"/>
        <v>0</v>
      </c>
      <c r="O44" s="58">
        <f t="shared" si="25"/>
        <v>0</v>
      </c>
      <c r="P44" s="58">
        <f t="shared" si="25"/>
        <v>0</v>
      </c>
      <c r="Q44" s="58">
        <f t="shared" ref="Q44" si="26">SUM(E44:P44)</f>
        <v>0</v>
      </c>
      <c r="R44" s="89">
        <f t="shared" si="2"/>
        <v>0</v>
      </c>
      <c r="S44" s="15"/>
      <c r="T44" s="62">
        <f t="shared" si="22"/>
        <v>0</v>
      </c>
      <c r="U44" s="62">
        <f>IFERROR((Q44-C45)/C45,0)</f>
        <v>-1</v>
      </c>
    </row>
    <row r="45" spans="1:22" x14ac:dyDescent="0.25">
      <c r="A45" s="25"/>
      <c r="B45" s="15" t="s">
        <v>60</v>
      </c>
      <c r="C45" s="56">
        <v>15775.175999999999</v>
      </c>
      <c r="D45" s="57">
        <f t="shared" si="20"/>
        <v>1314.598</v>
      </c>
      <c r="E45" s="58">
        <f>0.0786*E39</f>
        <v>857.15746799999999</v>
      </c>
      <c r="F45" s="58">
        <f t="shared" si="25"/>
        <v>782.62203600000009</v>
      </c>
      <c r="G45" s="58">
        <f t="shared" si="25"/>
        <v>782.62203600000009</v>
      </c>
      <c r="H45" s="58">
        <f t="shared" si="25"/>
        <v>1171.295136</v>
      </c>
      <c r="I45" s="58">
        <f t="shared" si="25"/>
        <v>1224.535824</v>
      </c>
      <c r="J45" s="58">
        <f t="shared" si="25"/>
        <v>1064.81376</v>
      </c>
      <c r="K45" s="58">
        <f t="shared" si="25"/>
        <v>1224.535824</v>
      </c>
      <c r="L45" s="58">
        <f t="shared" si="25"/>
        <v>1185.8121158400002</v>
      </c>
      <c r="M45" s="58">
        <f t="shared" si="25"/>
        <v>1131.91156512</v>
      </c>
      <c r="N45" s="58">
        <f t="shared" si="25"/>
        <v>1239.7126665600001</v>
      </c>
      <c r="O45" s="58">
        <f t="shared" si="25"/>
        <v>1132.84002762</v>
      </c>
      <c r="P45" s="58">
        <f t="shared" si="25"/>
        <v>1186.7847908400001</v>
      </c>
      <c r="Q45" s="58">
        <f>SUM(E45:P45)</f>
        <v>12984.643249980003</v>
      </c>
      <c r="R45" s="89">
        <f t="shared" si="2"/>
        <v>1082.0536041650003</v>
      </c>
      <c r="S45" s="15"/>
      <c r="T45" s="62">
        <f t="shared" si="22"/>
        <v>3.918951280341621E-3</v>
      </c>
      <c r="U45" s="62">
        <f>IFERROR((Q45-C46)/C46,0)</f>
        <v>35.068453472166674</v>
      </c>
    </row>
    <row r="46" spans="1:22" x14ac:dyDescent="0.25">
      <c r="A46" s="25"/>
      <c r="B46" s="15" t="s">
        <v>61</v>
      </c>
      <c r="C46" s="56">
        <v>360</v>
      </c>
      <c r="D46" s="57">
        <f t="shared" si="20"/>
        <v>30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f>SUM(E46:P46)</f>
        <v>0</v>
      </c>
      <c r="R46" s="89">
        <f t="shared" si="2"/>
        <v>0</v>
      </c>
      <c r="S46" s="15"/>
      <c r="T46" s="62">
        <f t="shared" si="22"/>
        <v>0</v>
      </c>
      <c r="U46" s="62">
        <f>IFERROR((Q46-C47)/C47,0)</f>
        <v>-1</v>
      </c>
    </row>
    <row r="47" spans="1:22" x14ac:dyDescent="0.25">
      <c r="A47" s="25"/>
      <c r="B47" s="15" t="s">
        <v>62</v>
      </c>
      <c r="C47" s="56">
        <v>4140</v>
      </c>
      <c r="D47" s="57">
        <f t="shared" si="20"/>
        <v>345</v>
      </c>
      <c r="E47" s="58">
        <f>0.8%*SUM(E37:E39)</f>
        <v>688.12547541984748</v>
      </c>
      <c r="F47" s="58">
        <f t="shared" ref="F47:P47" si="27">0.8%*SUM(F37:F39)</f>
        <v>632.21967755725188</v>
      </c>
      <c r="G47" s="58">
        <f t="shared" si="27"/>
        <v>652.37967755725185</v>
      </c>
      <c r="H47" s="58">
        <f t="shared" si="27"/>
        <v>760.07198778625957</v>
      </c>
      <c r="I47" s="58">
        <f t="shared" si="27"/>
        <v>847.87186712671758</v>
      </c>
      <c r="J47" s="58">
        <f t="shared" si="27"/>
        <v>737.2798844580152</v>
      </c>
      <c r="K47" s="58">
        <f t="shared" si="27"/>
        <v>849.68021912671759</v>
      </c>
      <c r="L47" s="58">
        <f t="shared" si="27"/>
        <v>815.16555610381681</v>
      </c>
      <c r="M47" s="58">
        <f t="shared" si="27"/>
        <v>779.01977628091583</v>
      </c>
      <c r="N47" s="58">
        <f t="shared" si="27"/>
        <v>853.21213592671756</v>
      </c>
      <c r="O47" s="58">
        <f t="shared" si="27"/>
        <v>784.66966668091584</v>
      </c>
      <c r="P47" s="58">
        <f t="shared" si="27"/>
        <v>822.03488890381675</v>
      </c>
      <c r="Q47" s="58">
        <f>SUM(E47:P47)</f>
        <v>9221.7308129282446</v>
      </c>
      <c r="R47" s="89">
        <f t="shared" si="2"/>
        <v>768.47756774402035</v>
      </c>
      <c r="S47" s="15"/>
      <c r="T47" s="62">
        <f t="shared" si="22"/>
        <v>2.7832504197869727E-3</v>
      </c>
      <c r="U47" s="62">
        <f>IFERROR((Q47-#REF!)/#REF!,0)</f>
        <v>0</v>
      </c>
    </row>
    <row r="48" spans="1:22" x14ac:dyDescent="0.25">
      <c r="A48" s="63" t="s">
        <v>63</v>
      </c>
      <c r="B48" t="s">
        <v>48</v>
      </c>
      <c r="C48" s="91">
        <f>SUM(C37:C47)</f>
        <v>867856.92000000016</v>
      </c>
      <c r="D48" s="92">
        <f>SUM(D37:D47)</f>
        <v>72321.409999999989</v>
      </c>
      <c r="E48" s="93">
        <f t="shared" ref="E48:Q48" si="28">SUM(E37:E47)</f>
        <v>99399.724924396956</v>
      </c>
      <c r="F48" s="93">
        <f t="shared" si="28"/>
        <v>91324.132423145027</v>
      </c>
      <c r="G48" s="93">
        <f t="shared" si="28"/>
        <v>94236.244423145035</v>
      </c>
      <c r="H48" s="93">
        <f t="shared" si="28"/>
        <v>109792.39863572519</v>
      </c>
      <c r="I48" s="93">
        <f t="shared" si="28"/>
        <v>122475.09120645435</v>
      </c>
      <c r="J48" s="93">
        <f t="shared" si="28"/>
        <v>106500.07930996029</v>
      </c>
      <c r="K48" s="93">
        <f t="shared" si="28"/>
        <v>122736.30765285435</v>
      </c>
      <c r="L48" s="93">
        <f t="shared" si="28"/>
        <v>117750.66457919635</v>
      </c>
      <c r="M48" s="93">
        <f t="shared" si="28"/>
        <v>112529.40668377829</v>
      </c>
      <c r="N48" s="93">
        <f t="shared" si="28"/>
        <v>123246.49303461434</v>
      </c>
      <c r="O48" s="93">
        <f t="shared" si="28"/>
        <v>113345.53335205829</v>
      </c>
      <c r="P48" s="93">
        <f t="shared" si="28"/>
        <v>118742.93970215633</v>
      </c>
      <c r="Q48" s="93">
        <f t="shared" si="28"/>
        <v>1332079.0159274847</v>
      </c>
      <c r="R48" s="94">
        <f t="shared" si="2"/>
        <v>111006.58466062373</v>
      </c>
      <c r="S48" s="95"/>
      <c r="T48" s="96">
        <f t="shared" si="22"/>
        <v>0.40204052313822813</v>
      </c>
      <c r="U48" s="96">
        <f t="shared" si="11"/>
        <v>0.53490625612282316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101" t="s">
        <v>1</v>
      </c>
      <c r="R49" s="102"/>
      <c r="T49" s="55"/>
      <c r="U49" s="55"/>
    </row>
    <row r="50" spans="1:21" x14ac:dyDescent="0.25">
      <c r="A50" s="25"/>
      <c r="B50" s="15" t="s">
        <v>65</v>
      </c>
      <c r="C50" s="56">
        <v>880.96800000000007</v>
      </c>
      <c r="D50" s="57">
        <f t="shared" ref="D50:D61" si="29">C50/12</f>
        <v>73.414000000000001</v>
      </c>
      <c r="E50" s="58">
        <v>2000</v>
      </c>
      <c r="F50" s="58">
        <v>2000</v>
      </c>
      <c r="G50" s="58">
        <v>2100</v>
      </c>
      <c r="H50" s="58">
        <v>2100</v>
      </c>
      <c r="I50" s="58">
        <v>2100</v>
      </c>
      <c r="J50" s="58">
        <v>2100</v>
      </c>
      <c r="K50" s="58">
        <v>2100</v>
      </c>
      <c r="L50" s="58">
        <v>2100</v>
      </c>
      <c r="M50" s="58">
        <v>2100</v>
      </c>
      <c r="N50" s="58">
        <v>2100</v>
      </c>
      <c r="O50" s="58">
        <v>2100</v>
      </c>
      <c r="P50" s="58">
        <v>2100</v>
      </c>
      <c r="Q50" s="58">
        <f t="shared" ref="Q50:Q61" si="30">SUM(E50:P50)</f>
        <v>25000</v>
      </c>
      <c r="R50" s="89">
        <f t="shared" si="2"/>
        <v>2083.3333333333335</v>
      </c>
      <c r="S50" s="90"/>
      <c r="T50" s="62">
        <f t="shared" si="22"/>
        <v>7.5453580142597612E-3</v>
      </c>
      <c r="U50" s="62">
        <f t="shared" si="11"/>
        <v>27.377875246319952</v>
      </c>
    </row>
    <row r="51" spans="1:21" x14ac:dyDescent="0.25">
      <c r="A51" s="25"/>
      <c r="B51" s="15" t="s">
        <v>66</v>
      </c>
      <c r="C51" s="56">
        <v>22648.272000000004</v>
      </c>
      <c r="D51" s="57">
        <f t="shared" si="29"/>
        <v>1887.3560000000004</v>
      </c>
      <c r="E51" s="58">
        <v>1850</v>
      </c>
      <c r="F51" s="58">
        <v>1850</v>
      </c>
      <c r="G51" s="58">
        <v>1850</v>
      </c>
      <c r="H51" s="58">
        <v>1850</v>
      </c>
      <c r="I51" s="58">
        <v>1850</v>
      </c>
      <c r="J51" s="58">
        <v>1850</v>
      </c>
      <c r="K51" s="58">
        <v>1850</v>
      </c>
      <c r="L51" s="58">
        <v>1850</v>
      </c>
      <c r="M51" s="58">
        <v>1850</v>
      </c>
      <c r="N51" s="58">
        <v>1850</v>
      </c>
      <c r="O51" s="58">
        <v>1850</v>
      </c>
      <c r="P51" s="58">
        <v>1850</v>
      </c>
      <c r="Q51" s="58">
        <f t="shared" si="30"/>
        <v>22200</v>
      </c>
      <c r="R51" s="89">
        <f t="shared" si="2"/>
        <v>1850</v>
      </c>
      <c r="S51" s="15"/>
      <c r="T51" s="62">
        <f t="shared" si="22"/>
        <v>6.7002779166626678E-3</v>
      </c>
      <c r="U51" s="62">
        <f t="shared" si="11"/>
        <v>-1.9792768295965556E-2</v>
      </c>
    </row>
    <row r="52" spans="1:21" x14ac:dyDescent="0.25">
      <c r="A52" s="25"/>
      <c r="B52" s="15" t="s">
        <v>67</v>
      </c>
      <c r="C52" s="56">
        <v>0</v>
      </c>
      <c r="D52" s="57">
        <f t="shared" si="29"/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f t="shared" si="30"/>
        <v>0</v>
      </c>
      <c r="R52" s="89">
        <f t="shared" si="2"/>
        <v>0</v>
      </c>
      <c r="S52" s="15"/>
      <c r="T52" s="62">
        <f t="shared" si="22"/>
        <v>0</v>
      </c>
      <c r="U52" s="62">
        <f t="shared" si="11"/>
        <v>0</v>
      </c>
    </row>
    <row r="53" spans="1:21" x14ac:dyDescent="0.25">
      <c r="A53" s="25"/>
      <c r="B53" s="15" t="s">
        <v>68</v>
      </c>
      <c r="C53" s="56">
        <v>1367.8560000000002</v>
      </c>
      <c r="D53" s="57">
        <f t="shared" si="29"/>
        <v>113.98800000000001</v>
      </c>
      <c r="E53" s="58">
        <v>125</v>
      </c>
      <c r="F53" s="58">
        <v>125</v>
      </c>
      <c r="G53" s="58">
        <v>125</v>
      </c>
      <c r="H53" s="58">
        <v>125</v>
      </c>
      <c r="I53" s="58">
        <v>125</v>
      </c>
      <c r="J53" s="58">
        <v>125</v>
      </c>
      <c r="K53" s="58">
        <v>125</v>
      </c>
      <c r="L53" s="58">
        <v>125</v>
      </c>
      <c r="M53" s="58">
        <v>125</v>
      </c>
      <c r="N53" s="58">
        <v>125</v>
      </c>
      <c r="O53" s="58">
        <v>125</v>
      </c>
      <c r="P53" s="58">
        <v>125</v>
      </c>
      <c r="Q53" s="58">
        <f t="shared" si="30"/>
        <v>1500</v>
      </c>
      <c r="R53" s="89">
        <f t="shared" si="2"/>
        <v>125</v>
      </c>
      <c r="S53" s="15"/>
      <c r="T53" s="62">
        <f t="shared" si="22"/>
        <v>4.5272148085558566E-4</v>
      </c>
      <c r="U53" s="62">
        <f t="shared" si="11"/>
        <v>9.660666035021212E-2</v>
      </c>
    </row>
    <row r="54" spans="1:21" x14ac:dyDescent="0.25">
      <c r="A54" s="25"/>
      <c r="B54" s="15" t="s">
        <v>69</v>
      </c>
      <c r="C54" s="56">
        <v>63564.887999999992</v>
      </c>
      <c r="D54" s="57">
        <f t="shared" si="29"/>
        <v>5297.0739999999996</v>
      </c>
      <c r="E54" s="58">
        <v>10841.94</v>
      </c>
      <c r="F54" s="58">
        <v>10841.94</v>
      </c>
      <c r="G54" s="58">
        <v>10841.94</v>
      </c>
      <c r="H54" s="58">
        <v>10841.94</v>
      </c>
      <c r="I54" s="58">
        <v>10841.94</v>
      </c>
      <c r="J54" s="58">
        <v>10841.94</v>
      </c>
      <c r="K54" s="58">
        <v>10841.94</v>
      </c>
      <c r="L54" s="58">
        <v>12500</v>
      </c>
      <c r="M54" s="58">
        <v>12500</v>
      </c>
      <c r="N54" s="58">
        <v>12500</v>
      </c>
      <c r="O54" s="58">
        <v>12500</v>
      </c>
      <c r="P54" s="58">
        <v>12500</v>
      </c>
      <c r="Q54" s="58">
        <f>SUM(E54:P54)</f>
        <v>138393.58000000002</v>
      </c>
      <c r="R54" s="89">
        <f t="shared" si="2"/>
        <v>11532.798333333334</v>
      </c>
      <c r="S54" s="15"/>
      <c r="T54" s="62">
        <f t="shared" si="22"/>
        <v>4.176916431900398E-2</v>
      </c>
      <c r="U54" s="62">
        <f t="shared" si="11"/>
        <v>1.1772016651708728</v>
      </c>
    </row>
    <row r="55" spans="1:21" x14ac:dyDescent="0.25">
      <c r="A55" s="25"/>
      <c r="B55" s="15" t="s">
        <v>70</v>
      </c>
      <c r="C55" s="56">
        <v>48963.816000000006</v>
      </c>
      <c r="D55" s="57">
        <f t="shared" si="29"/>
        <v>4080.3180000000007</v>
      </c>
      <c r="E55" s="58">
        <v>4200</v>
      </c>
      <c r="F55" s="58">
        <v>4200</v>
      </c>
      <c r="G55" s="58">
        <v>4200</v>
      </c>
      <c r="H55" s="58">
        <v>4200</v>
      </c>
      <c r="I55" s="58">
        <v>4200</v>
      </c>
      <c r="J55" s="58">
        <v>4200</v>
      </c>
      <c r="K55" s="58">
        <v>4200</v>
      </c>
      <c r="L55" s="58">
        <v>4200</v>
      </c>
      <c r="M55" s="58">
        <v>4200</v>
      </c>
      <c r="N55" s="58">
        <v>4200</v>
      </c>
      <c r="O55" s="58">
        <v>4200</v>
      </c>
      <c r="P55" s="58">
        <v>4200</v>
      </c>
      <c r="Q55" s="58">
        <f>SUM(E55:P55)</f>
        <v>50400</v>
      </c>
      <c r="R55" s="89">
        <f t="shared" si="2"/>
        <v>4200</v>
      </c>
      <c r="S55" s="15"/>
      <c r="T55" s="62">
        <f t="shared" si="22"/>
        <v>1.5211441756747678E-2</v>
      </c>
      <c r="U55" s="62">
        <f t="shared" si="11"/>
        <v>2.9331537394879387E-2</v>
      </c>
    </row>
    <row r="56" spans="1:21" x14ac:dyDescent="0.25">
      <c r="A56" s="25"/>
      <c r="B56" s="15" t="s">
        <v>71</v>
      </c>
      <c r="C56" s="56">
        <v>0</v>
      </c>
      <c r="D56" s="57">
        <f t="shared" si="29"/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f t="shared" si="30"/>
        <v>0</v>
      </c>
      <c r="R56" s="89">
        <f t="shared" si="2"/>
        <v>0</v>
      </c>
      <c r="S56" s="15"/>
      <c r="T56" s="62">
        <f t="shared" si="22"/>
        <v>0</v>
      </c>
      <c r="U56" s="62">
        <f t="shared" si="11"/>
        <v>0</v>
      </c>
    </row>
    <row r="57" spans="1:21" x14ac:dyDescent="0.25">
      <c r="A57" s="25"/>
      <c r="B57" s="15" t="s">
        <v>72</v>
      </c>
      <c r="C57" s="56">
        <v>0</v>
      </c>
      <c r="D57" s="57">
        <f t="shared" si="29"/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f t="shared" si="30"/>
        <v>0</v>
      </c>
      <c r="R57" s="89">
        <f t="shared" si="2"/>
        <v>0</v>
      </c>
      <c r="S57" s="15"/>
      <c r="T57" s="62">
        <f t="shared" si="22"/>
        <v>0</v>
      </c>
      <c r="U57" s="62">
        <f t="shared" si="11"/>
        <v>0</v>
      </c>
    </row>
    <row r="58" spans="1:21" x14ac:dyDescent="0.25">
      <c r="A58" s="25"/>
      <c r="B58" s="15" t="s">
        <v>73</v>
      </c>
      <c r="C58" s="56">
        <v>17957.28</v>
      </c>
      <c r="D58" s="57">
        <f t="shared" si="29"/>
        <v>1496.4399999999998</v>
      </c>
      <c r="E58" s="58">
        <v>2500</v>
      </c>
      <c r="F58" s="58">
        <v>2500</v>
      </c>
      <c r="G58" s="58">
        <v>2500</v>
      </c>
      <c r="H58" s="58">
        <v>2500</v>
      </c>
      <c r="I58" s="58">
        <v>2500</v>
      </c>
      <c r="J58" s="58">
        <v>2500</v>
      </c>
      <c r="K58" s="58">
        <v>2500</v>
      </c>
      <c r="L58" s="58">
        <v>2500</v>
      </c>
      <c r="M58" s="58">
        <v>2500</v>
      </c>
      <c r="N58" s="58">
        <v>2500</v>
      </c>
      <c r="O58" s="58">
        <v>2500</v>
      </c>
      <c r="P58" s="58">
        <v>2500</v>
      </c>
      <c r="Q58" s="58">
        <f t="shared" si="30"/>
        <v>30000</v>
      </c>
      <c r="R58" s="89">
        <f t="shared" si="2"/>
        <v>2500</v>
      </c>
      <c r="S58" s="15"/>
      <c r="T58" s="62">
        <f t="shared" si="22"/>
        <v>9.0544296171117134E-3</v>
      </c>
      <c r="U58" s="62">
        <f t="shared" si="11"/>
        <v>0.67063163240758072</v>
      </c>
    </row>
    <row r="59" spans="1:21" x14ac:dyDescent="0.25">
      <c r="A59" s="25"/>
      <c r="B59" s="15" t="s">
        <v>74</v>
      </c>
      <c r="C59" s="56">
        <v>204000</v>
      </c>
      <c r="D59" s="57">
        <f t="shared" si="29"/>
        <v>17000</v>
      </c>
      <c r="E59" s="58">
        <v>17000</v>
      </c>
      <c r="F59" s="58">
        <v>17000</v>
      </c>
      <c r="G59" s="58">
        <v>17000</v>
      </c>
      <c r="H59" s="58">
        <v>17000</v>
      </c>
      <c r="I59" s="58">
        <v>17000</v>
      </c>
      <c r="J59" s="58">
        <v>17000</v>
      </c>
      <c r="K59" s="58">
        <v>17000</v>
      </c>
      <c r="L59" s="58">
        <v>17000</v>
      </c>
      <c r="M59" s="58">
        <v>17000</v>
      </c>
      <c r="N59" s="58">
        <v>17000</v>
      </c>
      <c r="O59" s="58">
        <v>17000</v>
      </c>
      <c r="P59" s="58">
        <v>17000</v>
      </c>
      <c r="Q59" s="58">
        <f t="shared" si="30"/>
        <v>204000</v>
      </c>
      <c r="R59" s="89">
        <f t="shared" si="2"/>
        <v>17000</v>
      </c>
      <c r="S59" s="15"/>
      <c r="T59" s="62">
        <f t="shared" si="22"/>
        <v>6.1570121396359652E-2</v>
      </c>
      <c r="U59" s="62">
        <f t="shared" si="11"/>
        <v>0</v>
      </c>
    </row>
    <row r="60" spans="1:21" x14ac:dyDescent="0.25">
      <c r="A60" s="25"/>
      <c r="B60" s="15" t="s">
        <v>75</v>
      </c>
      <c r="C60" s="56">
        <v>57553.896000000008</v>
      </c>
      <c r="D60" s="57">
        <f t="shared" si="29"/>
        <v>4796.1580000000004</v>
      </c>
      <c r="E60" s="58">
        <v>4800</v>
      </c>
      <c r="F60" s="58">
        <v>4800</v>
      </c>
      <c r="G60" s="58">
        <v>4800</v>
      </c>
      <c r="H60" s="58">
        <v>4800</v>
      </c>
      <c r="I60" s="58">
        <v>4800</v>
      </c>
      <c r="J60" s="58">
        <v>4800</v>
      </c>
      <c r="K60" s="58">
        <v>4800</v>
      </c>
      <c r="L60" s="58">
        <v>4800</v>
      </c>
      <c r="M60" s="58">
        <v>4800</v>
      </c>
      <c r="N60" s="58">
        <v>4800</v>
      </c>
      <c r="O60" s="58">
        <v>4800</v>
      </c>
      <c r="P60" s="58">
        <v>4800</v>
      </c>
      <c r="Q60" s="58">
        <f t="shared" si="30"/>
        <v>57600</v>
      </c>
      <c r="R60" s="89">
        <f t="shared" si="2"/>
        <v>4800</v>
      </c>
      <c r="S60" s="15"/>
      <c r="T60" s="62">
        <f t="shared" si="22"/>
        <v>1.7384504864854489E-2</v>
      </c>
      <c r="U60" s="62">
        <f t="shared" si="11"/>
        <v>8.0105784671800635E-4</v>
      </c>
    </row>
    <row r="61" spans="1:21" x14ac:dyDescent="0.25">
      <c r="A61" s="25"/>
      <c r="B61" s="15" t="s">
        <v>76</v>
      </c>
      <c r="C61" s="56">
        <v>0</v>
      </c>
      <c r="D61" s="57">
        <f t="shared" si="29"/>
        <v>0</v>
      </c>
      <c r="E61" s="58">
        <v>0</v>
      </c>
      <c r="F61" s="58">
        <v>0</v>
      </c>
      <c r="G61" s="58">
        <v>0</v>
      </c>
      <c r="H61" s="58">
        <v>0</v>
      </c>
      <c r="I61" s="58">
        <v>0</v>
      </c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f t="shared" si="30"/>
        <v>0</v>
      </c>
      <c r="R61" s="89">
        <f t="shared" si="2"/>
        <v>0</v>
      </c>
      <c r="S61" s="15"/>
      <c r="T61" s="62">
        <f t="shared" si="22"/>
        <v>0</v>
      </c>
      <c r="U61" s="62">
        <f t="shared" si="11"/>
        <v>0</v>
      </c>
    </row>
    <row r="62" spans="1:21" x14ac:dyDescent="0.25">
      <c r="A62" s="63" t="s">
        <v>77</v>
      </c>
      <c r="B62" s="15" t="s">
        <v>48</v>
      </c>
      <c r="C62" s="91">
        <f t="shared" ref="C62:D62" si="31">SUM(C50:C61)</f>
        <v>416936.97599999997</v>
      </c>
      <c r="D62" s="92">
        <f t="shared" si="31"/>
        <v>34744.748000000007</v>
      </c>
      <c r="E62" s="93">
        <f>SUM(E50:E61)</f>
        <v>43316.94</v>
      </c>
      <c r="F62" s="93">
        <f t="shared" ref="F62:Q62" si="32">SUM(F50:F61)</f>
        <v>43316.94</v>
      </c>
      <c r="G62" s="93">
        <f t="shared" si="32"/>
        <v>43416.94</v>
      </c>
      <c r="H62" s="93">
        <f t="shared" si="32"/>
        <v>43416.94</v>
      </c>
      <c r="I62" s="93">
        <f t="shared" si="32"/>
        <v>43416.94</v>
      </c>
      <c r="J62" s="93">
        <f t="shared" si="32"/>
        <v>43416.94</v>
      </c>
      <c r="K62" s="93">
        <f t="shared" si="32"/>
        <v>43416.94</v>
      </c>
      <c r="L62" s="93">
        <f t="shared" si="32"/>
        <v>45075</v>
      </c>
      <c r="M62" s="93">
        <f t="shared" si="32"/>
        <v>45075</v>
      </c>
      <c r="N62" s="93">
        <f t="shared" si="32"/>
        <v>45075</v>
      </c>
      <c r="O62" s="93">
        <f t="shared" si="32"/>
        <v>45075</v>
      </c>
      <c r="P62" s="93">
        <f t="shared" si="32"/>
        <v>45075</v>
      </c>
      <c r="Q62" s="93">
        <f t="shared" si="32"/>
        <v>529093.58000000007</v>
      </c>
      <c r="R62" s="94">
        <f t="shared" si="2"/>
        <v>44091.131666666675</v>
      </c>
      <c r="T62" s="96">
        <f t="shared" si="22"/>
        <v>0.15968801936585555</v>
      </c>
      <c r="U62" s="96">
        <f t="shared" si="11"/>
        <v>0.26900133702701418</v>
      </c>
    </row>
    <row r="63" spans="1:21" x14ac:dyDescent="0.25">
      <c r="A63" s="15" t="s">
        <v>78</v>
      </c>
      <c r="B63" s="15" t="s">
        <v>48</v>
      </c>
      <c r="C63" s="103">
        <v>0</v>
      </c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>
        <v>1920</v>
      </c>
      <c r="D64" s="57">
        <f t="shared" ref="D64:D72" si="33">C64/12</f>
        <v>160</v>
      </c>
      <c r="E64" s="58">
        <v>430</v>
      </c>
      <c r="F64" s="58">
        <v>430</v>
      </c>
      <c r="G64" s="58">
        <v>430</v>
      </c>
      <c r="H64" s="58">
        <v>430</v>
      </c>
      <c r="I64" s="58">
        <v>430</v>
      </c>
      <c r="J64" s="58">
        <v>430</v>
      </c>
      <c r="K64" s="58">
        <v>430</v>
      </c>
      <c r="L64" s="58">
        <v>430</v>
      </c>
      <c r="M64" s="58">
        <v>430</v>
      </c>
      <c r="N64" s="58">
        <v>430</v>
      </c>
      <c r="O64" s="58">
        <v>430</v>
      </c>
      <c r="P64" s="58">
        <v>430</v>
      </c>
      <c r="Q64" s="58">
        <f>SUM(E64:P64)</f>
        <v>5160</v>
      </c>
      <c r="R64" s="89">
        <f t="shared" si="2"/>
        <v>430</v>
      </c>
      <c r="S64" s="90"/>
      <c r="T64" s="62">
        <f t="shared" si="22"/>
        <v>1.5573618941432147E-3</v>
      </c>
      <c r="U64" s="62">
        <f t="shared" si="11"/>
        <v>1.6875</v>
      </c>
    </row>
    <row r="65" spans="1:23" x14ac:dyDescent="0.25">
      <c r="A65" s="25"/>
      <c r="B65" s="15" t="s">
        <v>80</v>
      </c>
      <c r="C65" s="56">
        <v>1609.788</v>
      </c>
      <c r="D65" s="57">
        <f t="shared" si="33"/>
        <v>134.149</v>
      </c>
      <c r="E65" s="58">
        <v>180</v>
      </c>
      <c r="F65" s="58">
        <v>180</v>
      </c>
      <c r="G65" s="58">
        <v>180</v>
      </c>
      <c r="H65" s="58">
        <v>180</v>
      </c>
      <c r="I65" s="58">
        <v>180</v>
      </c>
      <c r="J65" s="58">
        <v>180</v>
      </c>
      <c r="K65" s="58">
        <v>180</v>
      </c>
      <c r="L65" s="58">
        <v>180</v>
      </c>
      <c r="M65" s="58">
        <v>180</v>
      </c>
      <c r="N65" s="58">
        <v>180</v>
      </c>
      <c r="O65" s="58">
        <v>180</v>
      </c>
      <c r="P65" s="58">
        <v>180</v>
      </c>
      <c r="Q65" s="58">
        <f>SUM(E65:P65)</f>
        <v>2160</v>
      </c>
      <c r="R65" s="89">
        <f t="shared" si="2"/>
        <v>180</v>
      </c>
      <c r="S65" s="15"/>
      <c r="T65" s="62">
        <f t="shared" si="22"/>
        <v>6.5191893243204339E-4</v>
      </c>
      <c r="U65" s="62">
        <f t="shared" si="11"/>
        <v>0.34179158994849013</v>
      </c>
    </row>
    <row r="66" spans="1:23" x14ac:dyDescent="0.25">
      <c r="A66" s="25"/>
      <c r="B66" s="15" t="s">
        <v>81</v>
      </c>
      <c r="C66" s="56">
        <v>3451.4160000000002</v>
      </c>
      <c r="D66" s="57">
        <f t="shared" si="33"/>
        <v>287.61799999999999</v>
      </c>
      <c r="E66" s="58">
        <v>550</v>
      </c>
      <c r="F66" s="58">
        <v>550</v>
      </c>
      <c r="G66" s="58">
        <v>550</v>
      </c>
      <c r="H66" s="58">
        <v>550</v>
      </c>
      <c r="I66" s="58">
        <v>550</v>
      </c>
      <c r="J66" s="58">
        <v>550</v>
      </c>
      <c r="K66" s="58">
        <v>550</v>
      </c>
      <c r="L66" s="58">
        <v>550</v>
      </c>
      <c r="M66" s="58">
        <v>550</v>
      </c>
      <c r="N66" s="58">
        <v>550</v>
      </c>
      <c r="O66" s="58">
        <v>550</v>
      </c>
      <c r="P66" s="58">
        <v>550</v>
      </c>
      <c r="Q66" s="58">
        <f>SUM(E66:P66)</f>
        <v>6600</v>
      </c>
      <c r="R66" s="89">
        <f t="shared" si="2"/>
        <v>550</v>
      </c>
      <c r="S66" s="15"/>
      <c r="T66" s="62">
        <f t="shared" si="22"/>
        <v>1.991974515764577E-3</v>
      </c>
      <c r="U66" s="62">
        <f t="shared" si="11"/>
        <v>0.91225862080954589</v>
      </c>
    </row>
    <row r="67" spans="1:23" x14ac:dyDescent="0.25">
      <c r="A67" s="25"/>
      <c r="B67" s="15" t="s">
        <v>82</v>
      </c>
      <c r="C67" s="56">
        <v>5957.6880000000001</v>
      </c>
      <c r="D67" s="57">
        <f t="shared" si="33"/>
        <v>496.47399999999999</v>
      </c>
      <c r="E67" s="58">
        <v>510</v>
      </c>
      <c r="F67" s="58">
        <v>510</v>
      </c>
      <c r="G67" s="58">
        <v>510</v>
      </c>
      <c r="H67" s="58">
        <v>510</v>
      </c>
      <c r="I67" s="58">
        <v>510</v>
      </c>
      <c r="J67" s="58">
        <v>510</v>
      </c>
      <c r="K67" s="58">
        <v>510</v>
      </c>
      <c r="L67" s="58">
        <v>510</v>
      </c>
      <c r="M67" s="58">
        <v>510</v>
      </c>
      <c r="N67" s="58">
        <v>510</v>
      </c>
      <c r="O67" s="58">
        <v>510</v>
      </c>
      <c r="P67" s="58">
        <v>510</v>
      </c>
      <c r="Q67" s="58">
        <f t="shared" ref="Q67:Q72" si="34">SUM(E67:P67)</f>
        <v>6120</v>
      </c>
      <c r="R67" s="89">
        <f t="shared" si="2"/>
        <v>510</v>
      </c>
      <c r="S67" s="15"/>
      <c r="T67" s="62">
        <f t="shared" si="22"/>
        <v>1.8471036418907895E-3</v>
      </c>
      <c r="U67" s="62">
        <f t="shared" si="11"/>
        <v>2.7244125573544619E-2</v>
      </c>
    </row>
    <row r="68" spans="1:23" x14ac:dyDescent="0.25">
      <c r="A68" s="25"/>
      <c r="B68" s="15" t="s">
        <v>83</v>
      </c>
      <c r="C68" s="56">
        <v>2368.5360000000001</v>
      </c>
      <c r="D68" s="57">
        <f t="shared" si="33"/>
        <v>197.37800000000001</v>
      </c>
      <c r="E68" s="58">
        <v>225</v>
      </c>
      <c r="F68" s="58">
        <v>225</v>
      </c>
      <c r="G68" s="58">
        <v>225</v>
      </c>
      <c r="H68" s="58">
        <v>225</v>
      </c>
      <c r="I68" s="58">
        <v>225</v>
      </c>
      <c r="J68" s="58">
        <v>225</v>
      </c>
      <c r="K68" s="58">
        <v>225</v>
      </c>
      <c r="L68" s="58">
        <v>225</v>
      </c>
      <c r="M68" s="58">
        <v>225</v>
      </c>
      <c r="N68" s="58">
        <v>225</v>
      </c>
      <c r="O68" s="58">
        <v>225</v>
      </c>
      <c r="P68" s="58">
        <v>225</v>
      </c>
      <c r="Q68" s="58">
        <f t="shared" si="34"/>
        <v>2700</v>
      </c>
      <c r="R68" s="89">
        <f t="shared" si="2"/>
        <v>225</v>
      </c>
      <c r="S68" s="15"/>
      <c r="T68" s="62">
        <f t="shared" si="22"/>
        <v>8.1489866554005416E-4</v>
      </c>
      <c r="U68" s="62">
        <f t="shared" si="11"/>
        <v>0.13994467468512192</v>
      </c>
    </row>
    <row r="69" spans="1:23" x14ac:dyDescent="0.25">
      <c r="A69" s="25"/>
      <c r="B69" s="15" t="s">
        <v>84</v>
      </c>
      <c r="C69" s="56">
        <v>6579.7799999999988</v>
      </c>
      <c r="D69" s="57">
        <f t="shared" si="33"/>
        <v>548.31499999999994</v>
      </c>
      <c r="E69" s="58">
        <v>600</v>
      </c>
      <c r="F69" s="58">
        <v>600</v>
      </c>
      <c r="G69" s="58">
        <v>600</v>
      </c>
      <c r="H69" s="58">
        <v>600</v>
      </c>
      <c r="I69" s="58">
        <v>600</v>
      </c>
      <c r="J69" s="58">
        <v>600</v>
      </c>
      <c r="K69" s="58">
        <v>600</v>
      </c>
      <c r="L69" s="58">
        <v>600</v>
      </c>
      <c r="M69" s="58">
        <v>600</v>
      </c>
      <c r="N69" s="58">
        <v>600</v>
      </c>
      <c r="O69" s="58">
        <v>600</v>
      </c>
      <c r="P69" s="58">
        <v>600</v>
      </c>
      <c r="Q69" s="58">
        <f t="shared" si="34"/>
        <v>7200</v>
      </c>
      <c r="R69" s="89">
        <f t="shared" si="2"/>
        <v>600</v>
      </c>
      <c r="S69" s="15"/>
      <c r="T69" s="62">
        <f t="shared" si="22"/>
        <v>2.1730631081068111E-3</v>
      </c>
      <c r="U69" s="62">
        <f t="shared" si="11"/>
        <v>9.4261510263261281E-2</v>
      </c>
    </row>
    <row r="70" spans="1:23" x14ac:dyDescent="0.25">
      <c r="A70" s="25"/>
      <c r="B70" s="15" t="s">
        <v>85</v>
      </c>
      <c r="C70" s="56">
        <v>62115.083999999995</v>
      </c>
      <c r="D70" s="57">
        <f t="shared" si="33"/>
        <v>5176.2569999999996</v>
      </c>
      <c r="E70" s="58">
        <v>7700</v>
      </c>
      <c r="F70" s="58">
        <v>7700</v>
      </c>
      <c r="G70" s="58">
        <v>7700</v>
      </c>
      <c r="H70" s="58">
        <v>7700</v>
      </c>
      <c r="I70" s="58">
        <v>7700</v>
      </c>
      <c r="J70" s="58">
        <v>7700</v>
      </c>
      <c r="K70" s="58">
        <v>8500</v>
      </c>
      <c r="L70" s="58">
        <v>8500</v>
      </c>
      <c r="M70" s="58">
        <v>8500</v>
      </c>
      <c r="N70" s="58">
        <v>8500</v>
      </c>
      <c r="O70" s="58">
        <v>8500</v>
      </c>
      <c r="P70" s="58">
        <v>8500</v>
      </c>
      <c r="Q70" s="58">
        <f t="shared" si="34"/>
        <v>97200</v>
      </c>
      <c r="R70" s="89">
        <f t="shared" si="2"/>
        <v>8100</v>
      </c>
      <c r="S70" s="15"/>
      <c r="T70" s="62">
        <f t="shared" si="22"/>
        <v>2.933635195944195E-2</v>
      </c>
      <c r="U70" s="62">
        <f t="shared" si="11"/>
        <v>0.5648372945933714</v>
      </c>
    </row>
    <row r="71" spans="1:23" x14ac:dyDescent="0.25">
      <c r="A71" s="25"/>
      <c r="B71" s="15" t="s">
        <v>86</v>
      </c>
      <c r="C71" s="56">
        <v>4879.7999999999993</v>
      </c>
      <c r="D71" s="57">
        <f t="shared" si="33"/>
        <v>406.64999999999992</v>
      </c>
      <c r="E71" s="58">
        <v>450</v>
      </c>
      <c r="F71" s="58">
        <v>450</v>
      </c>
      <c r="G71" s="58">
        <v>450</v>
      </c>
      <c r="H71" s="58">
        <v>450</v>
      </c>
      <c r="I71" s="58">
        <v>450</v>
      </c>
      <c r="J71" s="58">
        <v>450</v>
      </c>
      <c r="K71" s="58">
        <v>450</v>
      </c>
      <c r="L71" s="58">
        <v>450</v>
      </c>
      <c r="M71" s="58">
        <v>450</v>
      </c>
      <c r="N71" s="58">
        <v>450</v>
      </c>
      <c r="O71" s="58">
        <v>450</v>
      </c>
      <c r="P71" s="58">
        <v>450</v>
      </c>
      <c r="Q71" s="58">
        <f t="shared" si="34"/>
        <v>5400</v>
      </c>
      <c r="R71" s="89">
        <f t="shared" si="2"/>
        <v>450</v>
      </c>
      <c r="S71" s="15"/>
      <c r="T71" s="62">
        <f t="shared" si="22"/>
        <v>1.6297973310801083E-3</v>
      </c>
      <c r="U71" s="62">
        <f t="shared" si="11"/>
        <v>0.10660272962006656</v>
      </c>
    </row>
    <row r="72" spans="1:23" x14ac:dyDescent="0.25">
      <c r="A72" s="25"/>
      <c r="B72" s="15" t="s">
        <v>87</v>
      </c>
      <c r="C72" s="56">
        <v>13873.727999999999</v>
      </c>
      <c r="D72" s="57">
        <f t="shared" si="33"/>
        <v>1156.144</v>
      </c>
      <c r="E72" s="58">
        <v>1450</v>
      </c>
      <c r="F72" s="58">
        <v>1450</v>
      </c>
      <c r="G72" s="58">
        <v>1450</v>
      </c>
      <c r="H72" s="58">
        <v>1450</v>
      </c>
      <c r="I72" s="58">
        <v>1450</v>
      </c>
      <c r="J72" s="58">
        <v>1450</v>
      </c>
      <c r="K72" s="58">
        <v>1600</v>
      </c>
      <c r="L72" s="58">
        <v>1600</v>
      </c>
      <c r="M72" s="58">
        <v>1600</v>
      </c>
      <c r="N72" s="58">
        <v>1600</v>
      </c>
      <c r="O72" s="58">
        <v>1600</v>
      </c>
      <c r="P72" s="58">
        <v>1600</v>
      </c>
      <c r="Q72" s="58">
        <f t="shared" si="34"/>
        <v>18300</v>
      </c>
      <c r="R72" s="89">
        <f t="shared" si="2"/>
        <v>1525</v>
      </c>
      <c r="S72" s="15"/>
      <c r="T72" s="62">
        <f t="shared" si="22"/>
        <v>5.5232020664381454E-3</v>
      </c>
      <c r="U72" s="62">
        <f t="shared" si="11"/>
        <v>0.31903984278774972</v>
      </c>
    </row>
    <row r="73" spans="1:23" x14ac:dyDescent="0.25">
      <c r="A73" s="63" t="s">
        <v>88</v>
      </c>
      <c r="B73" s="15" t="s">
        <v>48</v>
      </c>
      <c r="C73" s="91">
        <f>SUM(C64:C72)</f>
        <v>102755.81999999999</v>
      </c>
      <c r="D73" s="92">
        <f t="shared" ref="D73:Q73" si="35">SUM(D64:D72)</f>
        <v>8562.9849999999988</v>
      </c>
      <c r="E73" s="93">
        <f t="shared" si="35"/>
        <v>12095</v>
      </c>
      <c r="F73" s="93">
        <f t="shared" si="35"/>
        <v>12095</v>
      </c>
      <c r="G73" s="93">
        <f t="shared" si="35"/>
        <v>12095</v>
      </c>
      <c r="H73" s="93">
        <f t="shared" si="35"/>
        <v>12095</v>
      </c>
      <c r="I73" s="93">
        <f t="shared" si="35"/>
        <v>12095</v>
      </c>
      <c r="J73" s="93">
        <f t="shared" si="35"/>
        <v>12095</v>
      </c>
      <c r="K73" s="93">
        <f t="shared" si="35"/>
        <v>13045</v>
      </c>
      <c r="L73" s="93">
        <f t="shared" si="35"/>
        <v>13045</v>
      </c>
      <c r="M73" s="93">
        <f t="shared" si="35"/>
        <v>13045</v>
      </c>
      <c r="N73" s="93">
        <f t="shared" si="35"/>
        <v>13045</v>
      </c>
      <c r="O73" s="93">
        <f t="shared" si="35"/>
        <v>13045</v>
      </c>
      <c r="P73" s="93">
        <f t="shared" si="35"/>
        <v>13045</v>
      </c>
      <c r="Q73" s="93">
        <f t="shared" si="35"/>
        <v>150840</v>
      </c>
      <c r="R73" s="94">
        <f t="shared" si="2"/>
        <v>12570</v>
      </c>
      <c r="T73" s="96">
        <f t="shared" si="22"/>
        <v>4.5525672114837691E-2</v>
      </c>
      <c r="U73" s="96">
        <f t="shared" si="11"/>
        <v>0.46794604918728699</v>
      </c>
    </row>
    <row r="74" spans="1:23" x14ac:dyDescent="0.25">
      <c r="A74" s="15" t="s">
        <v>89</v>
      </c>
      <c r="B74" s="15"/>
      <c r="C74" s="108">
        <v>0</v>
      </c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3" x14ac:dyDescent="0.25">
      <c r="A75" s="25"/>
      <c r="B75" s="15" t="s">
        <v>90</v>
      </c>
      <c r="C75" s="56">
        <f>78468.78+8000</f>
        <v>86468.78</v>
      </c>
      <c r="D75" s="57">
        <f>C75/12</f>
        <v>7205.7316666666666</v>
      </c>
      <c r="E75" s="58">
        <f>(((((E14+'[2]Payroll 2024'!K166)*E4)*3)*5.25))</f>
        <v>16716.459374999999</v>
      </c>
      <c r="F75" s="58">
        <f>(((((F14+'[2]Payroll 2024'!K167)*F4)*3)*5.25))</f>
        <v>15637.978125</v>
      </c>
      <c r="G75" s="58">
        <f>(((((G14+'[2]Payroll 2024'!K168)*G4)*3)*5.25))</f>
        <v>18669.459374999999</v>
      </c>
      <c r="H75" s="58">
        <f>(((((H14+'[2]Payroll 2024'!K169)*H4)*3)*5.25))</f>
        <v>18067.21875</v>
      </c>
      <c r="I75" s="58">
        <f>(((((I14+'[2]Payroll 2024'!K170)*I4)*3)*5.25))</f>
        <v>17692.959374999999</v>
      </c>
      <c r="J75" s="58">
        <f>(((((J14+'[2]Payroll 2024'!K171)*J4)*3)*5.25))</f>
        <v>17122.21875</v>
      </c>
      <c r="K75" s="58">
        <f>(((((K14+'[2]Payroll 2024'!K172)*K4)*3)*5.25))</f>
        <v>18181.209374999999</v>
      </c>
      <c r="L75" s="58">
        <f>(((((L14+'[2]Payroll 2024'!K173)*L4)*3)*5.25))</f>
        <v>19157.709374999999</v>
      </c>
      <c r="M75" s="58">
        <f>(((((M14+'[2]Payroll 2024'!K174)*M4)*3)*5.25))</f>
        <v>18539.71875</v>
      </c>
      <c r="N75" s="58">
        <f>(((((N14+'[2]Payroll 2024'!K175)*N4)*3)*5.25))</f>
        <v>20134.209374999999</v>
      </c>
      <c r="O75" s="58">
        <f>(((((O14+'[2]Payroll 2024'!K176)*O4)*3)*5.25))</f>
        <v>19484.71875</v>
      </c>
      <c r="P75" s="58">
        <f>(((((P14+'[2]Payroll 2024'!K177)*P4)*3)*5.25))</f>
        <v>20134.209374999999</v>
      </c>
      <c r="Q75" s="58">
        <f>SUM(E75:P75)</f>
        <v>219538.06875000003</v>
      </c>
      <c r="R75" s="89">
        <f t="shared" si="2"/>
        <v>18294.839062500003</v>
      </c>
      <c r="S75" s="15"/>
      <c r="T75" s="62">
        <f t="shared" si="22"/>
        <v>6.6259733059116921E-2</v>
      </c>
      <c r="U75" s="62">
        <f t="shared" si="11"/>
        <v>1.5389287179719668</v>
      </c>
      <c r="W75" s="113"/>
    </row>
    <row r="76" spans="1:23" x14ac:dyDescent="0.25">
      <c r="A76" s="63" t="s">
        <v>91</v>
      </c>
      <c r="B76" s="15"/>
      <c r="C76" s="91">
        <f t="shared" ref="C76:D76" si="36">SUM(C75)</f>
        <v>86468.78</v>
      </c>
      <c r="D76" s="92">
        <f t="shared" si="36"/>
        <v>7205.7316666666666</v>
      </c>
      <c r="E76" s="93">
        <f>SUM(E75)</f>
        <v>16716.459374999999</v>
      </c>
      <c r="F76" s="93">
        <f t="shared" ref="F76:Q76" si="37">SUM(F75)</f>
        <v>15637.978125</v>
      </c>
      <c r="G76" s="93">
        <f t="shared" si="37"/>
        <v>18669.459374999999</v>
      </c>
      <c r="H76" s="93">
        <f t="shared" si="37"/>
        <v>18067.21875</v>
      </c>
      <c r="I76" s="93">
        <f t="shared" si="37"/>
        <v>17692.959374999999</v>
      </c>
      <c r="J76" s="93">
        <f t="shared" si="37"/>
        <v>17122.21875</v>
      </c>
      <c r="K76" s="93">
        <f t="shared" si="37"/>
        <v>18181.209374999999</v>
      </c>
      <c r="L76" s="93">
        <f t="shared" si="37"/>
        <v>19157.709374999999</v>
      </c>
      <c r="M76" s="93">
        <f t="shared" si="37"/>
        <v>18539.71875</v>
      </c>
      <c r="N76" s="93">
        <f t="shared" si="37"/>
        <v>20134.209374999999</v>
      </c>
      <c r="O76" s="93">
        <f t="shared" si="37"/>
        <v>19484.71875</v>
      </c>
      <c r="P76" s="93">
        <f t="shared" si="37"/>
        <v>20134.209374999999</v>
      </c>
      <c r="Q76" s="93">
        <f t="shared" si="37"/>
        <v>219538.06875000003</v>
      </c>
      <c r="R76" s="94">
        <f t="shared" si="2"/>
        <v>18294.839062500003</v>
      </c>
      <c r="T76" s="96">
        <f t="shared" si="22"/>
        <v>6.6259733059116921E-2</v>
      </c>
      <c r="U76" s="96">
        <f t="shared" si="11"/>
        <v>1.5389287179719668</v>
      </c>
    </row>
    <row r="77" spans="1:23" x14ac:dyDescent="0.25">
      <c r="A77" s="15" t="s">
        <v>92</v>
      </c>
      <c r="B77" s="15" t="s">
        <v>48</v>
      </c>
      <c r="C77" s="114">
        <v>0</v>
      </c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3" x14ac:dyDescent="0.25">
      <c r="A78" s="25"/>
      <c r="B78" s="15" t="s">
        <v>93</v>
      </c>
      <c r="C78" s="56">
        <v>13608.108</v>
      </c>
      <c r="D78" s="57">
        <f t="shared" ref="D78:D81" si="38">C78/12</f>
        <v>1134.009</v>
      </c>
      <c r="E78" s="58">
        <v>1300</v>
      </c>
      <c r="F78" s="58">
        <v>1300</v>
      </c>
      <c r="G78" s="58">
        <v>1300</v>
      </c>
      <c r="H78" s="58">
        <v>1300</v>
      </c>
      <c r="I78" s="58">
        <v>1300</v>
      </c>
      <c r="J78" s="58">
        <v>1300</v>
      </c>
      <c r="K78" s="58">
        <v>1300</v>
      </c>
      <c r="L78" s="58">
        <v>1300</v>
      </c>
      <c r="M78" s="58">
        <v>1300</v>
      </c>
      <c r="N78" s="58">
        <v>1300</v>
      </c>
      <c r="O78" s="58">
        <v>1300</v>
      </c>
      <c r="P78" s="58">
        <v>1300</v>
      </c>
      <c r="Q78" s="58">
        <f>SUM(E78:P78)</f>
        <v>15600</v>
      </c>
      <c r="R78" s="89">
        <f t="shared" si="2"/>
        <v>1300</v>
      </c>
      <c r="S78" s="15"/>
      <c r="T78" s="62">
        <f t="shared" si="22"/>
        <v>4.7083034008980913E-3</v>
      </c>
      <c r="U78" s="62">
        <f t="shared" si="11"/>
        <v>0.14637538150049953</v>
      </c>
    </row>
    <row r="79" spans="1:23" x14ac:dyDescent="0.25">
      <c r="A79" s="25"/>
      <c r="B79" s="15" t="s">
        <v>94</v>
      </c>
      <c r="C79" s="56">
        <v>0</v>
      </c>
      <c r="D79" s="57">
        <f t="shared" si="38"/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f>SUM(E79:P79)</f>
        <v>0</v>
      </c>
      <c r="R79" s="89">
        <f t="shared" si="2"/>
        <v>0</v>
      </c>
      <c r="S79" s="15"/>
      <c r="T79" s="62">
        <f t="shared" si="22"/>
        <v>0</v>
      </c>
      <c r="U79" s="62">
        <f t="shared" si="11"/>
        <v>0</v>
      </c>
    </row>
    <row r="80" spans="1:23" x14ac:dyDescent="0.25">
      <c r="A80" s="25"/>
      <c r="B80" s="15" t="s">
        <v>95</v>
      </c>
      <c r="C80" s="56">
        <v>3185.3879999999995</v>
      </c>
      <c r="D80" s="57">
        <f t="shared" si="38"/>
        <v>265.44899999999996</v>
      </c>
      <c r="E80" s="58">
        <v>400</v>
      </c>
      <c r="F80" s="58">
        <v>400</v>
      </c>
      <c r="G80" s="58">
        <v>400</v>
      </c>
      <c r="H80" s="58">
        <v>400</v>
      </c>
      <c r="I80" s="58">
        <v>400</v>
      </c>
      <c r="J80" s="58">
        <v>400</v>
      </c>
      <c r="K80" s="58">
        <v>520</v>
      </c>
      <c r="L80" s="58">
        <v>520</v>
      </c>
      <c r="M80" s="58">
        <v>520</v>
      </c>
      <c r="N80" s="58">
        <v>520</v>
      </c>
      <c r="O80" s="58">
        <v>520</v>
      </c>
      <c r="P80" s="58">
        <v>520</v>
      </c>
      <c r="Q80" s="58">
        <f>SUM(E80:P80)</f>
        <v>5520</v>
      </c>
      <c r="R80" s="89">
        <f t="shared" si="2"/>
        <v>460</v>
      </c>
      <c r="S80" s="15"/>
      <c r="T80" s="62">
        <f t="shared" si="22"/>
        <v>1.6660150495485552E-3</v>
      </c>
      <c r="U80" s="62">
        <f t="shared" si="11"/>
        <v>0.73291291359168831</v>
      </c>
    </row>
    <row r="81" spans="1:21" x14ac:dyDescent="0.25">
      <c r="A81" s="25"/>
      <c r="B81" s="15" t="s">
        <v>96</v>
      </c>
      <c r="C81" s="56">
        <v>823.84799999999996</v>
      </c>
      <c r="D81" s="57">
        <f t="shared" si="38"/>
        <v>68.653999999999996</v>
      </c>
      <c r="E81" s="58">
        <v>250</v>
      </c>
      <c r="F81" s="58">
        <v>250</v>
      </c>
      <c r="G81" s="58">
        <v>250</v>
      </c>
      <c r="H81" s="58">
        <v>250</v>
      </c>
      <c r="I81" s="58">
        <v>250</v>
      </c>
      <c r="J81" s="58">
        <v>250</v>
      </c>
      <c r="K81" s="58">
        <v>250</v>
      </c>
      <c r="L81" s="58">
        <v>250</v>
      </c>
      <c r="M81" s="58">
        <v>250</v>
      </c>
      <c r="N81" s="58">
        <v>250</v>
      </c>
      <c r="O81" s="58">
        <v>250</v>
      </c>
      <c r="P81" s="58">
        <v>250</v>
      </c>
      <c r="Q81" s="58">
        <f>SUM(E81:P81)</f>
        <v>3000</v>
      </c>
      <c r="R81" s="89">
        <f t="shared" si="2"/>
        <v>250</v>
      </c>
      <c r="S81" s="15"/>
      <c r="T81" s="62">
        <f t="shared" si="22"/>
        <v>9.0544296171117132E-4</v>
      </c>
      <c r="U81" s="62">
        <f t="shared" si="11"/>
        <v>2.6414484225245434</v>
      </c>
    </row>
    <row r="82" spans="1:21" x14ac:dyDescent="0.25">
      <c r="A82" s="63" t="s">
        <v>97</v>
      </c>
      <c r="B82" s="15" t="s">
        <v>48</v>
      </c>
      <c r="C82" s="91">
        <f t="shared" ref="C82:D82" si="39">SUM(C78:C81)</f>
        <v>17617.343999999997</v>
      </c>
      <c r="D82" s="92">
        <f t="shared" si="39"/>
        <v>1468.1120000000001</v>
      </c>
      <c r="E82" s="93">
        <f>SUM(E78:E81)</f>
        <v>1950</v>
      </c>
      <c r="F82" s="93">
        <f t="shared" ref="F82:Q82" si="40">SUM(F78:F81)</f>
        <v>1950</v>
      </c>
      <c r="G82" s="93">
        <f t="shared" si="40"/>
        <v>1950</v>
      </c>
      <c r="H82" s="93">
        <f t="shared" si="40"/>
        <v>1950</v>
      </c>
      <c r="I82" s="93">
        <f t="shared" si="40"/>
        <v>1950</v>
      </c>
      <c r="J82" s="93">
        <f t="shared" si="40"/>
        <v>1950</v>
      </c>
      <c r="K82" s="93">
        <f t="shared" si="40"/>
        <v>2070</v>
      </c>
      <c r="L82" s="93">
        <f t="shared" si="40"/>
        <v>2070</v>
      </c>
      <c r="M82" s="93">
        <f t="shared" si="40"/>
        <v>2070</v>
      </c>
      <c r="N82" s="93">
        <f t="shared" si="40"/>
        <v>2070</v>
      </c>
      <c r="O82" s="93">
        <f t="shared" si="40"/>
        <v>2070</v>
      </c>
      <c r="P82" s="93">
        <f t="shared" si="40"/>
        <v>2070</v>
      </c>
      <c r="Q82" s="93">
        <f t="shared" si="40"/>
        <v>24120</v>
      </c>
      <c r="R82" s="94">
        <f t="shared" si="2"/>
        <v>2010</v>
      </c>
      <c r="T82" s="96">
        <f t="shared" si="22"/>
        <v>7.2797614121578175E-3</v>
      </c>
      <c r="U82" s="96">
        <f t="shared" si="11"/>
        <v>0.36910535435988556</v>
      </c>
    </row>
    <row r="83" spans="1:21" x14ac:dyDescent="0.25">
      <c r="A83" s="15" t="s">
        <v>98</v>
      </c>
      <c r="B83" s="15" t="s">
        <v>48</v>
      </c>
      <c r="C83" s="97">
        <v>0</v>
      </c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>
        <v>7428.2880000000005</v>
      </c>
      <c r="D84" s="57">
        <f t="shared" ref="D84:D89" si="41">C84/12</f>
        <v>619.024</v>
      </c>
      <c r="E84" s="58">
        <v>850</v>
      </c>
      <c r="F84" s="58">
        <v>850</v>
      </c>
      <c r="G84" s="58">
        <v>850</v>
      </c>
      <c r="H84" s="58">
        <v>850</v>
      </c>
      <c r="I84" s="58">
        <v>850</v>
      </c>
      <c r="J84" s="58">
        <v>850</v>
      </c>
      <c r="K84" s="58">
        <v>850</v>
      </c>
      <c r="L84" s="58">
        <v>850</v>
      </c>
      <c r="M84" s="58">
        <v>850</v>
      </c>
      <c r="N84" s="58">
        <v>850</v>
      </c>
      <c r="O84" s="58">
        <v>850</v>
      </c>
      <c r="P84" s="58">
        <v>850</v>
      </c>
      <c r="Q84" s="58">
        <f t="shared" ref="Q84:Q89" si="42">SUM(E84:P84)</f>
        <v>10200</v>
      </c>
      <c r="R84" s="89">
        <f t="shared" si="2"/>
        <v>850</v>
      </c>
      <c r="S84" s="15"/>
      <c r="T84" s="62">
        <f t="shared" si="22"/>
        <v>3.0785060698179825E-3</v>
      </c>
      <c r="U84" s="62">
        <f t="shared" si="11"/>
        <v>0.37312931324148974</v>
      </c>
    </row>
    <row r="85" spans="1:21" x14ac:dyDescent="0.25">
      <c r="A85" s="25"/>
      <c r="B85" s="15" t="s">
        <v>100</v>
      </c>
      <c r="C85" s="56">
        <v>0</v>
      </c>
      <c r="D85" s="57">
        <f t="shared" si="41"/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f t="shared" si="42"/>
        <v>0</v>
      </c>
      <c r="R85" s="89">
        <f t="shared" si="2"/>
        <v>0</v>
      </c>
      <c r="S85" s="15"/>
      <c r="T85" s="62">
        <f t="shared" si="22"/>
        <v>0</v>
      </c>
      <c r="U85" s="62">
        <f t="shared" si="11"/>
        <v>0</v>
      </c>
    </row>
    <row r="86" spans="1:21" x14ac:dyDescent="0.25">
      <c r="A86" s="25"/>
      <c r="B86" s="15" t="s">
        <v>101</v>
      </c>
      <c r="C86" s="56">
        <v>3243.288</v>
      </c>
      <c r="D86" s="57">
        <f t="shared" si="41"/>
        <v>270.274</v>
      </c>
      <c r="E86" s="58">
        <v>300</v>
      </c>
      <c r="F86" s="58">
        <v>300</v>
      </c>
      <c r="G86" s="58">
        <v>300</v>
      </c>
      <c r="H86" s="58">
        <v>300</v>
      </c>
      <c r="I86" s="58">
        <v>300</v>
      </c>
      <c r="J86" s="58">
        <v>300</v>
      </c>
      <c r="K86" s="58">
        <v>300</v>
      </c>
      <c r="L86" s="58">
        <v>300</v>
      </c>
      <c r="M86" s="58">
        <v>300</v>
      </c>
      <c r="N86" s="58">
        <v>300</v>
      </c>
      <c r="O86" s="58">
        <v>300</v>
      </c>
      <c r="P86" s="58">
        <v>300</v>
      </c>
      <c r="Q86" s="58">
        <f t="shared" si="42"/>
        <v>3600</v>
      </c>
      <c r="R86" s="89">
        <f t="shared" si="2"/>
        <v>300</v>
      </c>
      <c r="S86" s="15"/>
      <c r="T86" s="62">
        <f t="shared" si="22"/>
        <v>1.0865315540534055E-3</v>
      </c>
      <c r="U86" s="62">
        <f t="shared" si="11"/>
        <v>0.10998468221138548</v>
      </c>
    </row>
    <row r="87" spans="1:21" x14ac:dyDescent="0.25">
      <c r="A87" s="25"/>
      <c r="B87" s="15" t="s">
        <v>102</v>
      </c>
      <c r="C87" s="56">
        <v>1321.3679999999999</v>
      </c>
      <c r="D87" s="57">
        <f t="shared" si="41"/>
        <v>110.11399999999999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f t="shared" si="42"/>
        <v>0</v>
      </c>
      <c r="R87" s="89">
        <f t="shared" si="2"/>
        <v>0</v>
      </c>
      <c r="S87" s="15"/>
      <c r="T87" s="62">
        <f t="shared" si="22"/>
        <v>0</v>
      </c>
      <c r="U87" s="62">
        <f t="shared" si="11"/>
        <v>-1</v>
      </c>
    </row>
    <row r="88" spans="1:21" x14ac:dyDescent="0.25">
      <c r="A88" s="25"/>
      <c r="B88" s="15" t="s">
        <v>103</v>
      </c>
      <c r="C88" s="56">
        <v>0</v>
      </c>
      <c r="D88" s="57">
        <f t="shared" si="41"/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f t="shared" si="42"/>
        <v>0</v>
      </c>
      <c r="R88" s="89">
        <f t="shared" ref="R88:R137" si="43">AVERAGE(E88:P88)</f>
        <v>0</v>
      </c>
      <c r="S88" s="15"/>
      <c r="T88" s="62">
        <f t="shared" si="22"/>
        <v>0</v>
      </c>
      <c r="U88" s="62">
        <f t="shared" si="11"/>
        <v>0</v>
      </c>
    </row>
    <row r="89" spans="1:21" x14ac:dyDescent="0.25">
      <c r="A89" s="25"/>
      <c r="B89" s="15" t="s">
        <v>104</v>
      </c>
      <c r="C89" s="56">
        <v>1196.1480000000001</v>
      </c>
      <c r="D89" s="57">
        <f t="shared" si="41"/>
        <v>99.679000000000016</v>
      </c>
      <c r="E89" s="58">
        <v>100</v>
      </c>
      <c r="F89" s="58">
        <v>100</v>
      </c>
      <c r="G89" s="58">
        <v>100</v>
      </c>
      <c r="H89" s="58">
        <v>100</v>
      </c>
      <c r="I89" s="58">
        <v>100</v>
      </c>
      <c r="J89" s="58">
        <v>100</v>
      </c>
      <c r="K89" s="58">
        <v>100</v>
      </c>
      <c r="L89" s="58">
        <v>100</v>
      </c>
      <c r="M89" s="58">
        <v>100</v>
      </c>
      <c r="N89" s="58">
        <v>100</v>
      </c>
      <c r="O89" s="58">
        <v>100</v>
      </c>
      <c r="P89" s="58">
        <v>100</v>
      </c>
      <c r="Q89" s="58">
        <f t="shared" si="42"/>
        <v>1200</v>
      </c>
      <c r="R89" s="89">
        <f t="shared" si="43"/>
        <v>100</v>
      </c>
      <c r="S89" s="15"/>
      <c r="T89" s="62">
        <f t="shared" si="22"/>
        <v>3.6217718468446855E-4</v>
      </c>
      <c r="U89" s="62">
        <f t="shared" ref="U89:U137" si="44">IFERROR((Q89-C89)/C89,0)</f>
        <v>3.2203372826772785E-3</v>
      </c>
    </row>
    <row r="90" spans="1:21" x14ac:dyDescent="0.25">
      <c r="A90" s="63" t="s">
        <v>105</v>
      </c>
      <c r="B90" s="15" t="s">
        <v>48</v>
      </c>
      <c r="C90" s="91">
        <f t="shared" ref="C90:Q90" si="45">SUM(C84:C89)</f>
        <v>13189.092000000001</v>
      </c>
      <c r="D90" s="92">
        <f t="shared" si="45"/>
        <v>1099.0910000000001</v>
      </c>
      <c r="E90" s="93">
        <f t="shared" si="45"/>
        <v>1250</v>
      </c>
      <c r="F90" s="93">
        <f t="shared" si="45"/>
        <v>1250</v>
      </c>
      <c r="G90" s="93">
        <f t="shared" si="45"/>
        <v>1250</v>
      </c>
      <c r="H90" s="93">
        <f t="shared" si="45"/>
        <v>1250</v>
      </c>
      <c r="I90" s="93">
        <f t="shared" si="45"/>
        <v>1250</v>
      </c>
      <c r="J90" s="93">
        <f t="shared" si="45"/>
        <v>1250</v>
      </c>
      <c r="K90" s="93">
        <f t="shared" si="45"/>
        <v>1250</v>
      </c>
      <c r="L90" s="93">
        <f t="shared" si="45"/>
        <v>1250</v>
      </c>
      <c r="M90" s="93">
        <f t="shared" si="45"/>
        <v>1250</v>
      </c>
      <c r="N90" s="93">
        <f t="shared" si="45"/>
        <v>1250</v>
      </c>
      <c r="O90" s="93">
        <f t="shared" si="45"/>
        <v>1250</v>
      </c>
      <c r="P90" s="93">
        <f t="shared" si="45"/>
        <v>1250</v>
      </c>
      <c r="Q90" s="93">
        <f t="shared" si="45"/>
        <v>15000</v>
      </c>
      <c r="R90" s="94">
        <f>AVERAGE(E90:P90)</f>
        <v>1250</v>
      </c>
      <c r="T90" s="96">
        <f t="shared" si="22"/>
        <v>4.5272148085558567E-3</v>
      </c>
      <c r="U90" s="96">
        <f t="shared" si="44"/>
        <v>0.13730346258863002</v>
      </c>
    </row>
    <row r="91" spans="1:21" x14ac:dyDescent="0.25">
      <c r="A91" s="15" t="s">
        <v>106</v>
      </c>
      <c r="B91" s="15"/>
      <c r="C91" s="64">
        <v>0</v>
      </c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>
        <v>0</v>
      </c>
      <c r="D92" s="57">
        <f t="shared" ref="D92:D94" si="46">C92/12</f>
        <v>0</v>
      </c>
      <c r="E92" s="58">
        <v>1300</v>
      </c>
      <c r="F92" s="58">
        <v>1300</v>
      </c>
      <c r="G92" s="58">
        <v>1300</v>
      </c>
      <c r="H92" s="58">
        <v>1300</v>
      </c>
      <c r="I92" s="58">
        <v>1300</v>
      </c>
      <c r="J92" s="58">
        <v>1300</v>
      </c>
      <c r="K92" s="58">
        <v>1300</v>
      </c>
      <c r="L92" s="58">
        <v>1300</v>
      </c>
      <c r="M92" s="58">
        <v>1300</v>
      </c>
      <c r="N92" s="58">
        <v>1300</v>
      </c>
      <c r="O92" s="58">
        <v>1300</v>
      </c>
      <c r="P92" s="58">
        <v>1300</v>
      </c>
      <c r="Q92" s="58">
        <f>SUM(E92:P92)</f>
        <v>15600</v>
      </c>
      <c r="R92" s="89">
        <f>AVERAGE(E92:P92)</f>
        <v>1300</v>
      </c>
      <c r="S92" s="15"/>
      <c r="T92" s="62">
        <f t="shared" si="22"/>
        <v>4.7083034008980913E-3</v>
      </c>
      <c r="U92" s="62">
        <f t="shared" si="44"/>
        <v>0</v>
      </c>
    </row>
    <row r="93" spans="1:21" x14ac:dyDescent="0.25">
      <c r="A93" s="25"/>
      <c r="B93" s="15" t="s">
        <v>108</v>
      </c>
      <c r="C93" s="56">
        <v>0</v>
      </c>
      <c r="D93" s="57">
        <f t="shared" si="46"/>
        <v>0</v>
      </c>
      <c r="E93" s="58">
        <v>300</v>
      </c>
      <c r="F93" s="58">
        <v>300</v>
      </c>
      <c r="G93" s="58">
        <v>300</v>
      </c>
      <c r="H93" s="58">
        <v>300</v>
      </c>
      <c r="I93" s="58">
        <v>300</v>
      </c>
      <c r="J93" s="58">
        <v>300</v>
      </c>
      <c r="K93" s="58">
        <v>300</v>
      </c>
      <c r="L93" s="58">
        <v>300</v>
      </c>
      <c r="M93" s="58">
        <v>300</v>
      </c>
      <c r="N93" s="58">
        <v>300</v>
      </c>
      <c r="O93" s="58">
        <v>300</v>
      </c>
      <c r="P93" s="58">
        <v>300</v>
      </c>
      <c r="Q93" s="58">
        <f>SUM(E93:P93)</f>
        <v>3600</v>
      </c>
      <c r="R93" s="89">
        <f t="shared" si="43"/>
        <v>300</v>
      </c>
      <c r="S93" s="15"/>
      <c r="T93" s="62">
        <f t="shared" si="22"/>
        <v>1.0865315540534055E-3</v>
      </c>
      <c r="U93" s="62">
        <f t="shared" si="44"/>
        <v>0</v>
      </c>
    </row>
    <row r="94" spans="1:21" x14ac:dyDescent="0.25">
      <c r="A94" s="25"/>
      <c r="B94" s="15" t="s">
        <v>109</v>
      </c>
      <c r="C94" s="56">
        <v>5252.7000000000007</v>
      </c>
      <c r="D94" s="57">
        <f t="shared" si="46"/>
        <v>437.72500000000008</v>
      </c>
      <c r="E94" s="58">
        <v>450</v>
      </c>
      <c r="F94" s="58">
        <v>450</v>
      </c>
      <c r="G94" s="58">
        <v>450</v>
      </c>
      <c r="H94" s="58">
        <v>450</v>
      </c>
      <c r="I94" s="58">
        <v>450</v>
      </c>
      <c r="J94" s="58">
        <v>450</v>
      </c>
      <c r="K94" s="58">
        <v>450</v>
      </c>
      <c r="L94" s="58">
        <v>450</v>
      </c>
      <c r="M94" s="58">
        <v>450</v>
      </c>
      <c r="N94" s="58">
        <v>450</v>
      </c>
      <c r="O94" s="58">
        <v>450</v>
      </c>
      <c r="P94" s="58">
        <v>450</v>
      </c>
      <c r="Q94" s="58">
        <f>SUM(E94:P94)</f>
        <v>5400</v>
      </c>
      <c r="R94" s="89">
        <f t="shared" si="43"/>
        <v>450</v>
      </c>
      <c r="S94" s="15"/>
      <c r="T94" s="62">
        <f t="shared" si="22"/>
        <v>1.6297973310801083E-3</v>
      </c>
      <c r="U94" s="62">
        <f t="shared" si="44"/>
        <v>2.8042720886401137E-2</v>
      </c>
    </row>
    <row r="95" spans="1:21" x14ac:dyDescent="0.25">
      <c r="A95" s="63" t="s">
        <v>110</v>
      </c>
      <c r="B95" s="15"/>
      <c r="C95" s="91">
        <f t="shared" ref="C95:Q95" si="47">SUM(C92:C94)</f>
        <v>5252.7000000000007</v>
      </c>
      <c r="D95" s="92">
        <f t="shared" si="47"/>
        <v>437.72500000000008</v>
      </c>
      <c r="E95" s="93">
        <f t="shared" si="47"/>
        <v>2050</v>
      </c>
      <c r="F95" s="93">
        <f t="shared" si="47"/>
        <v>2050</v>
      </c>
      <c r="G95" s="93">
        <f t="shared" si="47"/>
        <v>2050</v>
      </c>
      <c r="H95" s="93">
        <f t="shared" si="47"/>
        <v>2050</v>
      </c>
      <c r="I95" s="93">
        <f t="shared" si="47"/>
        <v>2050</v>
      </c>
      <c r="J95" s="93">
        <f t="shared" si="47"/>
        <v>2050</v>
      </c>
      <c r="K95" s="93">
        <f t="shared" si="47"/>
        <v>2050</v>
      </c>
      <c r="L95" s="93">
        <f t="shared" si="47"/>
        <v>2050</v>
      </c>
      <c r="M95" s="93">
        <f t="shared" si="47"/>
        <v>2050</v>
      </c>
      <c r="N95" s="93">
        <f t="shared" si="47"/>
        <v>2050</v>
      </c>
      <c r="O95" s="93">
        <f t="shared" si="47"/>
        <v>2050</v>
      </c>
      <c r="P95" s="93">
        <f t="shared" si="47"/>
        <v>2050</v>
      </c>
      <c r="Q95" s="93">
        <f t="shared" si="47"/>
        <v>24600</v>
      </c>
      <c r="R95" s="94">
        <f t="shared" si="43"/>
        <v>2050</v>
      </c>
      <c r="T95" s="96">
        <f t="shared" si="22"/>
        <v>7.4246322860316051E-3</v>
      </c>
      <c r="U95" s="96">
        <f t="shared" si="44"/>
        <v>3.6833057284824942</v>
      </c>
    </row>
    <row r="96" spans="1:21" x14ac:dyDescent="0.25">
      <c r="A96" s="15" t="s">
        <v>111</v>
      </c>
      <c r="B96" s="15" t="s">
        <v>48</v>
      </c>
      <c r="C96" s="114">
        <v>0</v>
      </c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>
        <v>118.28399999999999</v>
      </c>
      <c r="D97" s="57">
        <f t="shared" ref="D97:D120" si="48">C97/12</f>
        <v>9.8569999999999993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f t="shared" ref="Q97:Q120" si="49">SUM(E97:P97)</f>
        <v>0</v>
      </c>
      <c r="R97" s="89">
        <f t="shared" si="43"/>
        <v>0</v>
      </c>
      <c r="S97" s="15"/>
      <c r="T97" s="62">
        <f t="shared" si="22"/>
        <v>0</v>
      </c>
      <c r="U97" s="62">
        <f t="shared" si="44"/>
        <v>-1</v>
      </c>
    </row>
    <row r="98" spans="1:21" ht="23.25" x14ac:dyDescent="0.25">
      <c r="A98" s="25"/>
      <c r="B98" s="15" t="s">
        <v>113</v>
      </c>
      <c r="C98" s="56">
        <v>0</v>
      </c>
      <c r="D98" s="57">
        <f t="shared" si="48"/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f t="shared" si="49"/>
        <v>0</v>
      </c>
      <c r="R98" s="89">
        <f t="shared" si="43"/>
        <v>0</v>
      </c>
      <c r="S98" s="15"/>
      <c r="T98" s="62">
        <f t="shared" si="22"/>
        <v>0</v>
      </c>
      <c r="U98" s="62">
        <f t="shared" si="44"/>
        <v>0</v>
      </c>
    </row>
    <row r="99" spans="1:21" x14ac:dyDescent="0.25">
      <c r="A99" s="117"/>
      <c r="B99" s="118" t="s">
        <v>114</v>
      </c>
      <c r="C99" s="56">
        <v>4201.3559999999998</v>
      </c>
      <c r="D99" s="57">
        <f t="shared" si="48"/>
        <v>350.113</v>
      </c>
      <c r="E99" s="58">
        <v>450</v>
      </c>
      <c r="F99" s="58">
        <v>450</v>
      </c>
      <c r="G99" s="58">
        <v>450</v>
      </c>
      <c r="H99" s="58">
        <v>450</v>
      </c>
      <c r="I99" s="58">
        <v>450</v>
      </c>
      <c r="J99" s="58">
        <v>450</v>
      </c>
      <c r="K99" s="58">
        <v>550</v>
      </c>
      <c r="L99" s="58">
        <v>550</v>
      </c>
      <c r="M99" s="58">
        <v>550</v>
      </c>
      <c r="N99" s="58">
        <v>550</v>
      </c>
      <c r="O99" s="58">
        <v>550</v>
      </c>
      <c r="P99" s="58">
        <v>550</v>
      </c>
      <c r="Q99" s="119">
        <f t="shared" si="49"/>
        <v>6000</v>
      </c>
      <c r="R99" s="89">
        <f t="shared" si="43"/>
        <v>500</v>
      </c>
      <c r="S99" s="15"/>
      <c r="T99" s="62">
        <f t="shared" si="22"/>
        <v>1.8108859234223426E-3</v>
      </c>
      <c r="U99" s="120">
        <f t="shared" si="44"/>
        <v>0.42811035294319272</v>
      </c>
    </row>
    <row r="100" spans="1:21" x14ac:dyDescent="0.25">
      <c r="A100" s="121"/>
      <c r="B100" s="122" t="s">
        <v>115</v>
      </c>
      <c r="C100" s="123">
        <v>0</v>
      </c>
      <c r="D100" s="124">
        <f t="shared" si="48"/>
        <v>0</v>
      </c>
      <c r="E100" s="125">
        <v>500</v>
      </c>
      <c r="F100" s="126">
        <v>500</v>
      </c>
      <c r="G100" s="126">
        <v>500</v>
      </c>
      <c r="H100" s="126">
        <v>500</v>
      </c>
      <c r="I100" s="126">
        <v>500</v>
      </c>
      <c r="J100" s="126">
        <v>500</v>
      </c>
      <c r="K100" s="126">
        <v>500</v>
      </c>
      <c r="L100" s="126">
        <v>500</v>
      </c>
      <c r="M100" s="126">
        <v>500</v>
      </c>
      <c r="N100" s="126">
        <v>500</v>
      </c>
      <c r="O100" s="126">
        <v>500</v>
      </c>
      <c r="P100" s="126">
        <v>500</v>
      </c>
      <c r="Q100" s="124">
        <f t="shared" si="49"/>
        <v>6000</v>
      </c>
      <c r="R100" s="127">
        <f t="shared" si="43"/>
        <v>500</v>
      </c>
      <c r="S100" s="128"/>
      <c r="T100" s="129">
        <f t="shared" si="22"/>
        <v>1.8108859234223426E-3</v>
      </c>
      <c r="U100" s="130">
        <f t="shared" si="44"/>
        <v>0</v>
      </c>
    </row>
    <row r="101" spans="1:21" x14ac:dyDescent="0.25">
      <c r="A101" s="25"/>
      <c r="B101" s="15" t="s">
        <v>116</v>
      </c>
      <c r="C101" s="131">
        <v>4446</v>
      </c>
      <c r="D101" s="132">
        <f t="shared" si="48"/>
        <v>370.5</v>
      </c>
      <c r="E101" s="58">
        <v>360</v>
      </c>
      <c r="F101" s="58">
        <v>360</v>
      </c>
      <c r="G101" s="58">
        <v>360</v>
      </c>
      <c r="H101" s="58">
        <v>400</v>
      </c>
      <c r="I101" s="58">
        <v>400</v>
      </c>
      <c r="J101" s="58">
        <v>400</v>
      </c>
      <c r="K101" s="58">
        <v>440</v>
      </c>
      <c r="L101" s="58">
        <v>440</v>
      </c>
      <c r="M101" s="58">
        <v>440</v>
      </c>
      <c r="N101" s="58">
        <v>480</v>
      </c>
      <c r="O101" s="58">
        <v>480</v>
      </c>
      <c r="P101" s="58">
        <v>480</v>
      </c>
      <c r="Q101" s="58">
        <f t="shared" si="49"/>
        <v>5040</v>
      </c>
      <c r="R101" s="89">
        <f t="shared" si="43"/>
        <v>420</v>
      </c>
      <c r="S101" s="133"/>
      <c r="T101" s="134">
        <f t="shared" si="22"/>
        <v>1.5211441756747678E-3</v>
      </c>
      <c r="U101" s="62">
        <f t="shared" si="44"/>
        <v>0.13360323886639677</v>
      </c>
    </row>
    <row r="102" spans="1:21" x14ac:dyDescent="0.25">
      <c r="A102" s="25"/>
      <c r="B102" s="15" t="s">
        <v>117</v>
      </c>
      <c r="C102" s="56">
        <v>0</v>
      </c>
      <c r="D102" s="57">
        <f t="shared" si="48"/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135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f t="shared" si="49"/>
        <v>0</v>
      </c>
      <c r="R102" s="89">
        <f t="shared" si="43"/>
        <v>0</v>
      </c>
      <c r="S102" s="15"/>
      <c r="T102" s="62">
        <f t="shared" si="22"/>
        <v>0</v>
      </c>
      <c r="U102" s="62">
        <f t="shared" si="44"/>
        <v>0</v>
      </c>
    </row>
    <row r="103" spans="1:21" ht="23.25" x14ac:dyDescent="0.25">
      <c r="A103" s="25"/>
      <c r="B103" s="15" t="s">
        <v>118</v>
      </c>
      <c r="C103" s="56">
        <v>2145.9480000000003</v>
      </c>
      <c r="D103" s="57">
        <f t="shared" si="48"/>
        <v>178.82900000000004</v>
      </c>
      <c r="E103" s="58">
        <v>200</v>
      </c>
      <c r="F103" s="58">
        <v>200</v>
      </c>
      <c r="G103" s="58">
        <v>200</v>
      </c>
      <c r="H103" s="58">
        <v>200</v>
      </c>
      <c r="I103" s="58">
        <v>200</v>
      </c>
      <c r="J103" s="58">
        <v>200</v>
      </c>
      <c r="K103" s="58">
        <v>200</v>
      </c>
      <c r="L103" s="58">
        <v>200</v>
      </c>
      <c r="M103" s="58">
        <v>200</v>
      </c>
      <c r="N103" s="58">
        <v>200</v>
      </c>
      <c r="O103" s="58">
        <v>200</v>
      </c>
      <c r="P103" s="58">
        <v>200</v>
      </c>
      <c r="Q103" s="58">
        <f t="shared" si="49"/>
        <v>2400</v>
      </c>
      <c r="R103" s="89">
        <f t="shared" si="43"/>
        <v>200</v>
      </c>
      <c r="S103" s="15"/>
      <c r="T103" s="62">
        <f t="shared" ref="T103:T135" si="50">Q103/$Q$34</f>
        <v>7.243543693689371E-4</v>
      </c>
      <c r="U103" s="62">
        <f t="shared" si="44"/>
        <v>0.11838683882368056</v>
      </c>
    </row>
    <row r="104" spans="1:21" x14ac:dyDescent="0.25">
      <c r="A104" s="25"/>
      <c r="B104" s="15" t="s">
        <v>119</v>
      </c>
      <c r="C104" s="56">
        <v>8447.34</v>
      </c>
      <c r="D104" s="57">
        <f t="shared" si="48"/>
        <v>703.94500000000005</v>
      </c>
      <c r="E104" s="136">
        <f>(50*(E7+E8))+(25*(E9+E10))+(10*(E11+E12))+(15*E13)</f>
        <v>1000</v>
      </c>
      <c r="F104" s="136">
        <f t="shared" ref="F104:P104" si="51">(50*(F7+F8))+(25*(F9+F10))+(10*(F11+F12))+(15*F13)</f>
        <v>1000</v>
      </c>
      <c r="G104" s="136">
        <f t="shared" si="51"/>
        <v>1150</v>
      </c>
      <c r="H104" s="136">
        <f t="shared" si="51"/>
        <v>1150</v>
      </c>
      <c r="I104" s="136">
        <f t="shared" si="51"/>
        <v>1050</v>
      </c>
      <c r="J104" s="136">
        <f t="shared" si="51"/>
        <v>1050</v>
      </c>
      <c r="K104" s="136">
        <f t="shared" si="51"/>
        <v>1075</v>
      </c>
      <c r="L104" s="136">
        <f>(50*(L7+L8))+(25*(L9+L10))+(10*(L11+L12))+(15*L13)</f>
        <v>1125</v>
      </c>
      <c r="M104" s="136">
        <f t="shared" si="51"/>
        <v>1125</v>
      </c>
      <c r="N104" s="136">
        <f t="shared" si="51"/>
        <v>1225</v>
      </c>
      <c r="O104" s="136">
        <f t="shared" si="51"/>
        <v>1225</v>
      </c>
      <c r="P104" s="136">
        <f t="shared" si="51"/>
        <v>1225</v>
      </c>
      <c r="Q104" s="58">
        <f t="shared" si="49"/>
        <v>13400</v>
      </c>
      <c r="R104" s="89">
        <f t="shared" si="43"/>
        <v>1116.6666666666667</v>
      </c>
      <c r="S104" s="15"/>
      <c r="T104" s="62">
        <f t="shared" si="50"/>
        <v>4.0443118956432315E-3</v>
      </c>
      <c r="U104" s="62">
        <f t="shared" si="44"/>
        <v>0.58629817196892742</v>
      </c>
    </row>
    <row r="105" spans="1:21" x14ac:dyDescent="0.25">
      <c r="A105" s="25"/>
      <c r="B105" s="15" t="s">
        <v>120</v>
      </c>
      <c r="C105" s="56">
        <v>2914.692</v>
      </c>
      <c r="D105" s="57">
        <f t="shared" si="48"/>
        <v>242.89099999999999</v>
      </c>
      <c r="E105" s="58">
        <v>250</v>
      </c>
      <c r="F105" s="58">
        <v>250</v>
      </c>
      <c r="G105" s="58">
        <v>250</v>
      </c>
      <c r="H105" s="58">
        <v>250</v>
      </c>
      <c r="I105" s="58">
        <v>250</v>
      </c>
      <c r="J105" s="58">
        <v>250</v>
      </c>
      <c r="K105" s="58">
        <v>250</v>
      </c>
      <c r="L105" s="58">
        <v>250</v>
      </c>
      <c r="M105" s="58">
        <v>250</v>
      </c>
      <c r="N105" s="58">
        <v>250</v>
      </c>
      <c r="O105" s="58">
        <v>250</v>
      </c>
      <c r="P105" s="58">
        <v>250</v>
      </c>
      <c r="Q105" s="58">
        <f t="shared" si="49"/>
        <v>3000</v>
      </c>
      <c r="R105" s="89">
        <f t="shared" si="43"/>
        <v>250</v>
      </c>
      <c r="S105" s="15"/>
      <c r="T105" s="62">
        <f t="shared" si="50"/>
        <v>9.0544296171117132E-4</v>
      </c>
      <c r="U105" s="62">
        <f t="shared" si="44"/>
        <v>2.9268272599643458E-2</v>
      </c>
    </row>
    <row r="106" spans="1:21" x14ac:dyDescent="0.25">
      <c r="A106" s="25"/>
      <c r="B106" s="15" t="s">
        <v>121</v>
      </c>
      <c r="C106" s="56">
        <v>75.599999999999994</v>
      </c>
      <c r="D106" s="57">
        <f t="shared" si="48"/>
        <v>6.3</v>
      </c>
      <c r="E106" s="58">
        <v>10</v>
      </c>
      <c r="F106" s="58">
        <v>10</v>
      </c>
      <c r="G106" s="58">
        <v>10</v>
      </c>
      <c r="H106" s="58">
        <v>10</v>
      </c>
      <c r="I106" s="58">
        <v>10</v>
      </c>
      <c r="J106" s="58">
        <v>10</v>
      </c>
      <c r="K106" s="58">
        <v>10</v>
      </c>
      <c r="L106" s="58">
        <v>10</v>
      </c>
      <c r="M106" s="58">
        <v>10</v>
      </c>
      <c r="N106" s="58">
        <v>10</v>
      </c>
      <c r="O106" s="58">
        <v>10</v>
      </c>
      <c r="P106" s="58">
        <v>10</v>
      </c>
      <c r="Q106" s="58">
        <f t="shared" si="49"/>
        <v>120</v>
      </c>
      <c r="R106" s="89">
        <f t="shared" si="43"/>
        <v>10</v>
      </c>
      <c r="S106" s="15"/>
      <c r="T106" s="62">
        <f t="shared" si="50"/>
        <v>3.6217718468446855E-5</v>
      </c>
      <c r="U106" s="62">
        <f t="shared" si="44"/>
        <v>0.58730158730158744</v>
      </c>
    </row>
    <row r="107" spans="1:21" x14ac:dyDescent="0.25">
      <c r="A107" s="25"/>
      <c r="B107" s="15" t="s">
        <v>122</v>
      </c>
      <c r="C107" s="56">
        <v>0</v>
      </c>
      <c r="D107" s="57">
        <f t="shared" si="48"/>
        <v>0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f t="shared" si="49"/>
        <v>0</v>
      </c>
      <c r="R107" s="89">
        <f t="shared" si="43"/>
        <v>0</v>
      </c>
      <c r="S107" s="15"/>
      <c r="T107" s="62">
        <f t="shared" si="50"/>
        <v>0</v>
      </c>
      <c r="U107" s="62">
        <f t="shared" si="44"/>
        <v>0</v>
      </c>
    </row>
    <row r="108" spans="1:21" x14ac:dyDescent="0.25">
      <c r="A108" s="25"/>
      <c r="B108" s="15" t="s">
        <v>123</v>
      </c>
      <c r="C108" s="56">
        <v>28699.199999999997</v>
      </c>
      <c r="D108" s="57">
        <f t="shared" si="48"/>
        <v>2391.6</v>
      </c>
      <c r="E108" s="58">
        <f>2391.6</f>
        <v>2391.6</v>
      </c>
      <c r="F108" s="58">
        <f t="shared" ref="F108:P108" si="52">2391.6</f>
        <v>2391.6</v>
      </c>
      <c r="G108" s="58">
        <f t="shared" si="52"/>
        <v>2391.6</v>
      </c>
      <c r="H108" s="58">
        <f t="shared" si="52"/>
        <v>2391.6</v>
      </c>
      <c r="I108" s="58">
        <f t="shared" si="52"/>
        <v>2391.6</v>
      </c>
      <c r="J108" s="58">
        <f t="shared" si="52"/>
        <v>2391.6</v>
      </c>
      <c r="K108" s="58">
        <f t="shared" si="52"/>
        <v>2391.6</v>
      </c>
      <c r="L108" s="58">
        <f t="shared" si="52"/>
        <v>2391.6</v>
      </c>
      <c r="M108" s="58">
        <f t="shared" si="52"/>
        <v>2391.6</v>
      </c>
      <c r="N108" s="58">
        <f t="shared" si="52"/>
        <v>2391.6</v>
      </c>
      <c r="O108" s="58">
        <f t="shared" si="52"/>
        <v>2391.6</v>
      </c>
      <c r="P108" s="58">
        <f t="shared" si="52"/>
        <v>2391.6</v>
      </c>
      <c r="Q108" s="58">
        <f t="shared" si="49"/>
        <v>28699.199999999993</v>
      </c>
      <c r="R108" s="89">
        <f t="shared" si="43"/>
        <v>2391.5999999999995</v>
      </c>
      <c r="S108" s="15"/>
      <c r="T108" s="62">
        <f t="shared" si="50"/>
        <v>8.6618295489137472E-3</v>
      </c>
      <c r="U108" s="62">
        <f t="shared" si="44"/>
        <v>-1.2676237689871891E-16</v>
      </c>
    </row>
    <row r="109" spans="1:21" x14ac:dyDescent="0.25">
      <c r="A109" s="25"/>
      <c r="B109" s="15" t="s">
        <v>124</v>
      </c>
      <c r="C109" s="56">
        <v>99522</v>
      </c>
      <c r="D109" s="57">
        <f t="shared" si="48"/>
        <v>8293.5</v>
      </c>
      <c r="E109" s="58">
        <v>9000</v>
      </c>
      <c r="F109" s="58">
        <v>9000</v>
      </c>
      <c r="G109" s="58">
        <v>9000</v>
      </c>
      <c r="H109" s="58">
        <v>9000</v>
      </c>
      <c r="I109" s="58">
        <v>9000</v>
      </c>
      <c r="J109" s="58">
        <v>9000</v>
      </c>
      <c r="K109" s="58">
        <v>10500</v>
      </c>
      <c r="L109" s="58">
        <v>10500</v>
      </c>
      <c r="M109" s="58">
        <v>10500</v>
      </c>
      <c r="N109" s="58">
        <v>10500</v>
      </c>
      <c r="O109" s="58">
        <v>10500</v>
      </c>
      <c r="P109" s="58">
        <v>10500</v>
      </c>
      <c r="Q109" s="58">
        <f t="shared" si="49"/>
        <v>117000</v>
      </c>
      <c r="R109" s="89">
        <f t="shared" si="43"/>
        <v>9750</v>
      </c>
      <c r="S109" s="15"/>
      <c r="T109" s="62">
        <f t="shared" si="50"/>
        <v>3.5312275506735678E-2</v>
      </c>
      <c r="U109" s="62">
        <f t="shared" si="44"/>
        <v>0.17561946102369325</v>
      </c>
    </row>
    <row r="110" spans="1:21" x14ac:dyDescent="0.25">
      <c r="A110" s="25"/>
      <c r="B110" s="15" t="s">
        <v>125</v>
      </c>
      <c r="C110" s="56">
        <v>2940</v>
      </c>
      <c r="D110" s="57">
        <f t="shared" si="48"/>
        <v>245</v>
      </c>
      <c r="E110" s="58">
        <v>250</v>
      </c>
      <c r="F110" s="58">
        <v>250</v>
      </c>
      <c r="G110" s="58">
        <v>250</v>
      </c>
      <c r="H110" s="58">
        <v>250</v>
      </c>
      <c r="I110" s="58">
        <v>250</v>
      </c>
      <c r="J110" s="58">
        <v>250</v>
      </c>
      <c r="K110" s="58">
        <v>250</v>
      </c>
      <c r="L110" s="58">
        <v>250</v>
      </c>
      <c r="M110" s="58">
        <v>250</v>
      </c>
      <c r="N110" s="58">
        <v>250</v>
      </c>
      <c r="O110" s="58">
        <v>250</v>
      </c>
      <c r="P110" s="58">
        <v>250</v>
      </c>
      <c r="Q110" s="58">
        <f t="shared" si="49"/>
        <v>3000</v>
      </c>
      <c r="R110" s="89">
        <f t="shared" si="43"/>
        <v>250</v>
      </c>
      <c r="S110" s="15"/>
      <c r="T110" s="62">
        <f t="shared" si="50"/>
        <v>9.0544296171117132E-4</v>
      </c>
      <c r="U110" s="62">
        <f t="shared" si="44"/>
        <v>2.0408163265306121E-2</v>
      </c>
    </row>
    <row r="111" spans="1:21" x14ac:dyDescent="0.25">
      <c r="A111" s="25"/>
      <c r="B111" s="15" t="s">
        <v>126</v>
      </c>
      <c r="C111" s="56">
        <v>955.19999999999993</v>
      </c>
      <c r="D111" s="57">
        <f t="shared" si="48"/>
        <v>79.599999999999994</v>
      </c>
      <c r="E111" s="58">
        <v>100</v>
      </c>
      <c r="F111" s="58">
        <v>100</v>
      </c>
      <c r="G111" s="58">
        <v>100</v>
      </c>
      <c r="H111" s="58">
        <v>100</v>
      </c>
      <c r="I111" s="58">
        <v>100</v>
      </c>
      <c r="J111" s="58">
        <v>100</v>
      </c>
      <c r="K111" s="58">
        <v>100</v>
      </c>
      <c r="L111" s="58">
        <v>100</v>
      </c>
      <c r="M111" s="58">
        <v>100</v>
      </c>
      <c r="N111" s="58">
        <v>100</v>
      </c>
      <c r="O111" s="58">
        <v>100</v>
      </c>
      <c r="P111" s="58">
        <v>100</v>
      </c>
      <c r="Q111" s="58">
        <f t="shared" si="49"/>
        <v>1200</v>
      </c>
      <c r="R111" s="89">
        <f t="shared" si="43"/>
        <v>100</v>
      </c>
      <c r="S111" s="15"/>
      <c r="T111" s="62">
        <f t="shared" si="50"/>
        <v>3.6217718468446855E-4</v>
      </c>
      <c r="U111" s="62">
        <f t="shared" si="44"/>
        <v>0.25628140703517599</v>
      </c>
    </row>
    <row r="112" spans="1:21" x14ac:dyDescent="0.25">
      <c r="A112" s="25"/>
      <c r="B112" s="15" t="s">
        <v>127</v>
      </c>
      <c r="C112" s="56">
        <v>9000</v>
      </c>
      <c r="D112" s="57">
        <f t="shared" si="48"/>
        <v>750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f t="shared" si="49"/>
        <v>0</v>
      </c>
      <c r="R112" s="89">
        <f t="shared" si="43"/>
        <v>0</v>
      </c>
      <c r="S112" s="15"/>
      <c r="T112" s="62">
        <f t="shared" si="50"/>
        <v>0</v>
      </c>
      <c r="U112" s="62">
        <f t="shared" si="44"/>
        <v>-1</v>
      </c>
    </row>
    <row r="113" spans="1:21" x14ac:dyDescent="0.25">
      <c r="A113" s="25"/>
      <c r="B113" s="15" t="s">
        <v>128</v>
      </c>
      <c r="C113" s="56">
        <v>0</v>
      </c>
      <c r="D113" s="57">
        <f t="shared" si="48"/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f t="shared" si="49"/>
        <v>0</v>
      </c>
      <c r="R113" s="89">
        <f t="shared" si="43"/>
        <v>0</v>
      </c>
      <c r="S113" s="15"/>
      <c r="T113" s="62">
        <f t="shared" si="50"/>
        <v>0</v>
      </c>
      <c r="U113" s="62">
        <f t="shared" si="44"/>
        <v>0</v>
      </c>
    </row>
    <row r="114" spans="1:21" x14ac:dyDescent="0.25">
      <c r="A114" s="25"/>
      <c r="B114" s="15" t="s">
        <v>129</v>
      </c>
      <c r="C114" s="56">
        <v>0</v>
      </c>
      <c r="D114" s="57">
        <f t="shared" si="48"/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f t="shared" si="49"/>
        <v>0</v>
      </c>
      <c r="R114" s="89">
        <f t="shared" si="43"/>
        <v>0</v>
      </c>
      <c r="S114" s="15"/>
      <c r="T114" s="62">
        <f t="shared" si="50"/>
        <v>0</v>
      </c>
      <c r="U114" s="62">
        <f t="shared" si="44"/>
        <v>0</v>
      </c>
    </row>
    <row r="115" spans="1:21" x14ac:dyDescent="0.25">
      <c r="A115" s="25"/>
      <c r="B115" s="15" t="s">
        <v>130</v>
      </c>
      <c r="C115" s="56">
        <v>0</v>
      </c>
      <c r="D115" s="57">
        <f t="shared" si="48"/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f t="shared" si="49"/>
        <v>0</v>
      </c>
      <c r="R115" s="89">
        <f t="shared" si="43"/>
        <v>0</v>
      </c>
      <c r="S115" s="15"/>
      <c r="T115" s="62">
        <f t="shared" si="50"/>
        <v>0</v>
      </c>
      <c r="U115" s="62">
        <f t="shared" si="44"/>
        <v>0</v>
      </c>
    </row>
    <row r="116" spans="1:21" x14ac:dyDescent="0.25">
      <c r="A116" s="25"/>
      <c r="B116" s="15" t="s">
        <v>131</v>
      </c>
      <c r="C116" s="56">
        <v>0</v>
      </c>
      <c r="D116" s="57">
        <f t="shared" si="48"/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f t="shared" si="49"/>
        <v>0</v>
      </c>
      <c r="R116" s="89">
        <f t="shared" si="43"/>
        <v>0</v>
      </c>
      <c r="S116" s="15"/>
      <c r="T116" s="62">
        <f t="shared" si="50"/>
        <v>0</v>
      </c>
      <c r="U116" s="62">
        <f t="shared" si="44"/>
        <v>0</v>
      </c>
    </row>
    <row r="117" spans="1:21" x14ac:dyDescent="0.25">
      <c r="A117" s="25"/>
      <c r="B117" s="15" t="s">
        <v>132</v>
      </c>
      <c r="C117" s="56">
        <v>0</v>
      </c>
      <c r="D117" s="57">
        <f t="shared" si="48"/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f t="shared" si="49"/>
        <v>0</v>
      </c>
      <c r="R117" s="89">
        <f t="shared" si="43"/>
        <v>0</v>
      </c>
      <c r="S117" s="15"/>
      <c r="T117" s="62">
        <f t="shared" si="50"/>
        <v>0</v>
      </c>
      <c r="U117" s="62">
        <f t="shared" si="44"/>
        <v>0</v>
      </c>
    </row>
    <row r="118" spans="1:21" x14ac:dyDescent="0.25">
      <c r="A118" s="25"/>
      <c r="B118" s="15" t="s">
        <v>133</v>
      </c>
      <c r="C118" s="56">
        <v>0</v>
      </c>
      <c r="D118" s="57">
        <f t="shared" si="48"/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f t="shared" si="49"/>
        <v>0</v>
      </c>
      <c r="R118" s="89">
        <f t="shared" si="43"/>
        <v>0</v>
      </c>
      <c r="S118" s="15"/>
      <c r="T118" s="62">
        <f t="shared" si="50"/>
        <v>0</v>
      </c>
      <c r="U118" s="62">
        <f t="shared" si="44"/>
        <v>0</v>
      </c>
    </row>
    <row r="119" spans="1:21" x14ac:dyDescent="0.25">
      <c r="A119" s="25"/>
      <c r="B119" s="15" t="s">
        <v>134</v>
      </c>
      <c r="C119" s="56">
        <v>0</v>
      </c>
      <c r="D119" s="57">
        <f t="shared" si="48"/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f>SUM(E119:P119)</f>
        <v>0</v>
      </c>
      <c r="R119" s="89">
        <f>AVERAGE(E119:P119)</f>
        <v>0</v>
      </c>
      <c r="S119" s="15"/>
      <c r="T119" s="62">
        <f t="shared" si="50"/>
        <v>0</v>
      </c>
      <c r="U119" s="62">
        <f t="shared" si="44"/>
        <v>0</v>
      </c>
    </row>
    <row r="120" spans="1:21" x14ac:dyDescent="0.25">
      <c r="A120" s="25"/>
      <c r="B120" s="15" t="s">
        <v>135</v>
      </c>
      <c r="C120" s="56">
        <v>0</v>
      </c>
      <c r="D120" s="57">
        <f t="shared" si="48"/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f t="shared" si="49"/>
        <v>0</v>
      </c>
      <c r="R120" s="89">
        <f t="shared" si="43"/>
        <v>0</v>
      </c>
      <c r="S120" s="15"/>
      <c r="T120" s="62">
        <f t="shared" si="50"/>
        <v>0</v>
      </c>
      <c r="U120" s="62">
        <f t="shared" si="44"/>
        <v>0</v>
      </c>
    </row>
    <row r="121" spans="1:21" x14ac:dyDescent="0.25">
      <c r="A121" s="63" t="s">
        <v>136</v>
      </c>
      <c r="B121" s="15" t="s">
        <v>48</v>
      </c>
      <c r="C121" s="91">
        <f t="shared" ref="C121:Q121" si="53">SUM(C97:C120)</f>
        <v>163465.62</v>
      </c>
      <c r="D121" s="92">
        <f t="shared" si="53"/>
        <v>13622.135</v>
      </c>
      <c r="E121" s="93">
        <f t="shared" si="53"/>
        <v>14511.6</v>
      </c>
      <c r="F121" s="93">
        <f t="shared" si="53"/>
        <v>14511.6</v>
      </c>
      <c r="G121" s="93">
        <f t="shared" si="53"/>
        <v>14661.6</v>
      </c>
      <c r="H121" s="93">
        <f t="shared" si="53"/>
        <v>14701.6</v>
      </c>
      <c r="I121" s="93">
        <f t="shared" si="53"/>
        <v>14601.6</v>
      </c>
      <c r="J121" s="93">
        <f t="shared" si="53"/>
        <v>14601.6</v>
      </c>
      <c r="K121" s="93">
        <f t="shared" si="53"/>
        <v>16266.6</v>
      </c>
      <c r="L121" s="93">
        <f t="shared" si="53"/>
        <v>16316.6</v>
      </c>
      <c r="M121" s="93">
        <f t="shared" si="53"/>
        <v>16316.6</v>
      </c>
      <c r="N121" s="93">
        <f t="shared" si="53"/>
        <v>16456.599999999999</v>
      </c>
      <c r="O121" s="93">
        <f t="shared" si="53"/>
        <v>16456.599999999999</v>
      </c>
      <c r="P121" s="93">
        <f t="shared" si="53"/>
        <v>16456.599999999999</v>
      </c>
      <c r="Q121" s="93">
        <f t="shared" si="53"/>
        <v>185859.20000000001</v>
      </c>
      <c r="R121" s="94">
        <f>AVERAGE(E121:P121)</f>
        <v>15488.26666666667</v>
      </c>
      <c r="T121" s="96">
        <f t="shared" si="50"/>
        <v>5.6094968169756315E-2</v>
      </c>
      <c r="U121" s="96">
        <f t="shared" si="44"/>
        <v>0.13699259819893636</v>
      </c>
    </row>
    <row r="122" spans="1:21" x14ac:dyDescent="0.25">
      <c r="A122" s="15" t="s">
        <v>137</v>
      </c>
      <c r="B122" s="15" t="s">
        <v>48</v>
      </c>
      <c r="C122" s="114">
        <v>0</v>
      </c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>
        <v>8666.6759999999995</v>
      </c>
      <c r="D123" s="57">
        <f>C123/12</f>
        <v>722.22299999999996</v>
      </c>
      <c r="E123" s="58">
        <v>900</v>
      </c>
      <c r="F123" s="58">
        <v>900</v>
      </c>
      <c r="G123" s="58">
        <v>900</v>
      </c>
      <c r="H123" s="58">
        <v>900</v>
      </c>
      <c r="I123" s="58">
        <v>900</v>
      </c>
      <c r="J123" s="58">
        <v>900</v>
      </c>
      <c r="K123" s="58">
        <v>900</v>
      </c>
      <c r="L123" s="58">
        <v>900</v>
      </c>
      <c r="M123" s="58">
        <v>900</v>
      </c>
      <c r="N123" s="58">
        <v>900</v>
      </c>
      <c r="O123" s="58">
        <v>900</v>
      </c>
      <c r="P123" s="58">
        <v>900</v>
      </c>
      <c r="Q123" s="58">
        <f>SUM(E123:P123)</f>
        <v>10800</v>
      </c>
      <c r="R123" s="89">
        <f t="shared" si="43"/>
        <v>900</v>
      </c>
      <c r="S123" s="15"/>
      <c r="T123" s="62">
        <f t="shared" si="50"/>
        <v>3.2595946621602166E-3</v>
      </c>
      <c r="U123" s="62">
        <f t="shared" si="44"/>
        <v>0.24615250414345716</v>
      </c>
    </row>
    <row r="124" spans="1:21" x14ac:dyDescent="0.25">
      <c r="A124" s="63" t="s">
        <v>139</v>
      </c>
      <c r="B124" s="15" t="s">
        <v>48</v>
      </c>
      <c r="C124" s="91">
        <f t="shared" ref="C124:Q124" si="54">SUM(C123:C123)</f>
        <v>8666.6759999999995</v>
      </c>
      <c r="D124" s="92">
        <f t="shared" si="54"/>
        <v>722.22299999999996</v>
      </c>
      <c r="E124" s="93">
        <f t="shared" si="54"/>
        <v>900</v>
      </c>
      <c r="F124" s="93">
        <f t="shared" si="54"/>
        <v>900</v>
      </c>
      <c r="G124" s="93">
        <f t="shared" si="54"/>
        <v>900</v>
      </c>
      <c r="H124" s="93">
        <f t="shared" si="54"/>
        <v>900</v>
      </c>
      <c r="I124" s="93">
        <f t="shared" si="54"/>
        <v>900</v>
      </c>
      <c r="J124" s="93">
        <f t="shared" si="54"/>
        <v>900</v>
      </c>
      <c r="K124" s="93">
        <f t="shared" si="54"/>
        <v>900</v>
      </c>
      <c r="L124" s="93">
        <f t="shared" si="54"/>
        <v>900</v>
      </c>
      <c r="M124" s="93">
        <f t="shared" si="54"/>
        <v>900</v>
      </c>
      <c r="N124" s="93">
        <f t="shared" si="54"/>
        <v>900</v>
      </c>
      <c r="O124" s="93">
        <f t="shared" si="54"/>
        <v>900</v>
      </c>
      <c r="P124" s="93">
        <f t="shared" si="54"/>
        <v>900</v>
      </c>
      <c r="Q124" s="93">
        <f t="shared" si="54"/>
        <v>10800</v>
      </c>
      <c r="R124" s="94">
        <f t="shared" si="43"/>
        <v>900</v>
      </c>
      <c r="T124" s="96">
        <f t="shared" si="50"/>
        <v>3.2595946621602166E-3</v>
      </c>
      <c r="U124" s="96">
        <f t="shared" si="44"/>
        <v>0.24615250414345716</v>
      </c>
    </row>
    <row r="125" spans="1:21" x14ac:dyDescent="0.25">
      <c r="A125" s="15" t="s">
        <v>140</v>
      </c>
      <c r="B125" s="15"/>
      <c r="C125" s="137">
        <v>0</v>
      </c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v>21704.556000000004</v>
      </c>
      <c r="D126" s="57">
        <f>C126/12</f>
        <v>1808.7130000000004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f>SUM(E126:P126)</f>
        <v>0</v>
      </c>
      <c r="R126" s="89">
        <f t="shared" si="43"/>
        <v>0</v>
      </c>
      <c r="S126" s="15"/>
      <c r="T126" s="62">
        <f t="shared" si="50"/>
        <v>0</v>
      </c>
      <c r="U126" s="62">
        <f t="shared" si="44"/>
        <v>-1</v>
      </c>
    </row>
    <row r="127" spans="1:21" ht="15.75" thickBot="1" x14ac:dyDescent="0.3">
      <c r="A127" s="63" t="s">
        <v>142</v>
      </c>
      <c r="B127" s="15"/>
      <c r="C127" s="137">
        <f t="shared" ref="C127:Q127" si="55">SUM(C126:C126)</f>
        <v>21704.556000000004</v>
      </c>
      <c r="D127" s="138">
        <f t="shared" si="55"/>
        <v>1808.7130000000004</v>
      </c>
      <c r="E127" s="139">
        <f t="shared" si="55"/>
        <v>0</v>
      </c>
      <c r="F127" s="139">
        <f t="shared" si="55"/>
        <v>0</v>
      </c>
      <c r="G127" s="139">
        <f t="shared" si="55"/>
        <v>0</v>
      </c>
      <c r="H127" s="139">
        <f t="shared" si="55"/>
        <v>0</v>
      </c>
      <c r="I127" s="139">
        <f t="shared" si="55"/>
        <v>0</v>
      </c>
      <c r="J127" s="139">
        <f t="shared" si="55"/>
        <v>0</v>
      </c>
      <c r="K127" s="139">
        <f t="shared" si="55"/>
        <v>0</v>
      </c>
      <c r="L127" s="139">
        <f t="shared" si="55"/>
        <v>0</v>
      </c>
      <c r="M127" s="139">
        <f t="shared" si="55"/>
        <v>0</v>
      </c>
      <c r="N127" s="139">
        <f t="shared" si="55"/>
        <v>0</v>
      </c>
      <c r="O127" s="139">
        <f t="shared" si="55"/>
        <v>0</v>
      </c>
      <c r="P127" s="139">
        <f t="shared" si="55"/>
        <v>0</v>
      </c>
      <c r="Q127" s="139">
        <f t="shared" si="55"/>
        <v>0</v>
      </c>
      <c r="R127" s="140">
        <f t="shared" si="43"/>
        <v>0</v>
      </c>
      <c r="T127" s="141">
        <f t="shared" si="50"/>
        <v>0</v>
      </c>
      <c r="U127" s="141">
        <f t="shared" si="44"/>
        <v>-1</v>
      </c>
    </row>
    <row r="128" spans="1:21" s="142" customFormat="1" ht="15.75" thickBot="1" x14ac:dyDescent="0.3">
      <c r="A128" s="63" t="s">
        <v>143</v>
      </c>
      <c r="B128" s="142" t="s">
        <v>48</v>
      </c>
      <c r="C128" s="143">
        <f>C124+C121+C90+C82+C73+C62+C48+C95+C76+C127+C134</f>
        <v>1703914.4840000002</v>
      </c>
      <c r="D128" s="144">
        <f t="shared" ref="D128:P128" si="56">D124+D121+D90+D82+D73+D62+D48+D95+D76+D127+D134</f>
        <v>141992.87366666665</v>
      </c>
      <c r="E128" s="145">
        <f t="shared" si="56"/>
        <v>192189.72429939697</v>
      </c>
      <c r="F128" s="146">
        <f t="shared" si="56"/>
        <v>183035.65054814503</v>
      </c>
      <c r="G128" s="146">
        <f t="shared" si="56"/>
        <v>189229.24379814506</v>
      </c>
      <c r="H128" s="146">
        <f t="shared" si="56"/>
        <v>204223.15738572518</v>
      </c>
      <c r="I128" s="146">
        <f>I124+I121+I90+I82+I73+I62+I48+I95+I76+I127+I134</f>
        <v>216431.59058145437</v>
      </c>
      <c r="J128" s="146">
        <f t="shared" si="56"/>
        <v>199885.83805996028</v>
      </c>
      <c r="K128" s="146">
        <f t="shared" si="56"/>
        <v>219916.05702785435</v>
      </c>
      <c r="L128" s="146">
        <f t="shared" si="56"/>
        <v>217614.97395419635</v>
      </c>
      <c r="M128" s="146">
        <f t="shared" si="56"/>
        <v>211775.72543377831</v>
      </c>
      <c r="N128" s="146">
        <f t="shared" si="56"/>
        <v>224227.30240961435</v>
      </c>
      <c r="O128" s="146">
        <f t="shared" si="56"/>
        <v>213676.8521020583</v>
      </c>
      <c r="P128" s="146">
        <f t="shared" si="56"/>
        <v>219723.74907715633</v>
      </c>
      <c r="Q128" s="147">
        <f t="shared" ref="Q128" si="57">Q124+Q121+Q90+Q82+Q73+Q62+Q48+Q95+Q76+Q127</f>
        <v>2491929.8646774846</v>
      </c>
      <c r="R128" s="148">
        <f t="shared" si="43"/>
        <v>207660.82205645705</v>
      </c>
      <c r="T128" s="76">
        <f t="shared" si="50"/>
        <v>0.75210011901670004</v>
      </c>
      <c r="U128" s="76">
        <f t="shared" si="44"/>
        <v>0.46247355021455666</v>
      </c>
    </row>
    <row r="129" spans="1:21" ht="15.75" thickBot="1" x14ac:dyDescent="0.3">
      <c r="A129" s="78" t="s">
        <v>144</v>
      </c>
      <c r="B129" t="s">
        <v>48</v>
      </c>
      <c r="C129" s="149">
        <f>C34-C128+C102+C134</f>
        <v>-186922.46400000015</v>
      </c>
      <c r="D129" s="150">
        <f t="shared" ref="D129:P129" si="58">D34-D128+D102+D134</f>
        <v>-15576.871999999974</v>
      </c>
      <c r="E129" s="151">
        <f t="shared" si="58"/>
        <v>64736.475700603041</v>
      </c>
      <c r="F129" s="152">
        <f t="shared" si="58"/>
        <v>59090.549451854982</v>
      </c>
      <c r="G129" s="152">
        <f t="shared" si="58"/>
        <v>105527.35620185491</v>
      </c>
      <c r="H129" s="152">
        <f t="shared" si="58"/>
        <v>82073.442614274798</v>
      </c>
      <c r="I129" s="152">
        <f>I34-I128+I102+I134</f>
        <v>45465.00941854564</v>
      </c>
      <c r="J129" s="152">
        <f t="shared" si="58"/>
        <v>54610.761940039723</v>
      </c>
      <c r="K129" s="152">
        <f t="shared" si="58"/>
        <v>48288.042972145631</v>
      </c>
      <c r="L129" s="152">
        <f t="shared" si="58"/>
        <v>55559.52604580365</v>
      </c>
      <c r="M129" s="152">
        <f t="shared" si="58"/>
        <v>53998.774566221691</v>
      </c>
      <c r="N129" s="152">
        <f t="shared" si="58"/>
        <v>81807.197590385651</v>
      </c>
      <c r="O129" s="152">
        <f t="shared" si="58"/>
        <v>83897.647897941701</v>
      </c>
      <c r="P129" s="152">
        <f t="shared" si="58"/>
        <v>86310.750922843668</v>
      </c>
      <c r="Q129" s="153">
        <f t="shared" ref="Q129" si="59">Q34-Q128+Q102</f>
        <v>821365.53532251529</v>
      </c>
      <c r="R129" s="154">
        <f>AVERAGE(E129:P129)</f>
        <v>68447.127943542931</v>
      </c>
      <c r="T129" s="31">
        <f t="shared" si="50"/>
        <v>0.24789988098329999</v>
      </c>
      <c r="U129" s="31">
        <f t="shared" si="44"/>
        <v>-5.3941510171967062</v>
      </c>
    </row>
    <row r="130" spans="1:21" x14ac:dyDescent="0.25">
      <c r="A130" s="78" t="s">
        <v>145</v>
      </c>
      <c r="B130" t="s">
        <v>48</v>
      </c>
      <c r="C130" s="155">
        <f t="shared" ref="C130:Q130" si="60">IFERROR(C129/C34,0)</f>
        <v>-0.12321914785023072</v>
      </c>
      <c r="D130" s="156">
        <f t="shared" si="60"/>
        <v>-0.1232191478502304</v>
      </c>
      <c r="E130" s="157">
        <f t="shared" si="60"/>
        <v>0.25196525578396844</v>
      </c>
      <c r="F130" s="158">
        <f t="shared" si="60"/>
        <v>0.24404855588472035</v>
      </c>
      <c r="G130" s="158">
        <f t="shared" si="60"/>
        <v>0.35801524444865668</v>
      </c>
      <c r="H130" s="158">
        <f t="shared" si="60"/>
        <v>0.28667278135428365</v>
      </c>
      <c r="I130" s="158">
        <f t="shared" si="60"/>
        <v>0.17359908230403007</v>
      </c>
      <c r="J130" s="158">
        <f t="shared" si="60"/>
        <v>0.21458346374780538</v>
      </c>
      <c r="K130" s="158">
        <f t="shared" si="60"/>
        <v>0.1800421506313499</v>
      </c>
      <c r="L130" s="158">
        <f t="shared" si="60"/>
        <v>0.20338474508346735</v>
      </c>
      <c r="M130" s="158">
        <f t="shared" si="60"/>
        <v>0.20317515249289037</v>
      </c>
      <c r="N130" s="158">
        <f t="shared" si="60"/>
        <v>0.26731364467204072</v>
      </c>
      <c r="O130" s="158">
        <f t="shared" si="60"/>
        <v>0.28193829746144816</v>
      </c>
      <c r="P130" s="158">
        <f t="shared" si="60"/>
        <v>0.28202948008425083</v>
      </c>
      <c r="Q130" s="159">
        <f t="shared" si="60"/>
        <v>0.24789988098329999</v>
      </c>
      <c r="R130" s="160">
        <f t="shared" si="43"/>
        <v>0.24556398782907599</v>
      </c>
      <c r="T130" s="31"/>
      <c r="U130" s="31">
        <f>IFERROR((Q130-C130)/C130,0)</f>
        <v>-3.0118616733546562</v>
      </c>
    </row>
    <row r="131" spans="1:21" x14ac:dyDescent="0.25">
      <c r="A131" s="78" t="s">
        <v>146</v>
      </c>
      <c r="C131" s="161" t="s">
        <v>1</v>
      </c>
      <c r="D131" s="162" t="s">
        <v>1</v>
      </c>
      <c r="E131" s="163" t="s">
        <v>1</v>
      </c>
      <c r="F131" s="164" t="s">
        <v>1</v>
      </c>
      <c r="G131" s="164" t="s">
        <v>1</v>
      </c>
      <c r="H131" s="164" t="s">
        <v>1</v>
      </c>
      <c r="I131" s="164" t="s">
        <v>1</v>
      </c>
      <c r="J131" s="164" t="s">
        <v>1</v>
      </c>
      <c r="K131" s="164" t="s">
        <v>1</v>
      </c>
      <c r="L131" s="164" t="s">
        <v>1</v>
      </c>
      <c r="M131" s="164" t="s">
        <v>1</v>
      </c>
      <c r="N131" s="164" t="s">
        <v>1</v>
      </c>
      <c r="O131" s="164" t="s">
        <v>1</v>
      </c>
      <c r="P131" s="164" t="s">
        <v>1</v>
      </c>
      <c r="Q131" s="165"/>
      <c r="R131" s="166"/>
      <c r="T131" s="55"/>
      <c r="U131" s="55"/>
    </row>
    <row r="132" spans="1:21" x14ac:dyDescent="0.25">
      <c r="A132" s="78"/>
      <c r="B132" s="15" t="s">
        <v>147</v>
      </c>
      <c r="C132" s="167">
        <v>0</v>
      </c>
      <c r="D132" s="168">
        <v>0</v>
      </c>
      <c r="E132" s="169">
        <v>0</v>
      </c>
      <c r="F132" s="169">
        <v>0</v>
      </c>
      <c r="G132" s="169">
        <v>0</v>
      </c>
      <c r="H132" s="169">
        <v>0</v>
      </c>
      <c r="I132" s="169">
        <v>0</v>
      </c>
      <c r="J132" s="169">
        <v>0</v>
      </c>
      <c r="K132" s="169">
        <v>0</v>
      </c>
      <c r="L132" s="169">
        <v>0</v>
      </c>
      <c r="M132" s="169">
        <v>0</v>
      </c>
      <c r="N132" s="169">
        <v>0</v>
      </c>
      <c r="O132" s="169">
        <v>0</v>
      </c>
      <c r="P132" s="169">
        <v>0</v>
      </c>
      <c r="Q132" s="170">
        <f>SUM(E132:P132)</f>
        <v>0</v>
      </c>
      <c r="R132" s="171">
        <f t="shared" ref="R132:R133" si="61">AVERAGE(E132:P132)</f>
        <v>0</v>
      </c>
      <c r="S132" s="15"/>
      <c r="T132" s="62">
        <f t="shared" si="50"/>
        <v>0</v>
      </c>
      <c r="U132" s="62">
        <f t="shared" si="44"/>
        <v>0</v>
      </c>
    </row>
    <row r="133" spans="1:21" x14ac:dyDescent="0.25">
      <c r="A133" s="78"/>
      <c r="B133" s="15" t="s">
        <v>148</v>
      </c>
      <c r="C133" s="167">
        <v>0</v>
      </c>
      <c r="D133" s="168">
        <v>0</v>
      </c>
      <c r="E133" s="169">
        <v>0</v>
      </c>
      <c r="F133" s="169">
        <v>0</v>
      </c>
      <c r="G133" s="169">
        <v>0</v>
      </c>
      <c r="H133" s="169">
        <v>0</v>
      </c>
      <c r="I133" s="169">
        <v>0</v>
      </c>
      <c r="J133" s="169">
        <v>0</v>
      </c>
      <c r="K133" s="169">
        <v>0</v>
      </c>
      <c r="L133" s="169">
        <v>0</v>
      </c>
      <c r="M133" s="169">
        <v>0</v>
      </c>
      <c r="N133" s="169">
        <v>0</v>
      </c>
      <c r="O133" s="169">
        <v>0</v>
      </c>
      <c r="P133" s="169">
        <v>0</v>
      </c>
      <c r="Q133" s="170">
        <f>SUM(E133:P133)</f>
        <v>0</v>
      </c>
      <c r="R133" s="171">
        <f t="shared" si="61"/>
        <v>0</v>
      </c>
      <c r="S133" s="15"/>
      <c r="T133" s="62">
        <f t="shared" si="50"/>
        <v>0</v>
      </c>
      <c r="U133" s="62">
        <f t="shared" si="44"/>
        <v>0</v>
      </c>
    </row>
    <row r="134" spans="1:21" ht="15.75" thickBot="1" x14ac:dyDescent="0.3">
      <c r="A134" s="63" t="s">
        <v>149</v>
      </c>
      <c r="C134" s="172">
        <f>SUM(C132:C133)</f>
        <v>0</v>
      </c>
      <c r="D134" s="173">
        <f t="shared" ref="D134:Q134" si="62">SUM(D132:D133)</f>
        <v>0</v>
      </c>
      <c r="E134" s="174">
        <f t="shared" si="62"/>
        <v>0</v>
      </c>
      <c r="F134" s="175">
        <f t="shared" si="62"/>
        <v>0</v>
      </c>
      <c r="G134" s="175">
        <f t="shared" si="62"/>
        <v>0</v>
      </c>
      <c r="H134" s="175">
        <f t="shared" si="62"/>
        <v>0</v>
      </c>
      <c r="I134" s="175">
        <f>SUM(I132:I133)</f>
        <v>0</v>
      </c>
      <c r="J134" s="175">
        <f t="shared" si="62"/>
        <v>0</v>
      </c>
      <c r="K134" s="175">
        <f t="shared" si="62"/>
        <v>0</v>
      </c>
      <c r="L134" s="175">
        <f t="shared" si="62"/>
        <v>0</v>
      </c>
      <c r="M134" s="175">
        <f t="shared" si="62"/>
        <v>0</v>
      </c>
      <c r="N134" s="175">
        <f t="shared" si="62"/>
        <v>0</v>
      </c>
      <c r="O134" s="175">
        <f t="shared" si="62"/>
        <v>0</v>
      </c>
      <c r="P134" s="175">
        <f t="shared" si="62"/>
        <v>0</v>
      </c>
      <c r="Q134" s="176">
        <f t="shared" si="62"/>
        <v>0</v>
      </c>
      <c r="R134" s="177">
        <f>AVERAGE(E134:P134)</f>
        <v>0</v>
      </c>
      <c r="T134" s="141">
        <f t="shared" si="50"/>
        <v>0</v>
      </c>
      <c r="U134" s="141">
        <f t="shared" si="44"/>
        <v>0</v>
      </c>
    </row>
    <row r="135" spans="1:21" ht="23.25" thickBot="1" x14ac:dyDescent="0.3">
      <c r="A135" s="63" t="s">
        <v>150</v>
      </c>
      <c r="C135" s="143">
        <f>C134+C128</f>
        <v>1703914.4840000002</v>
      </c>
      <c r="D135" s="144">
        <f t="shared" ref="D135:P135" si="63">D134+D128</f>
        <v>141992.87366666665</v>
      </c>
      <c r="E135" s="145">
        <f>E134+E128</f>
        <v>192189.72429939697</v>
      </c>
      <c r="F135" s="146">
        <f t="shared" si="63"/>
        <v>183035.65054814503</v>
      </c>
      <c r="G135" s="146">
        <f t="shared" si="63"/>
        <v>189229.24379814506</v>
      </c>
      <c r="H135" s="146">
        <f t="shared" si="63"/>
        <v>204223.15738572518</v>
      </c>
      <c r="I135" s="146">
        <f>I134+I128</f>
        <v>216431.59058145437</v>
      </c>
      <c r="J135" s="146">
        <f t="shared" si="63"/>
        <v>199885.83805996028</v>
      </c>
      <c r="K135" s="146">
        <f t="shared" si="63"/>
        <v>219916.05702785435</v>
      </c>
      <c r="L135" s="146">
        <f t="shared" si="63"/>
        <v>217614.97395419635</v>
      </c>
      <c r="M135" s="146">
        <f t="shared" si="63"/>
        <v>211775.72543377831</v>
      </c>
      <c r="N135" s="146">
        <f t="shared" si="63"/>
        <v>224227.30240961435</v>
      </c>
      <c r="O135" s="146">
        <f t="shared" si="63"/>
        <v>213676.8521020583</v>
      </c>
      <c r="P135" s="146">
        <f t="shared" si="63"/>
        <v>219723.74907715633</v>
      </c>
      <c r="Q135" s="147">
        <f>Q134+Q128</f>
        <v>2491929.8646774846</v>
      </c>
      <c r="R135" s="148">
        <f t="shared" si="43"/>
        <v>207660.82205645705</v>
      </c>
      <c r="T135" s="76">
        <f t="shared" si="50"/>
        <v>0.75210011901670004</v>
      </c>
      <c r="U135" s="76">
        <f t="shared" si="44"/>
        <v>0.46247355021455666</v>
      </c>
    </row>
    <row r="136" spans="1:21" ht="15.75" thickBot="1" x14ac:dyDescent="0.3">
      <c r="A136" s="78" t="s">
        <v>151</v>
      </c>
      <c r="C136" s="149">
        <f>C34-C135</f>
        <v>-186922.46400000015</v>
      </c>
      <c r="D136" s="150">
        <f t="shared" ref="D136:Q136" si="64">D34-D135</f>
        <v>-15576.871999999974</v>
      </c>
      <c r="E136" s="151">
        <f>E34-E135</f>
        <v>64736.475700603041</v>
      </c>
      <c r="F136" s="152">
        <f t="shared" si="64"/>
        <v>59090.549451854982</v>
      </c>
      <c r="G136" s="152">
        <f t="shared" si="64"/>
        <v>105527.35620185491</v>
      </c>
      <c r="H136" s="152">
        <f t="shared" si="64"/>
        <v>82073.442614274798</v>
      </c>
      <c r="I136" s="152">
        <f t="shared" si="64"/>
        <v>45465.00941854564</v>
      </c>
      <c r="J136" s="152">
        <f t="shared" si="64"/>
        <v>54610.761940039723</v>
      </c>
      <c r="K136" s="152">
        <f t="shared" si="64"/>
        <v>48288.042972145631</v>
      </c>
      <c r="L136" s="152">
        <f t="shared" si="64"/>
        <v>55559.52604580365</v>
      </c>
      <c r="M136" s="152">
        <f t="shared" si="64"/>
        <v>53998.774566221691</v>
      </c>
      <c r="N136" s="152">
        <f t="shared" si="64"/>
        <v>81807.197590385651</v>
      </c>
      <c r="O136" s="152">
        <f t="shared" si="64"/>
        <v>83897.647897941701</v>
      </c>
      <c r="P136" s="152">
        <f t="shared" si="64"/>
        <v>86310.750922843668</v>
      </c>
      <c r="Q136" s="153">
        <f t="shared" si="64"/>
        <v>821365.53532251529</v>
      </c>
      <c r="R136" s="154">
        <f>AVERAGE(E136:P136)</f>
        <v>68447.127943542931</v>
      </c>
      <c r="T136" s="31">
        <f>Q136/$Q$34</f>
        <v>0.24789988098329999</v>
      </c>
      <c r="U136" s="31">
        <f t="shared" si="44"/>
        <v>-5.3941510171967062</v>
      </c>
    </row>
    <row r="137" spans="1:21" ht="15.75" thickBot="1" x14ac:dyDescent="0.3">
      <c r="A137" s="78" t="s">
        <v>152</v>
      </c>
      <c r="C137" s="178">
        <f t="shared" ref="C137:Q137" si="65">IFERROR(C136/C34,0)</f>
        <v>-0.12321914785023072</v>
      </c>
      <c r="D137" s="179">
        <f t="shared" si="65"/>
        <v>-0.1232191478502304</v>
      </c>
      <c r="E137" s="157">
        <f t="shared" si="65"/>
        <v>0.25196525578396844</v>
      </c>
      <c r="F137" s="158">
        <f t="shared" si="65"/>
        <v>0.24404855588472035</v>
      </c>
      <c r="G137" s="158">
        <f t="shared" si="65"/>
        <v>0.35801524444865668</v>
      </c>
      <c r="H137" s="158">
        <f t="shared" si="65"/>
        <v>0.28667278135428365</v>
      </c>
      <c r="I137" s="158">
        <f t="shared" si="65"/>
        <v>0.17359908230403007</v>
      </c>
      <c r="J137" s="158">
        <f t="shared" si="65"/>
        <v>0.21458346374780538</v>
      </c>
      <c r="K137" s="158">
        <f t="shared" si="65"/>
        <v>0.1800421506313499</v>
      </c>
      <c r="L137" s="158">
        <f t="shared" si="65"/>
        <v>0.20338474508346735</v>
      </c>
      <c r="M137" s="158">
        <f t="shared" si="65"/>
        <v>0.20317515249289037</v>
      </c>
      <c r="N137" s="158">
        <f t="shared" si="65"/>
        <v>0.26731364467204072</v>
      </c>
      <c r="O137" s="158">
        <f t="shared" si="65"/>
        <v>0.28193829746144816</v>
      </c>
      <c r="P137" s="158">
        <f t="shared" si="65"/>
        <v>0.28202948008425083</v>
      </c>
      <c r="Q137" s="159">
        <f t="shared" si="65"/>
        <v>0.24789988098329999</v>
      </c>
      <c r="R137" s="180">
        <f t="shared" si="43"/>
        <v>0.24556398782907599</v>
      </c>
      <c r="T137" s="181"/>
      <c r="U137" s="181">
        <f t="shared" si="44"/>
        <v>-3.0118616733546562</v>
      </c>
    </row>
    <row r="138" spans="1:21" x14ac:dyDescent="0.25"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4"/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9AE0-708C-4EC3-AAB8-53576677A2E0}">
  <dimension ref="A1:X139"/>
  <sheetViews>
    <sheetView workbookViewId="0">
      <selection activeCell="S26" sqref="S26"/>
    </sheetView>
  </sheetViews>
  <sheetFormatPr defaultRowHeight="15" x14ac:dyDescent="0.25"/>
  <cols>
    <col min="1" max="1" width="30.7109375" bestFit="1" customWidth="1"/>
    <col min="2" max="2" width="34.5703125" bestFit="1" customWidth="1"/>
    <col min="3" max="3" width="10.28515625" bestFit="1" customWidth="1"/>
    <col min="4" max="4" width="8" bestFit="1" customWidth="1"/>
    <col min="5" max="5" width="8.42578125" bestFit="1" customWidth="1"/>
    <col min="6" max="6" width="8.28515625" bestFit="1" customWidth="1"/>
    <col min="7" max="7" width="8.5703125" bestFit="1" customWidth="1"/>
    <col min="8" max="8" width="8.28515625" bestFit="1" customWidth="1"/>
    <col min="9" max="9" width="8.7109375" bestFit="1" customWidth="1"/>
    <col min="10" max="10" width="8.42578125" bestFit="1" customWidth="1"/>
    <col min="11" max="11" width="8" bestFit="1" customWidth="1"/>
    <col min="12" max="12" width="8.5703125" bestFit="1" customWidth="1"/>
    <col min="14" max="14" width="8.28515625" bestFit="1" customWidth="1"/>
    <col min="15" max="15" width="8.42578125" bestFit="1" customWidth="1"/>
    <col min="16" max="16" width="8.5703125" bestFit="1" customWidth="1"/>
    <col min="17" max="17" width="9.42578125" bestFit="1" customWidth="1"/>
    <col min="18" max="18" width="8" bestFit="1" customWidth="1"/>
    <col min="19" max="19" width="65.28515625" customWidth="1"/>
    <col min="20" max="20" width="9.5703125" bestFit="1" customWidth="1"/>
    <col min="21" max="21" width="10.28515625" bestFit="1" customWidth="1"/>
    <col min="22" max="22" width="4" customWidth="1"/>
    <col min="23" max="23" width="6.7109375" bestFit="1" customWidth="1"/>
    <col min="24" max="24" width="8.85546875" bestFit="1" customWidth="1"/>
  </cols>
  <sheetData>
    <row r="1" spans="1:21" ht="18" x14ac:dyDescent="0.25">
      <c r="A1" s="401" t="s">
        <v>366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1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1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1" s="6" customFormat="1" x14ac:dyDescent="0.25">
      <c r="E4" s="6">
        <v>31</v>
      </c>
      <c r="F4" s="6">
        <v>29</v>
      </c>
      <c r="G4" s="6">
        <v>31</v>
      </c>
      <c r="H4" s="6">
        <v>30</v>
      </c>
      <c r="I4" s="6">
        <v>31</v>
      </c>
      <c r="J4" s="6">
        <v>30</v>
      </c>
      <c r="K4" s="6">
        <v>31</v>
      </c>
      <c r="L4" s="6">
        <v>31</v>
      </c>
      <c r="M4" s="6">
        <v>30</v>
      </c>
      <c r="N4" s="6">
        <v>31</v>
      </c>
      <c r="O4" s="6">
        <v>30</v>
      </c>
      <c r="P4" s="6">
        <v>31</v>
      </c>
    </row>
    <row r="5" spans="1:21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1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82" t="s">
        <v>18</v>
      </c>
      <c r="S6" s="14"/>
      <c r="T6" s="13" t="s">
        <v>19</v>
      </c>
      <c r="U6" s="182" t="s">
        <v>20</v>
      </c>
    </row>
    <row r="7" spans="1:21" x14ac:dyDescent="0.25">
      <c r="A7" s="15" t="s">
        <v>21</v>
      </c>
      <c r="B7" s="15" t="s">
        <v>22</v>
      </c>
      <c r="C7" s="16">
        <v>32.11</v>
      </c>
      <c r="D7" s="17">
        <f>C7/9</f>
        <v>3.5677777777777777</v>
      </c>
      <c r="E7" s="18">
        <v>4</v>
      </c>
      <c r="F7" s="18">
        <v>4</v>
      </c>
      <c r="G7" s="18">
        <v>4</v>
      </c>
      <c r="H7" s="18">
        <v>4</v>
      </c>
      <c r="I7" s="18">
        <v>4</v>
      </c>
      <c r="J7" s="18">
        <v>4</v>
      </c>
      <c r="K7" s="18">
        <v>4</v>
      </c>
      <c r="L7" s="18">
        <v>4</v>
      </c>
      <c r="M7" s="18">
        <v>4</v>
      </c>
      <c r="N7" s="18">
        <v>4</v>
      </c>
      <c r="O7" s="18">
        <v>4</v>
      </c>
      <c r="P7" s="18">
        <v>4</v>
      </c>
      <c r="Q7" s="19">
        <f t="shared" ref="Q7:Q13" si="0">SUM(E7:P7)</f>
        <v>48</v>
      </c>
      <c r="R7" s="183">
        <f>AVERAGE(E7:P7)</f>
        <v>4</v>
      </c>
      <c r="S7" s="15"/>
      <c r="T7" s="21"/>
      <c r="U7" s="22">
        <f>IFERROR((Q7-C7)/C7,0)</f>
        <v>0.49486141388975402</v>
      </c>
    </row>
    <row r="8" spans="1:21" x14ac:dyDescent="0.25">
      <c r="A8" s="25"/>
      <c r="B8" s="15" t="s">
        <v>23</v>
      </c>
      <c r="C8" s="16">
        <v>195.89</v>
      </c>
      <c r="D8" s="17">
        <f t="shared" ref="D8:D13" si="1">C8/9</f>
        <v>21.765555555555554</v>
      </c>
      <c r="E8" s="18">
        <v>24</v>
      </c>
      <c r="F8" s="18">
        <v>24</v>
      </c>
      <c r="G8" s="18">
        <v>24</v>
      </c>
      <c r="H8" s="18">
        <v>24</v>
      </c>
      <c r="I8" s="18">
        <v>24</v>
      </c>
      <c r="J8" s="18">
        <v>24</v>
      </c>
      <c r="K8" s="18">
        <v>26</v>
      </c>
      <c r="L8" s="18">
        <v>26</v>
      </c>
      <c r="M8" s="18">
        <v>26</v>
      </c>
      <c r="N8" s="18">
        <v>26</v>
      </c>
      <c r="O8" s="18">
        <v>22</v>
      </c>
      <c r="P8" s="18">
        <v>22</v>
      </c>
      <c r="Q8" s="19">
        <f t="shared" si="0"/>
        <v>292</v>
      </c>
      <c r="R8" s="20">
        <f t="shared" ref="R8:R87" si="2">AVERAGE(E8:P8)</f>
        <v>24.333333333333332</v>
      </c>
      <c r="S8" s="15"/>
      <c r="T8" s="21"/>
      <c r="U8" s="22">
        <f t="shared" ref="U8:U13" si="3">IFERROR((Q8-C8)/C8,0)</f>
        <v>0.49063249783041513</v>
      </c>
    </row>
    <row r="9" spans="1:21" x14ac:dyDescent="0.25">
      <c r="A9" s="25"/>
      <c r="B9" s="15" t="s">
        <v>24</v>
      </c>
      <c r="C9" s="16">
        <v>24.63</v>
      </c>
      <c r="D9" s="17">
        <f>C9/9</f>
        <v>2.7366666666666664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9">
        <f t="shared" si="0"/>
        <v>24</v>
      </c>
      <c r="R9" s="20">
        <f t="shared" si="2"/>
        <v>2</v>
      </c>
      <c r="S9" s="15"/>
      <c r="T9" s="21"/>
      <c r="U9" s="22">
        <f t="shared" si="3"/>
        <v>-2.5578562728379984E-2</v>
      </c>
    </row>
    <row r="10" spans="1:21" x14ac:dyDescent="0.25">
      <c r="A10" s="15"/>
      <c r="B10" s="15" t="s">
        <v>25</v>
      </c>
      <c r="C10" s="16">
        <v>2.4300000000000002</v>
      </c>
      <c r="D10" s="17">
        <f t="shared" si="1"/>
        <v>0.27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9">
        <f t="shared" si="0"/>
        <v>0</v>
      </c>
      <c r="R10" s="20">
        <f t="shared" si="2"/>
        <v>0</v>
      </c>
      <c r="S10" s="15"/>
      <c r="T10" s="21"/>
      <c r="U10" s="22">
        <f t="shared" si="3"/>
        <v>-1</v>
      </c>
    </row>
    <row r="11" spans="1:21" x14ac:dyDescent="0.25">
      <c r="A11" s="15"/>
      <c r="B11" s="15" t="s">
        <v>26</v>
      </c>
      <c r="C11" s="16">
        <v>0</v>
      </c>
      <c r="D11" s="17">
        <f t="shared" si="1"/>
        <v>0</v>
      </c>
      <c r="E11" s="18">
        <f t="shared" ref="E11:J12" si="4">D11*1.1</f>
        <v>0</v>
      </c>
      <c r="F11" s="18">
        <f t="shared" si="4"/>
        <v>0</v>
      </c>
      <c r="G11" s="18">
        <f t="shared" si="4"/>
        <v>0</v>
      </c>
      <c r="H11" s="18">
        <f t="shared" si="4"/>
        <v>0</v>
      </c>
      <c r="I11" s="18">
        <f t="shared" si="4"/>
        <v>0</v>
      </c>
      <c r="J11" s="18">
        <f t="shared" si="4"/>
        <v>0</v>
      </c>
      <c r="K11" s="18">
        <f>J11*1.1</f>
        <v>0</v>
      </c>
      <c r="L11" s="18">
        <f>J11*1.1</f>
        <v>0</v>
      </c>
      <c r="M11" s="18">
        <f>J11*1.1</f>
        <v>0</v>
      </c>
      <c r="N11" s="18">
        <f>M11*1.1</f>
        <v>0</v>
      </c>
      <c r="O11" s="18">
        <f>M11*1.1</f>
        <v>0</v>
      </c>
      <c r="P11" s="18">
        <f>M11*1.1</f>
        <v>0</v>
      </c>
      <c r="Q11" s="19">
        <f t="shared" si="0"/>
        <v>0</v>
      </c>
      <c r="R11" s="20">
        <f t="shared" si="2"/>
        <v>0</v>
      </c>
      <c r="S11" s="15"/>
      <c r="T11" s="21"/>
      <c r="U11" s="22">
        <f t="shared" si="3"/>
        <v>0</v>
      </c>
    </row>
    <row r="12" spans="1:21" x14ac:dyDescent="0.25">
      <c r="A12" s="15"/>
      <c r="B12" s="15" t="s">
        <v>27</v>
      </c>
      <c r="C12" s="16">
        <v>7.1</v>
      </c>
      <c r="D12" s="17">
        <f t="shared" si="1"/>
        <v>0.78888888888888886</v>
      </c>
      <c r="E12" s="18">
        <v>0</v>
      </c>
      <c r="F12" s="18">
        <f t="shared" si="4"/>
        <v>0</v>
      </c>
      <c r="G12" s="18">
        <f t="shared" si="4"/>
        <v>0</v>
      </c>
      <c r="H12" s="18">
        <f t="shared" si="4"/>
        <v>0</v>
      </c>
      <c r="I12" s="18">
        <f t="shared" si="4"/>
        <v>0</v>
      </c>
      <c r="J12" s="18">
        <f t="shared" si="4"/>
        <v>0</v>
      </c>
      <c r="K12" s="18">
        <f>J12*1.1</f>
        <v>0</v>
      </c>
      <c r="L12" s="18">
        <f>J12*1.1</f>
        <v>0</v>
      </c>
      <c r="M12" s="18">
        <f>J12*1.1</f>
        <v>0</v>
      </c>
      <c r="N12" s="18">
        <f>M12*1.1</f>
        <v>0</v>
      </c>
      <c r="O12" s="18">
        <f>M12*1.1</f>
        <v>0</v>
      </c>
      <c r="P12" s="18">
        <f>M12*1.1</f>
        <v>0</v>
      </c>
      <c r="Q12" s="19">
        <f>SUM(E12:P12)</f>
        <v>0</v>
      </c>
      <c r="R12" s="20">
        <f>AVERAGE(E12:P12)</f>
        <v>0</v>
      </c>
      <c r="S12" s="15"/>
      <c r="T12" s="21"/>
      <c r="U12" s="22">
        <f t="shared" si="3"/>
        <v>-1</v>
      </c>
    </row>
    <row r="13" spans="1:21" x14ac:dyDescent="0.25">
      <c r="A13" s="15"/>
      <c r="B13" s="15" t="s">
        <v>28</v>
      </c>
      <c r="C13" s="16">
        <v>0</v>
      </c>
      <c r="D13" s="17">
        <f t="shared" si="1"/>
        <v>0</v>
      </c>
      <c r="E13" s="18">
        <f t="shared" ref="E13:J13" si="5">D13*1.1</f>
        <v>0</v>
      </c>
      <c r="F13" s="18">
        <f t="shared" si="5"/>
        <v>0</v>
      </c>
      <c r="G13" s="18">
        <f t="shared" si="5"/>
        <v>0</v>
      </c>
      <c r="H13" s="18">
        <f t="shared" si="5"/>
        <v>0</v>
      </c>
      <c r="I13" s="18">
        <f t="shared" si="5"/>
        <v>0</v>
      </c>
      <c r="J13" s="18">
        <f t="shared" si="5"/>
        <v>0</v>
      </c>
      <c r="K13" s="18">
        <f>J13*1.1</f>
        <v>0</v>
      </c>
      <c r="L13" s="18">
        <f>J13*1.1</f>
        <v>0</v>
      </c>
      <c r="M13" s="18">
        <f>J13*1.1</f>
        <v>0</v>
      </c>
      <c r="N13" s="18">
        <f>M13*1.1</f>
        <v>0</v>
      </c>
      <c r="O13" s="18">
        <f>M13*1.1</f>
        <v>0</v>
      </c>
      <c r="P13" s="18">
        <f>M13*1.1</f>
        <v>0</v>
      </c>
      <c r="Q13" s="19">
        <f t="shared" si="0"/>
        <v>0</v>
      </c>
      <c r="R13" s="20">
        <f t="shared" si="2"/>
        <v>0</v>
      </c>
      <c r="S13" s="15"/>
      <c r="T13" s="21"/>
      <c r="U13" s="22">
        <f t="shared" si="3"/>
        <v>0</v>
      </c>
    </row>
    <row r="14" spans="1:21" x14ac:dyDescent="0.25">
      <c r="A14" s="25"/>
      <c r="B14" s="15" t="s">
        <v>29</v>
      </c>
      <c r="C14" s="26">
        <f t="shared" ref="C14:D14" si="6">SUM(C7:C13)</f>
        <v>262.16000000000003</v>
      </c>
      <c r="D14" s="27">
        <f t="shared" si="6"/>
        <v>29.128888888888888</v>
      </c>
      <c r="E14" s="28">
        <f>SUM(E7:E13)</f>
        <v>30</v>
      </c>
      <c r="F14" s="28">
        <f>SUM(F7:F13)</f>
        <v>30</v>
      </c>
      <c r="G14" s="28">
        <f t="shared" ref="G14:P14" si="7">SUM(G7:G13)</f>
        <v>30</v>
      </c>
      <c r="H14" s="28">
        <f t="shared" si="7"/>
        <v>30</v>
      </c>
      <c r="I14" s="28">
        <f t="shared" si="7"/>
        <v>30</v>
      </c>
      <c r="J14" s="28">
        <f t="shared" si="7"/>
        <v>30</v>
      </c>
      <c r="K14" s="28">
        <f t="shared" si="7"/>
        <v>32</v>
      </c>
      <c r="L14" s="28">
        <f t="shared" si="7"/>
        <v>32</v>
      </c>
      <c r="M14" s="28">
        <f t="shared" si="7"/>
        <v>32</v>
      </c>
      <c r="N14" s="28">
        <f t="shared" si="7"/>
        <v>32</v>
      </c>
      <c r="O14" s="28">
        <f t="shared" si="7"/>
        <v>28</v>
      </c>
      <c r="P14" s="28">
        <f t="shared" si="7"/>
        <v>28</v>
      </c>
      <c r="Q14" s="28">
        <f>SUM(Q7:Q13)</f>
        <v>364</v>
      </c>
      <c r="R14" s="29">
        <f>AVERAGE(E14:P14)</f>
        <v>30.333333333333332</v>
      </c>
      <c r="T14" s="30"/>
      <c r="U14" s="31">
        <f>IFERROR((Q14-C14)/C14,0)</f>
        <v>0.38846505950564525</v>
      </c>
    </row>
    <row r="15" spans="1:21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1" s="44" customFormat="1" ht="12" x14ac:dyDescent="0.2">
      <c r="A16" s="15" t="s">
        <v>30</v>
      </c>
      <c r="B16" s="15" t="s">
        <v>31</v>
      </c>
      <c r="C16" s="40"/>
      <c r="D16" s="41"/>
      <c r="E16" s="42">
        <v>617.64</v>
      </c>
      <c r="F16" s="42">
        <v>617.64</v>
      </c>
      <c r="G16" s="42">
        <v>617.64</v>
      </c>
      <c r="H16" s="42">
        <v>617.64</v>
      </c>
      <c r="I16" s="42">
        <v>617.64</v>
      </c>
      <c r="J16" s="42">
        <v>617.64</v>
      </c>
      <c r="K16" s="42">
        <v>617.64</v>
      </c>
      <c r="L16" s="42">
        <v>617.64</v>
      </c>
      <c r="M16" s="42">
        <v>617.64</v>
      </c>
      <c r="N16" s="42">
        <v>617.64</v>
      </c>
      <c r="O16" s="42">
        <v>617.64</v>
      </c>
      <c r="P16" s="42">
        <v>585</v>
      </c>
      <c r="Q16" s="42">
        <f>AVERAGE(E16:E16)</f>
        <v>617.64</v>
      </c>
      <c r="R16" s="43">
        <f t="shared" si="2"/>
        <v>614.92000000000007</v>
      </c>
      <c r="S16" s="15"/>
      <c r="T16" s="21"/>
      <c r="U16" s="22" t="str">
        <f t="shared" ref="U16:U21" si="8">IFERROR((Q16-C16)/C16,"")</f>
        <v/>
      </c>
    </row>
    <row r="17" spans="1:21" s="44" customFormat="1" ht="12" x14ac:dyDescent="0.2">
      <c r="B17" s="15" t="s">
        <v>32</v>
      </c>
      <c r="C17" s="40"/>
      <c r="D17" s="41"/>
      <c r="E17" s="42">
        <v>430</v>
      </c>
      <c r="F17" s="42">
        <v>430</v>
      </c>
      <c r="G17" s="42">
        <v>430</v>
      </c>
      <c r="H17" s="42">
        <v>430</v>
      </c>
      <c r="I17" s="42">
        <v>430</v>
      </c>
      <c r="J17" s="42">
        <v>430</v>
      </c>
      <c r="K17" s="42">
        <v>430</v>
      </c>
      <c r="L17" s="42">
        <v>430</v>
      </c>
      <c r="M17" s="42">
        <v>430</v>
      </c>
      <c r="N17" s="42">
        <v>430</v>
      </c>
      <c r="O17" s="42">
        <v>430</v>
      </c>
      <c r="P17" s="42">
        <v>430</v>
      </c>
      <c r="Q17" s="42">
        <f>AVERAGE(E17:P17)</f>
        <v>430</v>
      </c>
      <c r="R17" s="43">
        <f t="shared" si="2"/>
        <v>430</v>
      </c>
      <c r="S17" s="15"/>
      <c r="T17" s="21"/>
      <c r="U17" s="22" t="str">
        <f t="shared" si="8"/>
        <v/>
      </c>
    </row>
    <row r="18" spans="1:21" s="44" customFormat="1" ht="12" x14ac:dyDescent="0.2">
      <c r="B18" s="15" t="s">
        <v>33</v>
      </c>
      <c r="C18" s="40"/>
      <c r="D18" s="41"/>
      <c r="E18" s="42">
        <v>350</v>
      </c>
      <c r="F18" s="42">
        <v>350</v>
      </c>
      <c r="G18" s="42">
        <v>350</v>
      </c>
      <c r="H18" s="42">
        <v>350</v>
      </c>
      <c r="I18" s="42">
        <v>350</v>
      </c>
      <c r="J18" s="42">
        <v>350</v>
      </c>
      <c r="K18" s="42">
        <v>350</v>
      </c>
      <c r="L18" s="42">
        <v>350</v>
      </c>
      <c r="M18" s="42">
        <v>350</v>
      </c>
      <c r="N18" s="42">
        <v>350</v>
      </c>
      <c r="O18" s="42">
        <v>350</v>
      </c>
      <c r="P18" s="42">
        <v>350</v>
      </c>
      <c r="Q18" s="42">
        <f>AVERAGE(E18:P18)</f>
        <v>350</v>
      </c>
      <c r="R18" s="43">
        <f t="shared" si="2"/>
        <v>350</v>
      </c>
      <c r="S18" s="15"/>
      <c r="T18" s="21"/>
      <c r="U18" s="22" t="str">
        <f t="shared" si="8"/>
        <v/>
      </c>
    </row>
    <row r="19" spans="1:21" s="44" customFormat="1" ht="12" x14ac:dyDescent="0.2">
      <c r="B19" s="15" t="s">
        <v>34</v>
      </c>
      <c r="C19" s="40"/>
      <c r="D19" s="41"/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f>AVERAGE(E19:P19)</f>
        <v>0</v>
      </c>
      <c r="R19" s="43">
        <f t="shared" si="2"/>
        <v>0</v>
      </c>
      <c r="S19" s="15"/>
      <c r="T19" s="21"/>
      <c r="U19" s="22" t="str">
        <f t="shared" si="8"/>
        <v/>
      </c>
    </row>
    <row r="20" spans="1:21" s="44" customFormat="1" ht="12" x14ac:dyDescent="0.2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 t="shared" si="2"/>
        <v>0</v>
      </c>
      <c r="S20" s="15"/>
      <c r="T20" s="21"/>
      <c r="U20" s="22" t="str">
        <f t="shared" si="8"/>
        <v/>
      </c>
    </row>
    <row r="21" spans="1:21" s="44" customFormat="1" ht="12" x14ac:dyDescent="0.2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 t="shared" si="2"/>
        <v>0</v>
      </c>
      <c r="S21" s="15"/>
      <c r="T21" s="21"/>
      <c r="U21" s="22" t="str">
        <f t="shared" si="8"/>
        <v/>
      </c>
    </row>
    <row r="22" spans="1:21" s="44" customFormat="1" ht="12" x14ac:dyDescent="0.2">
      <c r="B22" s="15"/>
      <c r="C22" s="46"/>
      <c r="D22" s="47"/>
      <c r="E22" s="42"/>
      <c r="R22" s="48"/>
      <c r="S22" s="15"/>
      <c r="T22" s="50"/>
      <c r="U22" s="50"/>
    </row>
    <row r="23" spans="1:21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1" x14ac:dyDescent="0.25">
      <c r="A24" s="25"/>
      <c r="B24" s="15" t="s">
        <v>38</v>
      </c>
      <c r="C24" s="56">
        <v>4412392.4800000004</v>
      </c>
      <c r="D24" s="57">
        <f t="shared" ref="D24:D28" si="9">C24/12</f>
        <v>367699.37333333335</v>
      </c>
      <c r="E24" s="58">
        <f>((E7*E16)+(E8*E17))*E4</f>
        <v>396507.36</v>
      </c>
      <c r="F24" s="58">
        <f t="shared" ref="F24:P24" si="10">((F7*F16)+(F8*F17))*F4</f>
        <v>370926.24</v>
      </c>
      <c r="G24" s="58">
        <f t="shared" si="10"/>
        <v>396507.36</v>
      </c>
      <c r="H24" s="58">
        <f t="shared" si="10"/>
        <v>383716.8</v>
      </c>
      <c r="I24" s="58">
        <f t="shared" si="10"/>
        <v>396507.36</v>
      </c>
      <c r="J24" s="58">
        <f t="shared" si="10"/>
        <v>383716.8</v>
      </c>
      <c r="K24" s="58">
        <f t="shared" si="10"/>
        <v>423167.36</v>
      </c>
      <c r="L24" s="58">
        <f t="shared" si="10"/>
        <v>423167.36</v>
      </c>
      <c r="M24" s="58">
        <f t="shared" si="10"/>
        <v>409516.79999999999</v>
      </c>
      <c r="N24" s="58">
        <f t="shared" si="10"/>
        <v>423167.36</v>
      </c>
      <c r="O24" s="58">
        <f t="shared" si="10"/>
        <v>357916.8</v>
      </c>
      <c r="P24" s="58">
        <f t="shared" si="10"/>
        <v>365800</v>
      </c>
      <c r="Q24" s="59">
        <f>SUM(E24:P24)</f>
        <v>4730617.5999999996</v>
      </c>
      <c r="R24" s="60">
        <f t="shared" si="2"/>
        <v>394218.1333333333</v>
      </c>
      <c r="S24" s="15"/>
      <c r="T24" s="61"/>
      <c r="U24" s="62">
        <f t="shared" ref="U24:U88" si="11">IFERROR((Q24-C24)/C24,0)</f>
        <v>7.2120764742124463E-2</v>
      </c>
    </row>
    <row r="25" spans="1:21" x14ac:dyDescent="0.25">
      <c r="A25" s="25"/>
      <c r="B25" s="15" t="s">
        <v>39</v>
      </c>
      <c r="C25" s="56">
        <v>233454.88</v>
      </c>
      <c r="D25" s="57">
        <f t="shared" si="9"/>
        <v>19454.573333333334</v>
      </c>
      <c r="E25" s="58">
        <f>(((E9*E18)*21.75)+(((E10*E19)*13.08)+(((E11*E20)*4.33))))</f>
        <v>15225</v>
      </c>
      <c r="F25" s="58">
        <f t="shared" ref="F25:P25" si="12">(((F9*F18)*21.75)+(((F10*F19)*13.08)+(((F11*F20)*4.33))))</f>
        <v>15225</v>
      </c>
      <c r="G25" s="58">
        <f t="shared" si="12"/>
        <v>15225</v>
      </c>
      <c r="H25" s="58">
        <f t="shared" si="12"/>
        <v>15225</v>
      </c>
      <c r="I25" s="58">
        <f t="shared" si="12"/>
        <v>15225</v>
      </c>
      <c r="J25" s="58">
        <f t="shared" si="12"/>
        <v>15225</v>
      </c>
      <c r="K25" s="58">
        <f t="shared" si="12"/>
        <v>15225</v>
      </c>
      <c r="L25" s="58">
        <f t="shared" si="12"/>
        <v>15225</v>
      </c>
      <c r="M25" s="58">
        <f t="shared" si="12"/>
        <v>15225</v>
      </c>
      <c r="N25" s="58">
        <f t="shared" si="12"/>
        <v>15225</v>
      </c>
      <c r="O25" s="58">
        <f t="shared" si="12"/>
        <v>15225</v>
      </c>
      <c r="P25" s="58">
        <f t="shared" si="12"/>
        <v>15225</v>
      </c>
      <c r="Q25" s="59">
        <f>SUM(E25:P25)</f>
        <v>182700</v>
      </c>
      <c r="R25" s="60">
        <f t="shared" si="2"/>
        <v>15225</v>
      </c>
      <c r="S25" s="15"/>
      <c r="T25" s="61"/>
      <c r="U25" s="62">
        <f t="shared" si="11"/>
        <v>-0.21740766352795882</v>
      </c>
    </row>
    <row r="26" spans="1:21" x14ac:dyDescent="0.25">
      <c r="A26" s="25"/>
      <c r="B26" s="15" t="s">
        <v>40</v>
      </c>
      <c r="C26" s="56">
        <v>0</v>
      </c>
      <c r="D26" s="57">
        <f t="shared" si="9"/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9">
        <f>SUM(E26:P26)</f>
        <v>0</v>
      </c>
      <c r="R26" s="60">
        <f>AVERAGE(E26:P26)</f>
        <v>0</v>
      </c>
      <c r="S26" s="15"/>
      <c r="T26" s="61"/>
      <c r="U26" s="62">
        <f t="shared" si="11"/>
        <v>0</v>
      </c>
    </row>
    <row r="27" spans="1:21" x14ac:dyDescent="0.25">
      <c r="A27" s="25"/>
      <c r="B27" s="15" t="s">
        <v>41</v>
      </c>
      <c r="C27" s="56">
        <v>0</v>
      </c>
      <c r="D27" s="57">
        <f t="shared" si="9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9">
        <f>SUM(E27:P27)</f>
        <v>0</v>
      </c>
      <c r="R27" s="60">
        <f t="shared" si="2"/>
        <v>0</v>
      </c>
      <c r="S27" s="15"/>
      <c r="T27" s="61"/>
      <c r="U27" s="62">
        <f t="shared" si="11"/>
        <v>0</v>
      </c>
    </row>
    <row r="28" spans="1:21" x14ac:dyDescent="0.25">
      <c r="A28" s="25"/>
      <c r="B28" s="15" t="s">
        <v>42</v>
      </c>
      <c r="C28" s="56">
        <v>11340</v>
      </c>
      <c r="D28" s="57">
        <f t="shared" si="9"/>
        <v>945</v>
      </c>
      <c r="E28" s="58">
        <v>945</v>
      </c>
      <c r="F28" s="58">
        <v>945</v>
      </c>
      <c r="G28" s="58">
        <v>945</v>
      </c>
      <c r="H28" s="58">
        <v>945</v>
      </c>
      <c r="I28" s="58">
        <v>945</v>
      </c>
      <c r="J28" s="58">
        <v>945</v>
      </c>
      <c r="K28" s="58">
        <v>945</v>
      </c>
      <c r="L28" s="58">
        <v>945</v>
      </c>
      <c r="M28" s="58">
        <v>945</v>
      </c>
      <c r="N28" s="58">
        <v>945</v>
      </c>
      <c r="O28" s="58">
        <v>945</v>
      </c>
      <c r="P28" s="58">
        <v>945</v>
      </c>
      <c r="Q28" s="59">
        <f>SUM(E28:P28)</f>
        <v>11340</v>
      </c>
      <c r="R28" s="60">
        <f t="shared" si="2"/>
        <v>945</v>
      </c>
      <c r="S28" s="15"/>
      <c r="T28" s="61"/>
      <c r="U28" s="62">
        <f t="shared" si="11"/>
        <v>0</v>
      </c>
    </row>
    <row r="29" spans="1:21" x14ac:dyDescent="0.25">
      <c r="A29" s="63" t="s">
        <v>43</v>
      </c>
      <c r="B29" s="15"/>
      <c r="C29" s="64">
        <f>SUM(C24:C28)</f>
        <v>4657187.3600000003</v>
      </c>
      <c r="D29" s="65">
        <f>SUM(D24:D28)</f>
        <v>388098.94666666666</v>
      </c>
      <c r="E29" s="66">
        <f>SUM(E24:E28)</f>
        <v>412677.36</v>
      </c>
      <c r="F29" s="66">
        <f t="shared" ref="F29:Q29" si="13">SUM(F24:F28)</f>
        <v>387096.24</v>
      </c>
      <c r="G29" s="66">
        <f t="shared" si="13"/>
        <v>412677.36</v>
      </c>
      <c r="H29" s="66">
        <f t="shared" si="13"/>
        <v>399886.8</v>
      </c>
      <c r="I29" s="66">
        <f t="shared" si="13"/>
        <v>412677.36</v>
      </c>
      <c r="J29" s="66">
        <f t="shared" si="13"/>
        <v>399886.8</v>
      </c>
      <c r="K29" s="66">
        <f t="shared" si="13"/>
        <v>439337.36</v>
      </c>
      <c r="L29" s="66">
        <f t="shared" si="13"/>
        <v>439337.36</v>
      </c>
      <c r="M29" s="66">
        <f t="shared" si="13"/>
        <v>425686.8</v>
      </c>
      <c r="N29" s="66">
        <f t="shared" si="13"/>
        <v>439337.36</v>
      </c>
      <c r="O29" s="66">
        <f t="shared" si="13"/>
        <v>374086.8</v>
      </c>
      <c r="P29" s="66">
        <f t="shared" si="13"/>
        <v>381970</v>
      </c>
      <c r="Q29" s="66">
        <f t="shared" si="13"/>
        <v>4924657.5999999996</v>
      </c>
      <c r="R29" s="67">
        <f>AVERAGE(E29:P29)</f>
        <v>410388.1333333333</v>
      </c>
      <c r="T29" s="68"/>
      <c r="U29" s="69">
        <f t="shared" si="11"/>
        <v>5.7431711315131473E-2</v>
      </c>
    </row>
    <row r="30" spans="1:21" x14ac:dyDescent="0.25">
      <c r="A30" s="15" t="s">
        <v>44</v>
      </c>
      <c r="B30" s="15"/>
      <c r="C30" s="64"/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T30" s="69"/>
      <c r="U30" s="69"/>
    </row>
    <row r="31" spans="1:21" x14ac:dyDescent="0.25">
      <c r="A31" s="63"/>
      <c r="B31" s="15" t="s">
        <v>45</v>
      </c>
      <c r="C31" s="56">
        <v>0</v>
      </c>
      <c r="D31" s="57">
        <f>C31/12</f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9">
        <f>SUM(E31:P31)</f>
        <v>0</v>
      </c>
      <c r="R31" s="60">
        <f>AVERAGE(E31:P31)</f>
        <v>0</v>
      </c>
      <c r="S31" s="15"/>
      <c r="T31" s="61"/>
      <c r="U31" s="62">
        <f t="shared" si="11"/>
        <v>0</v>
      </c>
    </row>
    <row r="32" spans="1:21" x14ac:dyDescent="0.25">
      <c r="A32" s="63" t="s">
        <v>46</v>
      </c>
      <c r="B32" s="15"/>
      <c r="C32" s="64">
        <f t="shared" ref="C32:D32" si="14">SUM(C31)</f>
        <v>0</v>
      </c>
      <c r="D32" s="65">
        <f t="shared" si="14"/>
        <v>0</v>
      </c>
      <c r="E32" s="66">
        <f>SUM(E31)</f>
        <v>0</v>
      </c>
      <c r="F32" s="66">
        <f>SUM(F31)</f>
        <v>0</v>
      </c>
      <c r="G32" s="66">
        <f t="shared" ref="G32:P32" si="15">SUM(G31)</f>
        <v>0</v>
      </c>
      <c r="H32" s="66">
        <f t="shared" si="15"/>
        <v>0</v>
      </c>
      <c r="I32" s="66">
        <f t="shared" si="15"/>
        <v>0</v>
      </c>
      <c r="J32" s="66">
        <f t="shared" si="15"/>
        <v>0</v>
      </c>
      <c r="K32" s="66">
        <f t="shared" si="15"/>
        <v>0</v>
      </c>
      <c r="L32" s="66">
        <f t="shared" si="15"/>
        <v>0</v>
      </c>
      <c r="M32" s="66">
        <f t="shared" si="15"/>
        <v>0</v>
      </c>
      <c r="N32" s="66">
        <f t="shared" si="15"/>
        <v>0</v>
      </c>
      <c r="O32" s="66">
        <f t="shared" si="15"/>
        <v>0</v>
      </c>
      <c r="P32" s="66">
        <f t="shared" si="15"/>
        <v>0</v>
      </c>
      <c r="Q32" s="66">
        <f>SUM(Q31)</f>
        <v>0</v>
      </c>
      <c r="R32" s="67">
        <f>AVERAGE(E32:P32)</f>
        <v>0</v>
      </c>
      <c r="T32" s="68"/>
      <c r="U32" s="69">
        <f t="shared" si="11"/>
        <v>0</v>
      </c>
    </row>
    <row r="33" spans="1:21" s="70" customFormat="1" x14ac:dyDescent="0.25">
      <c r="A33" s="63" t="s">
        <v>47</v>
      </c>
      <c r="B33" s="70" t="s">
        <v>48</v>
      </c>
      <c r="C33" s="71">
        <f t="shared" ref="C33:D33" si="16">C29+C32</f>
        <v>4657187.3600000003</v>
      </c>
      <c r="D33" s="72">
        <f t="shared" si="16"/>
        <v>388098.94666666666</v>
      </c>
      <c r="E33" s="73">
        <f>E29+E32</f>
        <v>412677.36</v>
      </c>
      <c r="F33" s="73">
        <f>F29+F32</f>
        <v>387096.24</v>
      </c>
      <c r="G33" s="73">
        <f t="shared" ref="G33:Q33" si="17">G29+G32</f>
        <v>412677.36</v>
      </c>
      <c r="H33" s="73">
        <f t="shared" si="17"/>
        <v>399886.8</v>
      </c>
      <c r="I33" s="73">
        <f t="shared" si="17"/>
        <v>412677.36</v>
      </c>
      <c r="J33" s="73">
        <f t="shared" si="17"/>
        <v>399886.8</v>
      </c>
      <c r="K33" s="73">
        <f t="shared" si="17"/>
        <v>439337.36</v>
      </c>
      <c r="L33" s="73">
        <f t="shared" si="17"/>
        <v>439337.36</v>
      </c>
      <c r="M33" s="73">
        <f t="shared" si="17"/>
        <v>425686.8</v>
      </c>
      <c r="N33" s="73">
        <f t="shared" si="17"/>
        <v>439337.36</v>
      </c>
      <c r="O33" s="73">
        <f t="shared" si="17"/>
        <v>374086.8</v>
      </c>
      <c r="P33" s="73">
        <f t="shared" si="17"/>
        <v>381970</v>
      </c>
      <c r="Q33" s="73">
        <f t="shared" si="17"/>
        <v>4924657.5999999996</v>
      </c>
      <c r="R33" s="74">
        <f>AVERAGE(E33:P33)</f>
        <v>410388.1333333333</v>
      </c>
      <c r="T33" s="75"/>
      <c r="U33" s="76">
        <f t="shared" si="11"/>
        <v>5.7431711315131473E-2</v>
      </c>
    </row>
    <row r="34" spans="1:21" x14ac:dyDescent="0.25">
      <c r="A34" s="78" t="s">
        <v>49</v>
      </c>
      <c r="B34" t="s">
        <v>48</v>
      </c>
      <c r="C34" s="79">
        <f t="shared" ref="C34:D34" si="18">C33</f>
        <v>4657187.3600000003</v>
      </c>
      <c r="D34" s="80">
        <f t="shared" si="18"/>
        <v>388098.94666666666</v>
      </c>
      <c r="E34" s="81">
        <f>E33</f>
        <v>412677.36</v>
      </c>
      <c r="F34" s="81">
        <f t="shared" ref="F34:Q34" si="19">F33</f>
        <v>387096.24</v>
      </c>
      <c r="G34" s="81">
        <f t="shared" si="19"/>
        <v>412677.36</v>
      </c>
      <c r="H34" s="81">
        <f t="shared" si="19"/>
        <v>399886.8</v>
      </c>
      <c r="I34" s="81">
        <f t="shared" si="19"/>
        <v>412677.36</v>
      </c>
      <c r="J34" s="81">
        <f t="shared" si="19"/>
        <v>399886.8</v>
      </c>
      <c r="K34" s="81">
        <f t="shared" si="19"/>
        <v>439337.36</v>
      </c>
      <c r="L34" s="81">
        <f t="shared" si="19"/>
        <v>439337.36</v>
      </c>
      <c r="M34" s="81">
        <f t="shared" si="19"/>
        <v>425686.8</v>
      </c>
      <c r="N34" s="81">
        <f t="shared" si="19"/>
        <v>439337.36</v>
      </c>
      <c r="O34" s="81">
        <f t="shared" si="19"/>
        <v>374086.8</v>
      </c>
      <c r="P34" s="81">
        <f t="shared" si="19"/>
        <v>381970</v>
      </c>
      <c r="Q34" s="81">
        <f t="shared" si="19"/>
        <v>4924657.5999999996</v>
      </c>
      <c r="R34" s="82">
        <f t="shared" si="2"/>
        <v>410388.1333333333</v>
      </c>
      <c r="T34" s="30"/>
      <c r="U34" s="31">
        <f t="shared" si="11"/>
        <v>5.7431711315131473E-2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88"/>
      <c r="B37" s="15" t="s">
        <v>52</v>
      </c>
      <c r="C37" s="56">
        <v>1105160.628</v>
      </c>
      <c r="D37" s="57">
        <f>C37/12</f>
        <v>92096.718999999997</v>
      </c>
      <c r="E37" s="58">
        <f>'[2]Payroll 2024'!W150</f>
        <v>114087.91305343513</v>
      </c>
      <c r="F37" s="58">
        <f>'[2]Payroll 2024'!X150</f>
        <v>104499.10896183207</v>
      </c>
      <c r="G37" s="58">
        <f>'[2]Payroll 2024'!Y150</f>
        <v>105419.56579694655</v>
      </c>
      <c r="H37" s="58">
        <f>'[2]Payroll 2024'!Z150</f>
        <v>110672.55152061068</v>
      </c>
      <c r="I37" s="58">
        <f>'[2]Payroll 2024'!AA150</f>
        <v>115819.0420442748</v>
      </c>
      <c r="J37" s="58">
        <f>'[2]Payroll 2024'!AB150</f>
        <v>106431.59367938932</v>
      </c>
      <c r="K37" s="58">
        <f>'[2]Payroll 2024'!AC150</f>
        <v>121121.00920763356</v>
      </c>
      <c r="L37" s="58">
        <f>'[2]Payroll 2024'!AD150</f>
        <v>115965.75837251906</v>
      </c>
      <c r="M37" s="58">
        <f>'[2]Payroll 2024'!AE150</f>
        <v>111016.34113740458</v>
      </c>
      <c r="N37" s="58">
        <f>'[2]Payroll 2024'!AF150</f>
        <v>121991.07160763355</v>
      </c>
      <c r="O37" s="58">
        <f>'[2]Payroll 2024'!AG150</f>
        <v>111597.51613740459</v>
      </c>
      <c r="P37" s="58">
        <f>'[2]Payroll 2024'!AH150</f>
        <v>117028.18677251908</v>
      </c>
      <c r="Q37" s="58">
        <f>SUM(E37:P37)</f>
        <v>1355649.658291603</v>
      </c>
      <c r="R37" s="89">
        <f>AVERAGE(E37:P37)</f>
        <v>112970.80485763359</v>
      </c>
      <c r="S37" s="15"/>
      <c r="T37" s="62">
        <f>Q37/$Q$34</f>
        <v>0.27527795197205246</v>
      </c>
      <c r="U37" s="62">
        <f t="shared" si="11"/>
        <v>0.22665395775536346</v>
      </c>
    </row>
    <row r="38" spans="1:21" x14ac:dyDescent="0.25">
      <c r="A38" s="25"/>
      <c r="B38" s="15" t="s">
        <v>53</v>
      </c>
      <c r="C38" s="56">
        <v>0</v>
      </c>
      <c r="D38" s="57">
        <f t="shared" ref="D38:D47" si="20">C38/12</f>
        <v>0</v>
      </c>
      <c r="E38" s="58">
        <f>'[2]Payroll 2024'!W151</f>
        <v>0</v>
      </c>
      <c r="F38" s="58">
        <f>'[2]Payroll 2024'!X151</f>
        <v>0</v>
      </c>
      <c r="G38" s="58">
        <f>'[2]Payroll 2024'!Y151</f>
        <v>0</v>
      </c>
      <c r="H38" s="58">
        <f>'[2]Payroll 2024'!Z151</f>
        <v>0</v>
      </c>
      <c r="I38" s="58">
        <f>'[2]Payroll 2024'!AA151</f>
        <v>0</v>
      </c>
      <c r="J38" s="58">
        <f>'[2]Payroll 2024'!AB151</f>
        <v>0</v>
      </c>
      <c r="K38" s="58">
        <f>'[2]Payroll 2024'!AC151</f>
        <v>0</v>
      </c>
      <c r="L38" s="58">
        <f>'[2]Payroll 2024'!AD151</f>
        <v>0</v>
      </c>
      <c r="M38" s="58">
        <f>'[2]Payroll 2024'!AE151</f>
        <v>0</v>
      </c>
      <c r="N38" s="58">
        <f>'[2]Payroll 2024'!AF151</f>
        <v>0</v>
      </c>
      <c r="O38" s="58">
        <f>'[2]Payroll 2024'!AG151</f>
        <v>0</v>
      </c>
      <c r="P38" s="58">
        <f>'[2]Payroll 2024'!AH151</f>
        <v>0</v>
      </c>
      <c r="Q38" s="58">
        <f t="shared" ref="Q38:Q47" si="21">SUM(E38:P38)</f>
        <v>0</v>
      </c>
      <c r="R38" s="89">
        <f t="shared" si="2"/>
        <v>0</v>
      </c>
      <c r="S38" s="15"/>
      <c r="T38" s="62">
        <f t="shared" ref="T38:T102" si="22">Q38/$Q$34</f>
        <v>0</v>
      </c>
      <c r="U38" s="62">
        <f t="shared" si="11"/>
        <v>0</v>
      </c>
    </row>
    <row r="39" spans="1:21" x14ac:dyDescent="0.25">
      <c r="A39" s="25"/>
      <c r="B39" s="15" t="s">
        <v>54</v>
      </c>
      <c r="C39" s="56">
        <f>15398*12</f>
        <v>184776</v>
      </c>
      <c r="D39" s="57">
        <f>C39/12</f>
        <v>15398</v>
      </c>
      <c r="E39" s="58">
        <f>'[2]Payroll 2024'!W149</f>
        <v>13956.4</v>
      </c>
      <c r="F39" s="58">
        <f>'[2]Payroll 2024'!X149</f>
        <v>12806.304</v>
      </c>
      <c r="G39" s="58">
        <f>'[2]Payroll 2024'!Y149</f>
        <v>12806.304</v>
      </c>
      <c r="H39" s="58">
        <f>'[2]Payroll 2024'!Z149</f>
        <v>13416.128000000001</v>
      </c>
      <c r="I39" s="58">
        <f>'[2]Payroll 2024'!AA149</f>
        <v>18415.264977099236</v>
      </c>
      <c r="J39" s="58">
        <f>'[2]Payroll 2024'!AB149</f>
        <v>16013.27389312977</v>
      </c>
      <c r="K39" s="58">
        <f>'[2]Payroll 2024'!AC149</f>
        <v>18481.090977099237</v>
      </c>
      <c r="L39" s="58">
        <f>'[2]Payroll 2024'!AD149</f>
        <v>17796.365282442748</v>
      </c>
      <c r="M39" s="58">
        <f>'[2]Payroll 2024'!AE149</f>
        <v>16987.439587786259</v>
      </c>
      <c r="N39" s="58">
        <f>'[2]Payroll 2024'!AF149</f>
        <v>18729.490977099234</v>
      </c>
      <c r="O39" s="58">
        <f>'[2]Payroll 2024'!AG149</f>
        <v>17270.939587786259</v>
      </c>
      <c r="P39" s="58">
        <f>'[2]Payroll 2024'!AH149</f>
        <v>18093.365282442748</v>
      </c>
      <c r="Q39" s="58">
        <f t="shared" si="21"/>
        <v>194772.36656488548</v>
      </c>
      <c r="R39" s="89">
        <f t="shared" si="2"/>
        <v>16231.030547073789</v>
      </c>
      <c r="S39" s="15"/>
      <c r="T39" s="62">
        <f t="shared" si="22"/>
        <v>3.9550438301514709E-2</v>
      </c>
      <c r="U39" s="62">
        <f t="shared" si="11"/>
        <v>5.4099918630587739E-2</v>
      </c>
    </row>
    <row r="40" spans="1:21" x14ac:dyDescent="0.25">
      <c r="A40" s="25"/>
      <c r="B40" s="15" t="s">
        <v>55</v>
      </c>
      <c r="C40" s="56">
        <v>70724.952000000005</v>
      </c>
      <c r="D40" s="57">
        <f t="shared" si="20"/>
        <v>5893.7460000000001</v>
      </c>
      <c r="E40" s="58">
        <f>5.9%*SUM(E37:E39)</f>
        <v>7554.6144701526728</v>
      </c>
      <c r="F40" s="58">
        <f t="shared" ref="F40:P40" si="23">5.9%*SUM(F37:F39)</f>
        <v>6921.0193647480928</v>
      </c>
      <c r="G40" s="58">
        <f t="shared" si="23"/>
        <v>6975.3263180198473</v>
      </c>
      <c r="H40" s="58">
        <f t="shared" si="23"/>
        <v>7321.2320917160305</v>
      </c>
      <c r="I40" s="58">
        <f t="shared" si="23"/>
        <v>7919.8241142610686</v>
      </c>
      <c r="J40" s="58">
        <f t="shared" si="23"/>
        <v>7224.2471867786262</v>
      </c>
      <c r="K40" s="58">
        <f t="shared" si="23"/>
        <v>8236.5239108992355</v>
      </c>
      <c r="L40" s="58">
        <f t="shared" si="23"/>
        <v>7891.9652956427481</v>
      </c>
      <c r="M40" s="58">
        <f t="shared" si="23"/>
        <v>7552.22306278626</v>
      </c>
      <c r="N40" s="58">
        <f t="shared" si="23"/>
        <v>8302.5131924992347</v>
      </c>
      <c r="O40" s="58">
        <f t="shared" si="23"/>
        <v>7603.2388877862604</v>
      </c>
      <c r="P40" s="58">
        <f t="shared" si="23"/>
        <v>7972.1715712427476</v>
      </c>
      <c r="Q40" s="58">
        <f t="shared" si="21"/>
        <v>91474.899466532821</v>
      </c>
      <c r="R40" s="89">
        <f t="shared" si="2"/>
        <v>7622.9082888777348</v>
      </c>
      <c r="S40" s="15"/>
      <c r="T40" s="62">
        <f t="shared" si="22"/>
        <v>1.8574875026140462E-2</v>
      </c>
      <c r="U40" s="62">
        <f t="shared" si="11"/>
        <v>0.29338934675463357</v>
      </c>
    </row>
    <row r="41" spans="1:21" x14ac:dyDescent="0.25">
      <c r="A41" s="25"/>
      <c r="B41" s="15" t="s">
        <v>56</v>
      </c>
      <c r="C41" s="56">
        <v>7258.2240000000011</v>
      </c>
      <c r="D41" s="57">
        <f t="shared" si="20"/>
        <v>604.85200000000009</v>
      </c>
      <c r="E41" s="58">
        <f>1%*SUM(E37:E39)</f>
        <v>1280.4431305343512</v>
      </c>
      <c r="F41" s="58">
        <f t="shared" ref="F41:P41" si="24">1%*SUM(F37:F39)</f>
        <v>1173.0541296183208</v>
      </c>
      <c r="G41" s="58">
        <f t="shared" si="24"/>
        <v>1182.2586979694656</v>
      </c>
      <c r="H41" s="58">
        <f t="shared" si="24"/>
        <v>1240.8867952061069</v>
      </c>
      <c r="I41" s="58">
        <f t="shared" si="24"/>
        <v>1342.3430702137402</v>
      </c>
      <c r="J41" s="58">
        <f t="shared" si="24"/>
        <v>1224.4486757251909</v>
      </c>
      <c r="K41" s="58">
        <f t="shared" si="24"/>
        <v>1396.0210018473279</v>
      </c>
      <c r="L41" s="58">
        <f t="shared" si="24"/>
        <v>1337.6212365496183</v>
      </c>
      <c r="M41" s="58">
        <f t="shared" si="24"/>
        <v>1280.0378072519084</v>
      </c>
      <c r="N41" s="58">
        <f t="shared" si="24"/>
        <v>1407.2056258473278</v>
      </c>
      <c r="O41" s="58">
        <f t="shared" si="24"/>
        <v>1288.6845572519085</v>
      </c>
      <c r="P41" s="58">
        <f t="shared" si="24"/>
        <v>1351.2155205496183</v>
      </c>
      <c r="Q41" s="58">
        <f t="shared" si="21"/>
        <v>15504.220248564883</v>
      </c>
      <c r="R41" s="89">
        <f t="shared" si="2"/>
        <v>1292.0183540470737</v>
      </c>
      <c r="S41" s="15"/>
      <c r="T41" s="62">
        <f t="shared" si="22"/>
        <v>3.1482839027356714E-3</v>
      </c>
      <c r="U41" s="62">
        <f t="shared" si="11"/>
        <v>1.1360900750052467</v>
      </c>
    </row>
    <row r="42" spans="1:21" x14ac:dyDescent="0.25">
      <c r="A42" s="25"/>
      <c r="B42" s="15" t="s">
        <v>57</v>
      </c>
      <c r="C42" s="56">
        <v>0</v>
      </c>
      <c r="D42" s="57">
        <f t="shared" si="20"/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f t="shared" si="21"/>
        <v>0</v>
      </c>
      <c r="R42" s="89">
        <f t="shared" si="2"/>
        <v>0</v>
      </c>
      <c r="S42" s="15"/>
      <c r="T42" s="62">
        <f t="shared" si="22"/>
        <v>0</v>
      </c>
      <c r="U42" s="62">
        <f>IFERROR((Q42-C43)/C43,0)</f>
        <v>-1</v>
      </c>
    </row>
    <row r="43" spans="1:21" x14ac:dyDescent="0.25">
      <c r="A43" s="25"/>
      <c r="B43" s="15" t="s">
        <v>58</v>
      </c>
      <c r="C43" s="56">
        <v>86267.231999999989</v>
      </c>
      <c r="D43" s="57">
        <f t="shared" si="20"/>
        <v>7188.9359999999988</v>
      </c>
      <c r="E43" s="58">
        <f>0.0786*E37</f>
        <v>8967.3099660000007</v>
      </c>
      <c r="F43" s="58">
        <f t="shared" ref="F43:P45" si="25">0.0786*F37</f>
        <v>8213.629964400001</v>
      </c>
      <c r="G43" s="58">
        <f t="shared" si="25"/>
        <v>8285.9778716399996</v>
      </c>
      <c r="H43" s="58">
        <f t="shared" si="25"/>
        <v>8698.8625495199994</v>
      </c>
      <c r="I43" s="58">
        <f t="shared" si="25"/>
        <v>9103.3767046800003</v>
      </c>
      <c r="J43" s="58">
        <f t="shared" si="25"/>
        <v>8365.5232632000007</v>
      </c>
      <c r="K43" s="58">
        <f t="shared" si="25"/>
        <v>9520.1113237199988</v>
      </c>
      <c r="L43" s="58">
        <f t="shared" si="25"/>
        <v>9114.9086080799989</v>
      </c>
      <c r="M43" s="58">
        <f t="shared" si="25"/>
        <v>8725.884413400001</v>
      </c>
      <c r="N43" s="58">
        <f t="shared" si="25"/>
        <v>9588.4982283599984</v>
      </c>
      <c r="O43" s="58">
        <f t="shared" si="25"/>
        <v>8771.5647684000014</v>
      </c>
      <c r="P43" s="58">
        <f t="shared" si="25"/>
        <v>9198.4154803199999</v>
      </c>
      <c r="Q43" s="58">
        <f t="shared" si="21"/>
        <v>106554.06314171999</v>
      </c>
      <c r="R43" s="89">
        <f t="shared" si="2"/>
        <v>8879.5052618099999</v>
      </c>
      <c r="S43" s="15"/>
      <c r="T43" s="62">
        <f t="shared" si="22"/>
        <v>2.1636847025003323E-2</v>
      </c>
      <c r="U43" s="62">
        <f>IFERROR((Q43-C44)/C44,0)</f>
        <v>0</v>
      </c>
    </row>
    <row r="44" spans="1:21" x14ac:dyDescent="0.25">
      <c r="A44" s="25"/>
      <c r="B44" s="15" t="s">
        <v>59</v>
      </c>
      <c r="C44" s="56">
        <v>0</v>
      </c>
      <c r="D44" s="57">
        <f t="shared" si="20"/>
        <v>0</v>
      </c>
      <c r="E44" s="58">
        <f>0.0786*E38</f>
        <v>0</v>
      </c>
      <c r="F44" s="58">
        <f t="shared" si="25"/>
        <v>0</v>
      </c>
      <c r="G44" s="58">
        <f t="shared" si="25"/>
        <v>0</v>
      </c>
      <c r="H44" s="58">
        <f t="shared" si="25"/>
        <v>0</v>
      </c>
      <c r="I44" s="58">
        <f t="shared" si="25"/>
        <v>0</v>
      </c>
      <c r="J44" s="58">
        <f t="shared" si="25"/>
        <v>0</v>
      </c>
      <c r="K44" s="58">
        <f t="shared" si="25"/>
        <v>0</v>
      </c>
      <c r="L44" s="58">
        <f t="shared" si="25"/>
        <v>0</v>
      </c>
      <c r="M44" s="58">
        <f t="shared" si="25"/>
        <v>0</v>
      </c>
      <c r="N44" s="58">
        <f t="shared" si="25"/>
        <v>0</v>
      </c>
      <c r="O44" s="58">
        <f t="shared" si="25"/>
        <v>0</v>
      </c>
      <c r="P44" s="58">
        <f t="shared" si="25"/>
        <v>0</v>
      </c>
      <c r="Q44" s="58">
        <f t="shared" ref="Q44:Q46" si="26">SUM(E44:P44)</f>
        <v>0</v>
      </c>
      <c r="R44" s="89">
        <f t="shared" si="2"/>
        <v>0</v>
      </c>
      <c r="S44" s="15"/>
      <c r="T44" s="62">
        <f t="shared" si="22"/>
        <v>0</v>
      </c>
      <c r="U44" s="62">
        <f>IFERROR((Q44-C45)/C45,0)</f>
        <v>-1</v>
      </c>
    </row>
    <row r="45" spans="1:21" x14ac:dyDescent="0.25">
      <c r="A45" s="25"/>
      <c r="B45" s="15" t="s">
        <v>60</v>
      </c>
      <c r="C45" s="56">
        <v>14007.36</v>
      </c>
      <c r="D45" s="57">
        <f t="shared" si="20"/>
        <v>1167.28</v>
      </c>
      <c r="E45" s="58">
        <f>0.0786*E39</f>
        <v>1096.9730400000001</v>
      </c>
      <c r="F45" s="58">
        <f t="shared" si="25"/>
        <v>1006.5754944</v>
      </c>
      <c r="G45" s="58">
        <f t="shared" si="25"/>
        <v>1006.5754944</v>
      </c>
      <c r="H45" s="58">
        <f t="shared" si="25"/>
        <v>1054.5076608000002</v>
      </c>
      <c r="I45" s="58">
        <f t="shared" si="25"/>
        <v>1447.4398272000001</v>
      </c>
      <c r="J45" s="58">
        <f t="shared" si="25"/>
        <v>1258.6433279999999</v>
      </c>
      <c r="K45" s="58">
        <f t="shared" si="25"/>
        <v>1452.6137508000002</v>
      </c>
      <c r="L45" s="58">
        <f t="shared" si="25"/>
        <v>1398.7943112</v>
      </c>
      <c r="M45" s="58">
        <f t="shared" si="25"/>
        <v>1335.2127516</v>
      </c>
      <c r="N45" s="58">
        <f t="shared" si="25"/>
        <v>1472.1379907999999</v>
      </c>
      <c r="O45" s="58">
        <f t="shared" si="25"/>
        <v>1357.4958515999999</v>
      </c>
      <c r="P45" s="58">
        <f t="shared" si="25"/>
        <v>1422.1385112</v>
      </c>
      <c r="Q45" s="58">
        <f t="shared" si="26"/>
        <v>15309.108012000001</v>
      </c>
      <c r="R45" s="89">
        <f t="shared" si="2"/>
        <v>1275.7590010000001</v>
      </c>
      <c r="S45" s="15"/>
      <c r="T45" s="62">
        <f t="shared" si="22"/>
        <v>3.1086644504990562E-3</v>
      </c>
      <c r="U45" s="62">
        <f>IFERROR((Q45-C46)/C46,0)</f>
        <v>16.010120013333335</v>
      </c>
    </row>
    <row r="46" spans="1:21" x14ac:dyDescent="0.25">
      <c r="A46" s="25"/>
      <c r="B46" s="15" t="s">
        <v>61</v>
      </c>
      <c r="C46" s="56">
        <v>900</v>
      </c>
      <c r="D46" s="57">
        <f>C46/12</f>
        <v>75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f t="shared" si="26"/>
        <v>0</v>
      </c>
      <c r="R46" s="89">
        <f t="shared" si="2"/>
        <v>0</v>
      </c>
      <c r="S46" s="15"/>
      <c r="T46" s="62">
        <f t="shared" si="22"/>
        <v>0</v>
      </c>
      <c r="U46" s="62">
        <f>IFERROR((Q46-C47)/C47,0)</f>
        <v>-1</v>
      </c>
    </row>
    <row r="47" spans="1:21" x14ac:dyDescent="0.25">
      <c r="A47" s="25"/>
      <c r="B47" s="15" t="s">
        <v>62</v>
      </c>
      <c r="C47" s="56">
        <v>10260</v>
      </c>
      <c r="D47" s="57">
        <f t="shared" si="20"/>
        <v>855</v>
      </c>
      <c r="E47" s="58">
        <f>0.8%*SUM(E37:E39)</f>
        <v>1024.3545044274811</v>
      </c>
      <c r="F47" s="58">
        <f t="shared" ref="F47:P47" si="27">0.8%*SUM(F37:F39)</f>
        <v>938.44330369465661</v>
      </c>
      <c r="G47" s="58">
        <f t="shared" si="27"/>
        <v>945.80695837557244</v>
      </c>
      <c r="H47" s="58">
        <f t="shared" si="27"/>
        <v>992.70943616488546</v>
      </c>
      <c r="I47" s="58">
        <f t="shared" si="27"/>
        <v>1073.8744561709923</v>
      </c>
      <c r="J47" s="58">
        <f t="shared" si="27"/>
        <v>979.55894058015269</v>
      </c>
      <c r="K47" s="58">
        <f t="shared" si="27"/>
        <v>1116.8168014778623</v>
      </c>
      <c r="L47" s="58">
        <f t="shared" si="27"/>
        <v>1070.0969892396945</v>
      </c>
      <c r="M47" s="58">
        <f t="shared" si="27"/>
        <v>1024.0302458015267</v>
      </c>
      <c r="N47" s="58">
        <f t="shared" si="27"/>
        <v>1125.7645006778623</v>
      </c>
      <c r="O47" s="58">
        <f t="shared" si="27"/>
        <v>1030.9476458015267</v>
      </c>
      <c r="P47" s="58">
        <f t="shared" si="27"/>
        <v>1080.9724164396946</v>
      </c>
      <c r="Q47" s="58">
        <f t="shared" si="21"/>
        <v>12403.376198851907</v>
      </c>
      <c r="R47" s="89">
        <f t="shared" si="2"/>
        <v>1033.6146832376589</v>
      </c>
      <c r="S47" s="15"/>
      <c r="T47" s="62">
        <f t="shared" si="22"/>
        <v>2.5186271221885373E-3</v>
      </c>
      <c r="U47" s="62">
        <f>IFERROR((Q47-#REF!)/#REF!,0)</f>
        <v>0</v>
      </c>
    </row>
    <row r="48" spans="1:21" x14ac:dyDescent="0.25">
      <c r="A48" s="63" t="s">
        <v>63</v>
      </c>
      <c r="B48" t="s">
        <v>48</v>
      </c>
      <c r="C48" s="91">
        <f>SUM(C37:C47)</f>
        <v>1479354.3960000002</v>
      </c>
      <c r="D48" s="92">
        <f t="shared" ref="D48:Q48" si="28">SUM(D37:D47)</f>
        <v>123279.533</v>
      </c>
      <c r="E48" s="93">
        <f t="shared" si="28"/>
        <v>147968.00816454965</v>
      </c>
      <c r="F48" s="93">
        <f t="shared" si="28"/>
        <v>135558.13521869315</v>
      </c>
      <c r="G48" s="93">
        <f t="shared" si="28"/>
        <v>136621.81513735143</v>
      </c>
      <c r="H48" s="93">
        <f t="shared" si="28"/>
        <v>143396.87805401772</v>
      </c>
      <c r="I48" s="93">
        <f t="shared" si="28"/>
        <v>155121.16519389985</v>
      </c>
      <c r="J48" s="93">
        <f t="shared" si="28"/>
        <v>141497.28896680305</v>
      </c>
      <c r="K48" s="93">
        <f t="shared" si="28"/>
        <v>161324.18697347719</v>
      </c>
      <c r="L48" s="93">
        <f t="shared" si="28"/>
        <v>154575.5100956739</v>
      </c>
      <c r="M48" s="93">
        <f t="shared" si="28"/>
        <v>147921.16900603051</v>
      </c>
      <c r="N48" s="93">
        <f t="shared" si="28"/>
        <v>162616.68212291721</v>
      </c>
      <c r="O48" s="93">
        <f t="shared" si="28"/>
        <v>148920.38743603052</v>
      </c>
      <c r="P48" s="93">
        <f t="shared" si="28"/>
        <v>156146.46555471388</v>
      </c>
      <c r="Q48" s="93">
        <f t="shared" si="28"/>
        <v>1791667.691924158</v>
      </c>
      <c r="R48" s="94">
        <f t="shared" si="2"/>
        <v>149305.64099367984</v>
      </c>
      <c r="T48" s="96">
        <f t="shared" si="22"/>
        <v>0.36381568780013418</v>
      </c>
      <c r="U48" s="96">
        <f t="shared" si="11"/>
        <v>0.21111458942401912</v>
      </c>
    </row>
    <row r="49" spans="1:21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101"/>
      <c r="R49" s="102"/>
      <c r="T49" s="55"/>
      <c r="U49" s="55"/>
    </row>
    <row r="50" spans="1:21" x14ac:dyDescent="0.25">
      <c r="A50" s="25"/>
      <c r="B50" s="15" t="s">
        <v>65</v>
      </c>
      <c r="C50" s="56">
        <v>18106.739999999998</v>
      </c>
      <c r="D50" s="57">
        <f t="shared" ref="D50:D61" si="29">C50/12</f>
        <v>1508.8949999999998</v>
      </c>
      <c r="E50" s="58">
        <v>1700</v>
      </c>
      <c r="F50" s="58">
        <v>1700</v>
      </c>
      <c r="G50" s="58">
        <v>1700</v>
      </c>
      <c r="H50" s="58">
        <v>1700</v>
      </c>
      <c r="I50" s="58">
        <v>1700</v>
      </c>
      <c r="J50" s="58">
        <v>1700</v>
      </c>
      <c r="K50" s="58">
        <v>1700</v>
      </c>
      <c r="L50" s="58">
        <v>1700</v>
      </c>
      <c r="M50" s="58">
        <v>1700</v>
      </c>
      <c r="N50" s="58">
        <v>1700</v>
      </c>
      <c r="O50" s="58">
        <v>1700</v>
      </c>
      <c r="P50" s="58">
        <v>1700</v>
      </c>
      <c r="Q50" s="58">
        <f t="shared" ref="Q50:Q61" si="30">SUM(E50:P50)</f>
        <v>20400</v>
      </c>
      <c r="R50" s="89">
        <f t="shared" si="2"/>
        <v>1700</v>
      </c>
      <c r="S50" s="15"/>
      <c r="T50" s="62">
        <f t="shared" si="22"/>
        <v>4.1424199725073278E-3</v>
      </c>
      <c r="U50" s="62">
        <f t="shared" si="11"/>
        <v>0.12665228528161349</v>
      </c>
    </row>
    <row r="51" spans="1:21" x14ac:dyDescent="0.25">
      <c r="A51" s="25"/>
      <c r="B51" s="15" t="s">
        <v>66</v>
      </c>
      <c r="C51" s="56">
        <v>25208.688000000002</v>
      </c>
      <c r="D51" s="57">
        <f t="shared" si="29"/>
        <v>2100.7240000000002</v>
      </c>
      <c r="E51" s="58">
        <v>2200</v>
      </c>
      <c r="F51" s="58">
        <v>2200</v>
      </c>
      <c r="G51" s="58">
        <v>2200</v>
      </c>
      <c r="H51" s="58">
        <v>2200</v>
      </c>
      <c r="I51" s="58">
        <v>2200</v>
      </c>
      <c r="J51" s="58">
        <v>2200</v>
      </c>
      <c r="K51" s="58">
        <v>2200</v>
      </c>
      <c r="L51" s="58">
        <v>2200</v>
      </c>
      <c r="M51" s="58">
        <v>2200</v>
      </c>
      <c r="N51" s="58">
        <v>2200</v>
      </c>
      <c r="O51" s="58">
        <v>2200</v>
      </c>
      <c r="P51" s="58">
        <v>2200</v>
      </c>
      <c r="Q51" s="58">
        <f t="shared" si="30"/>
        <v>26400</v>
      </c>
      <c r="R51" s="89">
        <f t="shared" si="2"/>
        <v>2200</v>
      </c>
      <c r="S51" s="15"/>
      <c r="T51" s="62">
        <f t="shared" si="22"/>
        <v>5.3607787879506588E-3</v>
      </c>
      <c r="U51" s="62">
        <f t="shared" si="11"/>
        <v>4.7257992958617996E-2</v>
      </c>
    </row>
    <row r="52" spans="1:21" x14ac:dyDescent="0.25">
      <c r="A52" s="25"/>
      <c r="B52" s="15" t="s">
        <v>67</v>
      </c>
      <c r="C52" s="56">
        <f>18487.752</f>
        <v>18487.752</v>
      </c>
      <c r="D52" s="57">
        <f t="shared" si="29"/>
        <v>1540.646</v>
      </c>
      <c r="E52" s="58">
        <v>1700</v>
      </c>
      <c r="F52" s="58">
        <v>1700</v>
      </c>
      <c r="G52" s="58">
        <v>1700</v>
      </c>
      <c r="H52" s="58">
        <v>1700</v>
      </c>
      <c r="I52" s="58">
        <v>1700</v>
      </c>
      <c r="J52" s="58">
        <v>1700</v>
      </c>
      <c r="K52" s="58">
        <v>1700</v>
      </c>
      <c r="L52" s="58">
        <v>1700</v>
      </c>
      <c r="M52" s="58">
        <v>1700</v>
      </c>
      <c r="N52" s="58">
        <v>1700</v>
      </c>
      <c r="O52" s="58">
        <v>1700</v>
      </c>
      <c r="P52" s="58">
        <v>1700</v>
      </c>
      <c r="Q52" s="58">
        <f t="shared" si="30"/>
        <v>20400</v>
      </c>
      <c r="R52" s="89">
        <f t="shared" si="2"/>
        <v>1700</v>
      </c>
      <c r="S52" s="15"/>
      <c r="T52" s="62">
        <f t="shared" si="22"/>
        <v>4.1424199725073278E-3</v>
      </c>
      <c r="U52" s="62">
        <f t="shared" si="11"/>
        <v>0.10343323514941133</v>
      </c>
    </row>
    <row r="53" spans="1:21" x14ac:dyDescent="0.25">
      <c r="A53" s="25"/>
      <c r="B53" s="15" t="s">
        <v>68</v>
      </c>
      <c r="C53" s="56">
        <v>2065.3920000000003</v>
      </c>
      <c r="D53" s="57">
        <f t="shared" si="29"/>
        <v>172.11600000000001</v>
      </c>
      <c r="E53" s="58">
        <v>175</v>
      </c>
      <c r="F53" s="58">
        <v>175</v>
      </c>
      <c r="G53" s="58">
        <v>175</v>
      </c>
      <c r="H53" s="58">
        <v>175</v>
      </c>
      <c r="I53" s="58">
        <v>175</v>
      </c>
      <c r="J53" s="58">
        <v>175</v>
      </c>
      <c r="K53" s="58">
        <v>175</v>
      </c>
      <c r="L53" s="58">
        <v>175</v>
      </c>
      <c r="M53" s="58">
        <v>175</v>
      </c>
      <c r="N53" s="58">
        <v>175</v>
      </c>
      <c r="O53" s="58">
        <v>175</v>
      </c>
      <c r="P53" s="58">
        <v>175</v>
      </c>
      <c r="Q53" s="58">
        <f t="shared" si="30"/>
        <v>2100</v>
      </c>
      <c r="R53" s="89">
        <f t="shared" si="2"/>
        <v>175</v>
      </c>
      <c r="S53" s="15"/>
      <c r="T53" s="62">
        <f t="shared" si="22"/>
        <v>4.2642558540516604E-4</v>
      </c>
      <c r="U53" s="62">
        <f>IFERROR((Q53-C53)/C53,0)</f>
        <v>1.6756141207092751E-2</v>
      </c>
    </row>
    <row r="54" spans="1:21" x14ac:dyDescent="0.25">
      <c r="A54" s="25"/>
      <c r="B54" s="15" t="s">
        <v>69</v>
      </c>
      <c r="C54" s="56">
        <v>66100.775999999998</v>
      </c>
      <c r="D54" s="57">
        <f t="shared" si="29"/>
        <v>5508.3980000000001</v>
      </c>
      <c r="E54" s="58">
        <f>13210.09</f>
        <v>13210.09</v>
      </c>
      <c r="F54" s="58">
        <f t="shared" ref="F54:K54" si="31">13210.09</f>
        <v>13210.09</v>
      </c>
      <c r="G54" s="58">
        <f t="shared" si="31"/>
        <v>13210.09</v>
      </c>
      <c r="H54" s="58">
        <f t="shared" si="31"/>
        <v>13210.09</v>
      </c>
      <c r="I54" s="58">
        <f t="shared" si="31"/>
        <v>13210.09</v>
      </c>
      <c r="J54" s="58">
        <f t="shared" si="31"/>
        <v>13210.09</v>
      </c>
      <c r="K54" s="58">
        <f t="shared" si="31"/>
        <v>13210.09</v>
      </c>
      <c r="L54" s="58">
        <v>15000</v>
      </c>
      <c r="M54" s="58">
        <v>15000</v>
      </c>
      <c r="N54" s="58">
        <v>15000</v>
      </c>
      <c r="O54" s="58">
        <v>15000</v>
      </c>
      <c r="P54" s="58">
        <v>15000</v>
      </c>
      <c r="Q54" s="58">
        <f>SUM(E54:P54)</f>
        <v>167470.63</v>
      </c>
      <c r="R54" s="89">
        <f t="shared" si="2"/>
        <v>13955.885833333334</v>
      </c>
      <c r="S54" s="15"/>
      <c r="T54" s="62">
        <f t="shared" si="22"/>
        <v>3.4006553064724748E-2</v>
      </c>
      <c r="U54" s="62">
        <f t="shared" si="11"/>
        <v>1.5335652640447066</v>
      </c>
    </row>
    <row r="55" spans="1:21" x14ac:dyDescent="0.25">
      <c r="A55" s="25"/>
      <c r="B55" s="15" t="s">
        <v>70</v>
      </c>
      <c r="C55" s="56">
        <v>43414.944000000003</v>
      </c>
      <c r="D55" s="57">
        <f t="shared" si="29"/>
        <v>3617.9120000000003</v>
      </c>
      <c r="E55" s="58">
        <v>3600</v>
      </c>
      <c r="F55" s="58">
        <v>3600</v>
      </c>
      <c r="G55" s="58">
        <v>3600</v>
      </c>
      <c r="H55" s="58">
        <v>3600</v>
      </c>
      <c r="I55" s="58">
        <v>3600</v>
      </c>
      <c r="J55" s="58">
        <v>3600</v>
      </c>
      <c r="K55" s="58">
        <v>3600</v>
      </c>
      <c r="L55" s="58">
        <v>3600</v>
      </c>
      <c r="M55" s="58">
        <v>3600</v>
      </c>
      <c r="N55" s="58">
        <v>3600</v>
      </c>
      <c r="O55" s="58">
        <v>3600</v>
      </c>
      <c r="P55" s="58">
        <v>3600</v>
      </c>
      <c r="Q55" s="58">
        <f t="shared" si="30"/>
        <v>43200</v>
      </c>
      <c r="R55" s="89">
        <f t="shared" si="2"/>
        <v>3600</v>
      </c>
      <c r="S55" s="15"/>
      <c r="T55" s="62">
        <f t="shared" si="22"/>
        <v>8.7721834711919876E-3</v>
      </c>
      <c r="U55" s="62">
        <f t="shared" si="11"/>
        <v>-4.9509219682513728E-3</v>
      </c>
    </row>
    <row r="56" spans="1:21" x14ac:dyDescent="0.25">
      <c r="A56" s="25"/>
      <c r="B56" s="15" t="s">
        <v>71</v>
      </c>
      <c r="C56" s="56">
        <v>0</v>
      </c>
      <c r="D56" s="57">
        <f t="shared" si="29"/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f t="shared" si="30"/>
        <v>0</v>
      </c>
      <c r="R56" s="89">
        <f t="shared" si="2"/>
        <v>0</v>
      </c>
      <c r="S56" s="15"/>
      <c r="T56" s="62">
        <f t="shared" si="22"/>
        <v>0</v>
      </c>
      <c r="U56" s="62">
        <f t="shared" si="11"/>
        <v>0</v>
      </c>
    </row>
    <row r="57" spans="1:21" x14ac:dyDescent="0.25">
      <c r="A57" s="25"/>
      <c r="B57" s="15" t="s">
        <v>72</v>
      </c>
      <c r="C57" s="56">
        <v>0</v>
      </c>
      <c r="D57" s="57">
        <f t="shared" si="29"/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f t="shared" si="30"/>
        <v>0</v>
      </c>
      <c r="R57" s="89">
        <f t="shared" si="2"/>
        <v>0</v>
      </c>
      <c r="S57" s="15"/>
      <c r="T57" s="62">
        <f t="shared" si="22"/>
        <v>0</v>
      </c>
      <c r="U57" s="62">
        <f t="shared" si="11"/>
        <v>0</v>
      </c>
    </row>
    <row r="58" spans="1:21" x14ac:dyDescent="0.25">
      <c r="A58" s="25"/>
      <c r="B58" s="15" t="s">
        <v>73</v>
      </c>
      <c r="C58" s="56">
        <v>41445.528000000006</v>
      </c>
      <c r="D58" s="57">
        <f t="shared" si="29"/>
        <v>3453.7940000000003</v>
      </c>
      <c r="E58" s="58">
        <v>3500</v>
      </c>
      <c r="F58" s="58">
        <v>3500</v>
      </c>
      <c r="G58" s="58">
        <v>3500</v>
      </c>
      <c r="H58" s="58">
        <v>3500</v>
      </c>
      <c r="I58" s="58">
        <v>3500</v>
      </c>
      <c r="J58" s="58">
        <v>3500</v>
      </c>
      <c r="K58" s="58">
        <v>3500</v>
      </c>
      <c r="L58" s="58">
        <v>3500</v>
      </c>
      <c r="M58" s="58">
        <v>3500</v>
      </c>
      <c r="N58" s="58">
        <v>3500</v>
      </c>
      <c r="O58" s="58">
        <v>3500</v>
      </c>
      <c r="P58" s="58">
        <v>3500</v>
      </c>
      <c r="Q58" s="58">
        <f t="shared" si="30"/>
        <v>42000</v>
      </c>
      <c r="R58" s="89">
        <f t="shared" si="2"/>
        <v>3500</v>
      </c>
      <c r="S58" s="15"/>
      <c r="T58" s="62">
        <f t="shared" si="22"/>
        <v>8.5285117081033215E-3</v>
      </c>
      <c r="U58" s="62">
        <f t="shared" si="11"/>
        <v>1.3378331191726987E-2</v>
      </c>
    </row>
    <row r="59" spans="1:21" x14ac:dyDescent="0.25">
      <c r="A59" s="25"/>
      <c r="B59" s="15" t="s">
        <v>74</v>
      </c>
      <c r="C59" s="56">
        <v>180000</v>
      </c>
      <c r="D59" s="57">
        <f t="shared" si="29"/>
        <v>15000</v>
      </c>
      <c r="E59" s="58">
        <v>15000</v>
      </c>
      <c r="F59" s="58">
        <v>15000</v>
      </c>
      <c r="G59" s="58">
        <v>15000</v>
      </c>
      <c r="H59" s="58">
        <v>15000</v>
      </c>
      <c r="I59" s="58">
        <v>15000</v>
      </c>
      <c r="J59" s="58">
        <v>15000</v>
      </c>
      <c r="K59" s="58">
        <v>15000</v>
      </c>
      <c r="L59" s="58">
        <v>15000</v>
      </c>
      <c r="M59" s="58">
        <v>15000</v>
      </c>
      <c r="N59" s="58">
        <v>15000</v>
      </c>
      <c r="O59" s="58">
        <v>15000</v>
      </c>
      <c r="P59" s="58">
        <v>15000</v>
      </c>
      <c r="Q59" s="58">
        <f t="shared" si="30"/>
        <v>180000</v>
      </c>
      <c r="R59" s="89">
        <f t="shared" si="2"/>
        <v>15000</v>
      </c>
      <c r="S59" s="15"/>
      <c r="T59" s="62">
        <f t="shared" si="22"/>
        <v>3.6550764463299946E-2</v>
      </c>
      <c r="U59" s="62">
        <f t="shared" si="11"/>
        <v>0</v>
      </c>
    </row>
    <row r="60" spans="1:21" x14ac:dyDescent="0.25">
      <c r="A60" s="25"/>
      <c r="B60" s="15" t="s">
        <v>75</v>
      </c>
      <c r="C60" s="56">
        <v>97820.66399999999</v>
      </c>
      <c r="D60" s="57">
        <f t="shared" si="29"/>
        <v>8151.7219999999988</v>
      </c>
      <c r="E60" s="58">
        <v>8200</v>
      </c>
      <c r="F60" s="58">
        <v>8200</v>
      </c>
      <c r="G60" s="58">
        <v>8200</v>
      </c>
      <c r="H60" s="58">
        <v>8200</v>
      </c>
      <c r="I60" s="58">
        <v>8200</v>
      </c>
      <c r="J60" s="58">
        <v>8200</v>
      </c>
      <c r="K60" s="58">
        <v>8200</v>
      </c>
      <c r="L60" s="58">
        <v>8200</v>
      </c>
      <c r="M60" s="58">
        <v>8200</v>
      </c>
      <c r="N60" s="58">
        <v>8200</v>
      </c>
      <c r="O60" s="58">
        <v>8200</v>
      </c>
      <c r="P60" s="58">
        <v>8200</v>
      </c>
      <c r="Q60" s="58">
        <f t="shared" si="30"/>
        <v>98400</v>
      </c>
      <c r="R60" s="89">
        <f t="shared" si="2"/>
        <v>8200</v>
      </c>
      <c r="S60" s="15"/>
      <c r="T60" s="62">
        <f t="shared" si="22"/>
        <v>1.9981084573270639E-2</v>
      </c>
      <c r="U60" s="62">
        <f t="shared" si="11"/>
        <v>5.9224296412464577E-3</v>
      </c>
    </row>
    <row r="61" spans="1:21" x14ac:dyDescent="0.25">
      <c r="A61" s="25"/>
      <c r="B61" s="15" t="s">
        <v>76</v>
      </c>
      <c r="C61" s="56">
        <v>78.323999999999984</v>
      </c>
      <c r="D61" s="57">
        <f t="shared" si="29"/>
        <v>6.5269999999999984</v>
      </c>
      <c r="E61" s="58">
        <v>100</v>
      </c>
      <c r="F61" s="58">
        <v>100</v>
      </c>
      <c r="G61" s="58">
        <v>100</v>
      </c>
      <c r="H61" s="58">
        <v>100</v>
      </c>
      <c r="I61" s="58">
        <v>100</v>
      </c>
      <c r="J61" s="58">
        <v>100</v>
      </c>
      <c r="K61" s="58">
        <v>100</v>
      </c>
      <c r="L61" s="58">
        <v>100</v>
      </c>
      <c r="M61" s="58">
        <v>100</v>
      </c>
      <c r="N61" s="58">
        <v>100</v>
      </c>
      <c r="O61" s="58">
        <v>100</v>
      </c>
      <c r="P61" s="58">
        <v>100</v>
      </c>
      <c r="Q61" s="58">
        <f t="shared" si="30"/>
        <v>1200</v>
      </c>
      <c r="R61" s="89">
        <f t="shared" si="2"/>
        <v>100</v>
      </c>
      <c r="S61" s="15"/>
      <c r="T61" s="62">
        <f t="shared" si="22"/>
        <v>2.4367176308866633E-4</v>
      </c>
      <c r="U61" s="62">
        <f t="shared" si="11"/>
        <v>14.320974413972731</v>
      </c>
    </row>
    <row r="62" spans="1:21" x14ac:dyDescent="0.25">
      <c r="A62" s="63" t="s">
        <v>77</v>
      </c>
      <c r="B62" s="15" t="s">
        <v>48</v>
      </c>
      <c r="C62" s="91">
        <f t="shared" ref="C62:D62" si="32">SUM(C50:C61)</f>
        <v>492728.80800000002</v>
      </c>
      <c r="D62" s="92">
        <f t="shared" si="32"/>
        <v>41060.734000000004</v>
      </c>
      <c r="E62" s="93">
        <f>SUM(E50:E61)</f>
        <v>49385.09</v>
      </c>
      <c r="F62" s="93">
        <f t="shared" ref="F62:Q62" si="33">SUM(F50:F61)</f>
        <v>49385.09</v>
      </c>
      <c r="G62" s="93">
        <f t="shared" si="33"/>
        <v>49385.09</v>
      </c>
      <c r="H62" s="93">
        <f t="shared" si="33"/>
        <v>49385.09</v>
      </c>
      <c r="I62" s="93">
        <f t="shared" si="33"/>
        <v>49385.09</v>
      </c>
      <c r="J62" s="93">
        <f t="shared" si="33"/>
        <v>49385.09</v>
      </c>
      <c r="K62" s="93">
        <f t="shared" si="33"/>
        <v>49385.09</v>
      </c>
      <c r="L62" s="93">
        <f t="shared" si="33"/>
        <v>51175</v>
      </c>
      <c r="M62" s="93">
        <f t="shared" si="33"/>
        <v>51175</v>
      </c>
      <c r="N62" s="93">
        <f t="shared" si="33"/>
        <v>51175</v>
      </c>
      <c r="O62" s="93">
        <f t="shared" si="33"/>
        <v>51175</v>
      </c>
      <c r="P62" s="93">
        <f t="shared" si="33"/>
        <v>51175</v>
      </c>
      <c r="Q62" s="93">
        <f t="shared" si="33"/>
        <v>601570.63</v>
      </c>
      <c r="R62" s="94">
        <f t="shared" si="2"/>
        <v>50130.885833333334</v>
      </c>
      <c r="T62" s="96">
        <f t="shared" si="22"/>
        <v>0.12215481336204979</v>
      </c>
      <c r="U62" s="96">
        <f t="shared" si="11"/>
        <v>0.22089599843328012</v>
      </c>
    </row>
    <row r="63" spans="1:21" x14ac:dyDescent="0.25">
      <c r="A63" s="15" t="s">
        <v>78</v>
      </c>
      <c r="B63" s="15" t="s">
        <v>48</v>
      </c>
      <c r="C63" s="103">
        <v>0</v>
      </c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1" x14ac:dyDescent="0.25">
      <c r="A64" s="25"/>
      <c r="B64" s="15" t="s">
        <v>79</v>
      </c>
      <c r="C64" s="56">
        <v>7719.5999999999995</v>
      </c>
      <c r="D64" s="57">
        <f t="shared" ref="D64:D72" si="34">C64/12</f>
        <v>643.29999999999995</v>
      </c>
      <c r="E64" s="58">
        <v>640.75</v>
      </c>
      <c r="F64" s="58">
        <v>640.75</v>
      </c>
      <c r="G64" s="58">
        <v>640.75</v>
      </c>
      <c r="H64" s="58">
        <v>640.75</v>
      </c>
      <c r="I64" s="58">
        <v>640.75</v>
      </c>
      <c r="J64" s="58">
        <v>640.75</v>
      </c>
      <c r="K64" s="58">
        <v>640.75</v>
      </c>
      <c r="L64" s="58">
        <v>640.75</v>
      </c>
      <c r="M64" s="58">
        <v>640.75</v>
      </c>
      <c r="N64" s="58">
        <v>640.75</v>
      </c>
      <c r="O64" s="58">
        <v>640.75</v>
      </c>
      <c r="P64" s="58">
        <v>640.75</v>
      </c>
      <c r="Q64" s="58">
        <f>SUM(E64:P64)</f>
        <v>7689</v>
      </c>
      <c r="R64" s="89">
        <f t="shared" si="2"/>
        <v>640.75</v>
      </c>
      <c r="S64" s="15"/>
      <c r="T64" s="62">
        <f t="shared" si="22"/>
        <v>1.5613268219906295E-3</v>
      </c>
      <c r="U64" s="62">
        <f t="shared" si="11"/>
        <v>-3.9639359552307704E-3</v>
      </c>
    </row>
    <row r="65" spans="1:21" x14ac:dyDescent="0.25">
      <c r="A65" s="25"/>
      <c r="B65" s="15" t="s">
        <v>80</v>
      </c>
      <c r="C65" s="56">
        <v>1944.7439999999997</v>
      </c>
      <c r="D65" s="57">
        <f t="shared" si="34"/>
        <v>162.06199999999998</v>
      </c>
      <c r="E65" s="58">
        <v>200</v>
      </c>
      <c r="F65" s="58">
        <v>200</v>
      </c>
      <c r="G65" s="58">
        <v>200</v>
      </c>
      <c r="H65" s="58">
        <v>200</v>
      </c>
      <c r="I65" s="58">
        <v>200</v>
      </c>
      <c r="J65" s="58">
        <v>200</v>
      </c>
      <c r="K65" s="58">
        <v>200</v>
      </c>
      <c r="L65" s="58">
        <v>200</v>
      </c>
      <c r="M65" s="58">
        <v>200</v>
      </c>
      <c r="N65" s="58">
        <v>200</v>
      </c>
      <c r="O65" s="58">
        <v>200</v>
      </c>
      <c r="P65" s="58">
        <v>200</v>
      </c>
      <c r="Q65" s="58">
        <f>SUM(E65:P65)</f>
        <v>2400</v>
      </c>
      <c r="R65" s="89">
        <f t="shared" si="2"/>
        <v>200</v>
      </c>
      <c r="S65" s="15"/>
      <c r="T65" s="62">
        <f t="shared" si="22"/>
        <v>4.8734352617733266E-4</v>
      </c>
      <c r="U65" s="62">
        <f t="shared" si="11"/>
        <v>0.23409559304463742</v>
      </c>
    </row>
    <row r="66" spans="1:21" x14ac:dyDescent="0.25">
      <c r="A66" s="25"/>
      <c r="B66" s="15" t="s">
        <v>81</v>
      </c>
      <c r="C66" s="56">
        <v>4718.232</v>
      </c>
      <c r="D66" s="57">
        <f t="shared" si="34"/>
        <v>393.18599999999998</v>
      </c>
      <c r="E66" s="58">
        <v>550</v>
      </c>
      <c r="F66" s="58">
        <v>550</v>
      </c>
      <c r="G66" s="58">
        <v>550</v>
      </c>
      <c r="H66" s="58">
        <v>550</v>
      </c>
      <c r="I66" s="58">
        <v>550</v>
      </c>
      <c r="J66" s="58">
        <v>550</v>
      </c>
      <c r="K66" s="58">
        <v>550</v>
      </c>
      <c r="L66" s="58">
        <v>550</v>
      </c>
      <c r="M66" s="58">
        <v>550</v>
      </c>
      <c r="N66" s="58">
        <v>550</v>
      </c>
      <c r="O66" s="58">
        <v>550</v>
      </c>
      <c r="P66" s="58">
        <v>550</v>
      </c>
      <c r="Q66" s="58">
        <f>SUM(E66:P66)</f>
        <v>6600</v>
      </c>
      <c r="R66" s="89">
        <f t="shared" si="2"/>
        <v>550</v>
      </c>
      <c r="S66" s="15"/>
      <c r="T66" s="62">
        <f t="shared" si="22"/>
        <v>1.3401946969876647E-3</v>
      </c>
      <c r="U66" s="62">
        <f t="shared" si="11"/>
        <v>0.39882905291643139</v>
      </c>
    </row>
    <row r="67" spans="1:21" x14ac:dyDescent="0.25">
      <c r="A67" s="25"/>
      <c r="B67" s="15" t="s">
        <v>82</v>
      </c>
      <c r="C67" s="56">
        <v>4821.2880000000005</v>
      </c>
      <c r="D67" s="57">
        <f t="shared" si="34"/>
        <v>401.77400000000006</v>
      </c>
      <c r="E67" s="58">
        <v>425</v>
      </c>
      <c r="F67" s="58">
        <v>425</v>
      </c>
      <c r="G67" s="58">
        <v>425</v>
      </c>
      <c r="H67" s="58">
        <v>425</v>
      </c>
      <c r="I67" s="58">
        <v>425</v>
      </c>
      <c r="J67" s="58">
        <v>425</v>
      </c>
      <c r="K67" s="58">
        <v>425</v>
      </c>
      <c r="L67" s="58">
        <v>425</v>
      </c>
      <c r="M67" s="58">
        <v>425</v>
      </c>
      <c r="N67" s="58">
        <v>425</v>
      </c>
      <c r="O67" s="58">
        <v>425</v>
      </c>
      <c r="P67" s="58">
        <v>425</v>
      </c>
      <c r="Q67" s="58">
        <f t="shared" ref="Q67:Q72" si="35">SUM(E67:P67)</f>
        <v>5100</v>
      </c>
      <c r="R67" s="89">
        <f t="shared" si="2"/>
        <v>425</v>
      </c>
      <c r="S67" s="15"/>
      <c r="T67" s="62">
        <f t="shared" si="22"/>
        <v>1.0356049931268319E-3</v>
      </c>
      <c r="U67" s="62">
        <f t="shared" si="11"/>
        <v>5.7808618775729535E-2</v>
      </c>
    </row>
    <row r="68" spans="1:21" x14ac:dyDescent="0.25">
      <c r="A68" s="25"/>
      <c r="B68" s="15" t="s">
        <v>83</v>
      </c>
      <c r="C68" s="56">
        <v>14719.272000000001</v>
      </c>
      <c r="D68" s="57">
        <f t="shared" si="34"/>
        <v>1226.606</v>
      </c>
      <c r="E68" s="58">
        <v>1250</v>
      </c>
      <c r="F68" s="58">
        <v>1250</v>
      </c>
      <c r="G68" s="58">
        <v>1250</v>
      </c>
      <c r="H68" s="58">
        <v>1250</v>
      </c>
      <c r="I68" s="58">
        <v>1250</v>
      </c>
      <c r="J68" s="58">
        <v>1250</v>
      </c>
      <c r="K68" s="58">
        <v>1250</v>
      </c>
      <c r="L68" s="58">
        <v>1250</v>
      </c>
      <c r="M68" s="58">
        <v>1250</v>
      </c>
      <c r="N68" s="58">
        <v>1250</v>
      </c>
      <c r="O68" s="58">
        <v>1250</v>
      </c>
      <c r="P68" s="58">
        <v>1250</v>
      </c>
      <c r="Q68" s="58">
        <f t="shared" si="35"/>
        <v>15000</v>
      </c>
      <c r="R68" s="89">
        <f t="shared" si="2"/>
        <v>1250</v>
      </c>
      <c r="S68" s="15"/>
      <c r="T68" s="62">
        <f t="shared" si="22"/>
        <v>3.0458970386083289E-3</v>
      </c>
      <c r="U68" s="62">
        <f t="shared" si="11"/>
        <v>1.9072138893825669E-2</v>
      </c>
    </row>
    <row r="69" spans="1:21" x14ac:dyDescent="0.25">
      <c r="A69" s="25"/>
      <c r="B69" s="15" t="s">
        <v>84</v>
      </c>
      <c r="C69" s="56">
        <v>18497.171999999999</v>
      </c>
      <c r="D69" s="57">
        <f t="shared" si="34"/>
        <v>1541.4309999999998</v>
      </c>
      <c r="E69" s="58">
        <v>1600</v>
      </c>
      <c r="F69" s="58">
        <v>1600</v>
      </c>
      <c r="G69" s="58">
        <v>1600</v>
      </c>
      <c r="H69" s="58">
        <v>1600</v>
      </c>
      <c r="I69" s="58">
        <v>1600</v>
      </c>
      <c r="J69" s="58">
        <v>1600</v>
      </c>
      <c r="K69" s="58">
        <v>1600</v>
      </c>
      <c r="L69" s="58">
        <v>1600</v>
      </c>
      <c r="M69" s="58">
        <v>1600</v>
      </c>
      <c r="N69" s="58">
        <v>1600</v>
      </c>
      <c r="O69" s="58">
        <v>1600</v>
      </c>
      <c r="P69" s="58">
        <v>1600</v>
      </c>
      <c r="Q69" s="58">
        <f t="shared" si="35"/>
        <v>19200</v>
      </c>
      <c r="R69" s="89">
        <f t="shared" si="2"/>
        <v>1600</v>
      </c>
      <c r="S69" s="15"/>
      <c r="T69" s="62">
        <f t="shared" si="22"/>
        <v>3.8987482094186613E-3</v>
      </c>
      <c r="U69" s="62">
        <f t="shared" si="11"/>
        <v>3.7996511034227361E-2</v>
      </c>
    </row>
    <row r="70" spans="1:21" x14ac:dyDescent="0.25">
      <c r="A70" s="25"/>
      <c r="B70" s="15" t="s">
        <v>85</v>
      </c>
      <c r="C70" s="56">
        <v>39991.631999999998</v>
      </c>
      <c r="D70" s="57">
        <f t="shared" si="34"/>
        <v>3332.636</v>
      </c>
      <c r="E70" s="58">
        <v>4500</v>
      </c>
      <c r="F70" s="58">
        <v>4500</v>
      </c>
      <c r="G70" s="58">
        <v>4500</v>
      </c>
      <c r="H70" s="58">
        <v>4500</v>
      </c>
      <c r="I70" s="58">
        <v>4500</v>
      </c>
      <c r="J70" s="58">
        <v>4500</v>
      </c>
      <c r="K70" s="58">
        <v>4500</v>
      </c>
      <c r="L70" s="58">
        <v>4500</v>
      </c>
      <c r="M70" s="58">
        <v>4500</v>
      </c>
      <c r="N70" s="58">
        <v>4500</v>
      </c>
      <c r="O70" s="58">
        <v>4500</v>
      </c>
      <c r="P70" s="58">
        <v>4500</v>
      </c>
      <c r="Q70" s="58">
        <f t="shared" si="35"/>
        <v>54000</v>
      </c>
      <c r="R70" s="89">
        <f t="shared" si="2"/>
        <v>4500</v>
      </c>
      <c r="S70" s="15"/>
      <c r="T70" s="62">
        <f t="shared" si="22"/>
        <v>1.0965229338989985E-2</v>
      </c>
      <c r="U70" s="62">
        <f t="shared" si="11"/>
        <v>0.35028247909462668</v>
      </c>
    </row>
    <row r="71" spans="1:21" x14ac:dyDescent="0.25">
      <c r="A71" s="25"/>
      <c r="B71" s="15" t="s">
        <v>86</v>
      </c>
      <c r="C71" s="56">
        <v>1461.2400000000002</v>
      </c>
      <c r="D71" s="57">
        <f t="shared" si="34"/>
        <v>121.77000000000002</v>
      </c>
      <c r="E71" s="58">
        <v>125</v>
      </c>
      <c r="F71" s="58">
        <v>125</v>
      </c>
      <c r="G71" s="58">
        <v>125</v>
      </c>
      <c r="H71" s="58">
        <v>125</v>
      </c>
      <c r="I71" s="58">
        <v>125</v>
      </c>
      <c r="J71" s="58">
        <v>125</v>
      </c>
      <c r="K71" s="58">
        <v>125</v>
      </c>
      <c r="L71" s="58">
        <v>125</v>
      </c>
      <c r="M71" s="58">
        <v>125</v>
      </c>
      <c r="N71" s="58">
        <v>125</v>
      </c>
      <c r="O71" s="58">
        <v>125</v>
      </c>
      <c r="P71" s="58">
        <v>125</v>
      </c>
      <c r="Q71" s="58">
        <f t="shared" si="35"/>
        <v>1500</v>
      </c>
      <c r="R71" s="89">
        <f t="shared" si="2"/>
        <v>125</v>
      </c>
      <c r="S71" s="15"/>
      <c r="T71" s="62">
        <f t="shared" si="22"/>
        <v>3.0458970386083292E-4</v>
      </c>
      <c r="U71" s="62">
        <f t="shared" si="11"/>
        <v>2.6525416769319042E-2</v>
      </c>
    </row>
    <row r="72" spans="1:21" x14ac:dyDescent="0.25">
      <c r="A72" s="25"/>
      <c r="B72" s="15" t="s">
        <v>87</v>
      </c>
      <c r="C72" s="56">
        <v>29849.196</v>
      </c>
      <c r="D72" s="57">
        <f t="shared" si="34"/>
        <v>2487.433</v>
      </c>
      <c r="E72" s="58">
        <v>2500</v>
      </c>
      <c r="F72" s="58">
        <v>2500</v>
      </c>
      <c r="G72" s="58">
        <v>2500</v>
      </c>
      <c r="H72" s="58">
        <v>2500</v>
      </c>
      <c r="I72" s="58">
        <v>2500</v>
      </c>
      <c r="J72" s="58">
        <v>2500</v>
      </c>
      <c r="K72" s="58">
        <v>2500</v>
      </c>
      <c r="L72" s="58">
        <v>2500</v>
      </c>
      <c r="M72" s="58">
        <v>2500</v>
      </c>
      <c r="N72" s="58">
        <v>2500</v>
      </c>
      <c r="O72" s="58">
        <v>2500</v>
      </c>
      <c r="P72" s="58">
        <v>2500</v>
      </c>
      <c r="Q72" s="58">
        <f t="shared" si="35"/>
        <v>30000</v>
      </c>
      <c r="R72" s="89">
        <f t="shared" si="2"/>
        <v>2500</v>
      </c>
      <c r="S72" s="15"/>
      <c r="T72" s="62">
        <f t="shared" si="22"/>
        <v>6.0917940772166577E-3</v>
      </c>
      <c r="U72" s="62">
        <f t="shared" si="11"/>
        <v>5.0521963807668418E-3</v>
      </c>
    </row>
    <row r="73" spans="1:21" x14ac:dyDescent="0.25">
      <c r="A73" s="63" t="s">
        <v>88</v>
      </c>
      <c r="B73" s="15" t="s">
        <v>48</v>
      </c>
      <c r="C73" s="91">
        <f t="shared" ref="C73:Q73" si="36">SUM(C64:C72)</f>
        <v>123722.376</v>
      </c>
      <c r="D73" s="92">
        <f t="shared" si="36"/>
        <v>10310.198</v>
      </c>
      <c r="E73" s="93">
        <f t="shared" si="36"/>
        <v>11790.75</v>
      </c>
      <c r="F73" s="93">
        <f t="shared" si="36"/>
        <v>11790.75</v>
      </c>
      <c r="G73" s="93">
        <f t="shared" si="36"/>
        <v>11790.75</v>
      </c>
      <c r="H73" s="93">
        <f t="shared" si="36"/>
        <v>11790.75</v>
      </c>
      <c r="I73" s="93">
        <f t="shared" si="36"/>
        <v>11790.75</v>
      </c>
      <c r="J73" s="93">
        <f t="shared" si="36"/>
        <v>11790.75</v>
      </c>
      <c r="K73" s="93">
        <f t="shared" si="36"/>
        <v>11790.75</v>
      </c>
      <c r="L73" s="93">
        <f t="shared" si="36"/>
        <v>11790.75</v>
      </c>
      <c r="M73" s="93">
        <f t="shared" si="36"/>
        <v>11790.75</v>
      </c>
      <c r="N73" s="93">
        <f t="shared" si="36"/>
        <v>11790.75</v>
      </c>
      <c r="O73" s="93">
        <f t="shared" si="36"/>
        <v>11790.75</v>
      </c>
      <c r="P73" s="93">
        <f t="shared" si="36"/>
        <v>11790.75</v>
      </c>
      <c r="Q73" s="93">
        <f t="shared" si="36"/>
        <v>141489</v>
      </c>
      <c r="R73" s="94">
        <f t="shared" si="2"/>
        <v>11790.75</v>
      </c>
      <c r="T73" s="96">
        <f t="shared" si="22"/>
        <v>2.8730728406376926E-2</v>
      </c>
      <c r="U73" s="96">
        <f t="shared" si="11"/>
        <v>0.14360073395292697</v>
      </c>
    </row>
    <row r="74" spans="1:21" x14ac:dyDescent="0.25">
      <c r="A74" s="15" t="s">
        <v>89</v>
      </c>
      <c r="B74" s="15"/>
      <c r="C74" s="108">
        <v>0</v>
      </c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>
        <v>210492.59999999998</v>
      </c>
      <c r="D75" s="57">
        <f>C75/12</f>
        <v>17541.05</v>
      </c>
      <c r="E75" s="58">
        <f>(((((E14+'[2]Payroll 2024'!K166)*E4)*3)*5.25))</f>
        <v>19645.959374999999</v>
      </c>
      <c r="F75" s="58">
        <f>(((((F14+'[2]Payroll 2024'!K167)*F4)*3)*5.25))</f>
        <v>18378.478124999998</v>
      </c>
      <c r="G75" s="58">
        <f>(((((G14+'[2]Payroll 2024'!K168)*G4)*3)*5.25))</f>
        <v>19645.959374999999</v>
      </c>
      <c r="H75" s="58">
        <f>(((((H14+'[2]Payroll 2024'!K169)*H4)*3)*5.25))</f>
        <v>19012.21875</v>
      </c>
      <c r="I75" s="58">
        <f>(((((I14+'[2]Payroll 2024'!K170)*I4)*3)*5.25))</f>
        <v>19645.959374999999</v>
      </c>
      <c r="J75" s="58">
        <f>(((((J14+'[2]Payroll 2024'!K171)*J4)*3)*5.25))</f>
        <v>19012.21875</v>
      </c>
      <c r="K75" s="58">
        <f>(((((K14+'[2]Payroll 2024'!K172)*K4)*3)*5.25))</f>
        <v>20622.459374999999</v>
      </c>
      <c r="L75" s="58">
        <f>(((((L14+'[2]Payroll 2024'!K173)*L4)*3)*5.25))</f>
        <v>20622.459374999999</v>
      </c>
      <c r="M75" s="58">
        <f>(((((M14+'[2]Payroll 2024'!K174)*M4)*3)*5.25))</f>
        <v>19957.21875</v>
      </c>
      <c r="N75" s="58">
        <f>(((((N14+'[2]Payroll 2024'!K175)*N4)*3)*5.25))</f>
        <v>20622.459374999999</v>
      </c>
      <c r="O75" s="58">
        <f>(((((O14+'[2]Payroll 2024'!K176)*O4)*3)*5.25))</f>
        <v>18067.21875</v>
      </c>
      <c r="P75" s="58">
        <f>(((((P14+'[2]Payroll 2024'!K177)*P4)*3)*5.25))</f>
        <v>18669.459374999999</v>
      </c>
      <c r="Q75" s="58">
        <f>SUM(E75:P75)</f>
        <v>233902.06875000003</v>
      </c>
      <c r="R75" s="89">
        <f t="shared" si="2"/>
        <v>19491.839062500003</v>
      </c>
      <c r="S75" s="15"/>
      <c r="T75" s="62">
        <f t="shared" si="22"/>
        <v>4.7496107901999124E-2</v>
      </c>
      <c r="U75" s="62">
        <f t="shared" si="11"/>
        <v>0.11121278729038485</v>
      </c>
    </row>
    <row r="76" spans="1:21" x14ac:dyDescent="0.25">
      <c r="A76" s="63" t="s">
        <v>91</v>
      </c>
      <c r="B76" s="15"/>
      <c r="C76" s="91">
        <f t="shared" ref="C76:D76" si="37">SUM(C75)</f>
        <v>210492.59999999998</v>
      </c>
      <c r="D76" s="92">
        <f t="shared" si="37"/>
        <v>17541.05</v>
      </c>
      <c r="E76" s="93">
        <f>SUM(E75)</f>
        <v>19645.959374999999</v>
      </c>
      <c r="F76" s="93">
        <f t="shared" ref="F76:Q76" si="38">SUM(F75)</f>
        <v>18378.478124999998</v>
      </c>
      <c r="G76" s="93">
        <f t="shared" si="38"/>
        <v>19645.959374999999</v>
      </c>
      <c r="H76" s="93">
        <f t="shared" si="38"/>
        <v>19012.21875</v>
      </c>
      <c r="I76" s="93">
        <f t="shared" si="38"/>
        <v>19645.959374999999</v>
      </c>
      <c r="J76" s="93">
        <f t="shared" si="38"/>
        <v>19012.21875</v>
      </c>
      <c r="K76" s="93">
        <f t="shared" si="38"/>
        <v>20622.459374999999</v>
      </c>
      <c r="L76" s="93">
        <f t="shared" si="38"/>
        <v>20622.459374999999</v>
      </c>
      <c r="M76" s="93">
        <f t="shared" si="38"/>
        <v>19957.21875</v>
      </c>
      <c r="N76" s="93">
        <f t="shared" si="38"/>
        <v>20622.459374999999</v>
      </c>
      <c r="O76" s="93">
        <f t="shared" si="38"/>
        <v>18067.21875</v>
      </c>
      <c r="P76" s="93">
        <f t="shared" si="38"/>
        <v>18669.459374999999</v>
      </c>
      <c r="Q76" s="93">
        <f t="shared" si="38"/>
        <v>233902.06875000003</v>
      </c>
      <c r="R76" s="94">
        <f t="shared" si="2"/>
        <v>19491.839062500003</v>
      </c>
      <c r="T76" s="96">
        <f t="shared" si="22"/>
        <v>4.7496107901999124E-2</v>
      </c>
      <c r="U76" s="96">
        <f t="shared" si="11"/>
        <v>0.11121278729038485</v>
      </c>
    </row>
    <row r="77" spans="1:21" x14ac:dyDescent="0.25">
      <c r="A77" s="15" t="s">
        <v>92</v>
      </c>
      <c r="B77" s="15" t="s">
        <v>48</v>
      </c>
      <c r="C77" s="114">
        <v>0</v>
      </c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>
        <v>33313.307999999997</v>
      </c>
      <c r="D78" s="57">
        <f t="shared" ref="D78:D81" si="39">C78/12</f>
        <v>2776.1089999999999</v>
      </c>
      <c r="E78" s="58">
        <v>3100</v>
      </c>
      <c r="F78" s="58">
        <v>3100</v>
      </c>
      <c r="G78" s="58">
        <v>3100</v>
      </c>
      <c r="H78" s="58">
        <v>3100</v>
      </c>
      <c r="I78" s="58">
        <v>3100</v>
      </c>
      <c r="J78" s="58">
        <v>3100</v>
      </c>
      <c r="K78" s="58">
        <v>3100</v>
      </c>
      <c r="L78" s="58">
        <v>3100</v>
      </c>
      <c r="M78" s="58">
        <v>3100</v>
      </c>
      <c r="N78" s="58">
        <v>3100</v>
      </c>
      <c r="O78" s="58">
        <v>3100</v>
      </c>
      <c r="P78" s="58">
        <v>3100</v>
      </c>
      <c r="Q78" s="58">
        <f>SUM(E78:P78)</f>
        <v>37200</v>
      </c>
      <c r="R78" s="89">
        <f t="shared" si="2"/>
        <v>3100</v>
      </c>
      <c r="S78" s="15"/>
      <c r="T78" s="62">
        <f t="shared" si="22"/>
        <v>7.5538246557486557E-3</v>
      </c>
      <c r="U78" s="62">
        <f t="shared" si="11"/>
        <v>0.11667085118055533</v>
      </c>
    </row>
    <row r="79" spans="1:21" x14ac:dyDescent="0.25">
      <c r="A79" s="25"/>
      <c r="B79" s="15" t="s">
        <v>94</v>
      </c>
      <c r="C79" s="56">
        <v>1548.1079999999997</v>
      </c>
      <c r="D79" s="57">
        <f t="shared" si="39"/>
        <v>129.00899999999999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f>SUM(E79:P79)</f>
        <v>0</v>
      </c>
      <c r="R79" s="89">
        <f t="shared" si="2"/>
        <v>0</v>
      </c>
      <c r="S79" s="15"/>
      <c r="T79" s="62">
        <f t="shared" si="22"/>
        <v>0</v>
      </c>
      <c r="U79" s="62">
        <f t="shared" si="11"/>
        <v>-1</v>
      </c>
    </row>
    <row r="80" spans="1:21" x14ac:dyDescent="0.25">
      <c r="A80" s="25"/>
      <c r="B80" s="15" t="s">
        <v>95</v>
      </c>
      <c r="C80" s="56">
        <v>22674.864000000001</v>
      </c>
      <c r="D80" s="57">
        <f t="shared" si="39"/>
        <v>1889.5720000000001</v>
      </c>
      <c r="E80" s="58">
        <v>2200</v>
      </c>
      <c r="F80" s="58">
        <v>2200</v>
      </c>
      <c r="G80" s="58">
        <v>2200</v>
      </c>
      <c r="H80" s="58">
        <v>2200</v>
      </c>
      <c r="I80" s="58">
        <v>2200</v>
      </c>
      <c r="J80" s="58">
        <v>2200</v>
      </c>
      <c r="K80" s="58">
        <v>2320</v>
      </c>
      <c r="L80" s="58">
        <v>2320</v>
      </c>
      <c r="M80" s="58">
        <v>2320</v>
      </c>
      <c r="N80" s="58">
        <v>2320</v>
      </c>
      <c r="O80" s="58">
        <v>2320</v>
      </c>
      <c r="P80" s="58">
        <v>2320</v>
      </c>
      <c r="Q80" s="58">
        <f>SUM(E80:P80)</f>
        <v>27120</v>
      </c>
      <c r="R80" s="89">
        <f t="shared" si="2"/>
        <v>2260</v>
      </c>
      <c r="S80" s="15"/>
      <c r="T80" s="62">
        <f t="shared" si="22"/>
        <v>5.5069818458038586E-3</v>
      </c>
      <c r="U80" s="62">
        <f t="shared" si="11"/>
        <v>0.1960380445942255</v>
      </c>
    </row>
    <row r="81" spans="1:21" x14ac:dyDescent="0.25">
      <c r="A81" s="25"/>
      <c r="B81" s="15" t="s">
        <v>96</v>
      </c>
      <c r="C81" s="56">
        <v>8615.4000000000015</v>
      </c>
      <c r="D81" s="57">
        <f t="shared" si="39"/>
        <v>717.95000000000016</v>
      </c>
      <c r="E81" s="58">
        <v>800</v>
      </c>
      <c r="F81" s="58">
        <v>800</v>
      </c>
      <c r="G81" s="58">
        <v>800</v>
      </c>
      <c r="H81" s="58">
        <v>800</v>
      </c>
      <c r="I81" s="58">
        <v>800</v>
      </c>
      <c r="J81" s="58">
        <v>800</v>
      </c>
      <c r="K81" s="58">
        <v>800</v>
      </c>
      <c r="L81" s="58">
        <v>800</v>
      </c>
      <c r="M81" s="58">
        <v>800</v>
      </c>
      <c r="N81" s="58">
        <v>800</v>
      </c>
      <c r="O81" s="58">
        <v>800</v>
      </c>
      <c r="P81" s="58">
        <v>800</v>
      </c>
      <c r="Q81" s="58">
        <f>SUM(E81:P81)</f>
        <v>9600</v>
      </c>
      <c r="R81" s="89">
        <f t="shared" si="2"/>
        <v>800</v>
      </c>
      <c r="S81" s="15"/>
      <c r="T81" s="62">
        <f t="shared" si="22"/>
        <v>1.9493741047093306E-3</v>
      </c>
      <c r="U81" s="62">
        <f t="shared" si="11"/>
        <v>0.11428372449334893</v>
      </c>
    </row>
    <row r="82" spans="1:21" x14ac:dyDescent="0.25">
      <c r="A82" s="63" t="s">
        <v>97</v>
      </c>
      <c r="B82" s="15" t="s">
        <v>48</v>
      </c>
      <c r="C82" s="91">
        <f t="shared" ref="C82:D82" si="40">SUM(C78:C81)</f>
        <v>66151.679999999993</v>
      </c>
      <c r="D82" s="92">
        <f t="shared" si="40"/>
        <v>5512.64</v>
      </c>
      <c r="E82" s="93">
        <f>SUM(E78:E81)</f>
        <v>6100</v>
      </c>
      <c r="F82" s="93">
        <f t="shared" ref="F82:Q82" si="41">SUM(F78:F81)</f>
        <v>6100</v>
      </c>
      <c r="G82" s="93">
        <f t="shared" si="41"/>
        <v>6100</v>
      </c>
      <c r="H82" s="93">
        <f t="shared" si="41"/>
        <v>6100</v>
      </c>
      <c r="I82" s="93">
        <f t="shared" si="41"/>
        <v>6100</v>
      </c>
      <c r="J82" s="93">
        <f t="shared" si="41"/>
        <v>6100</v>
      </c>
      <c r="K82" s="93">
        <f t="shared" si="41"/>
        <v>6220</v>
      </c>
      <c r="L82" s="93">
        <f t="shared" si="41"/>
        <v>6220</v>
      </c>
      <c r="M82" s="93">
        <f t="shared" si="41"/>
        <v>6220</v>
      </c>
      <c r="N82" s="93">
        <f t="shared" si="41"/>
        <v>6220</v>
      </c>
      <c r="O82" s="93">
        <f t="shared" si="41"/>
        <v>6220</v>
      </c>
      <c r="P82" s="93">
        <f t="shared" si="41"/>
        <v>6220</v>
      </c>
      <c r="Q82" s="93">
        <f t="shared" si="41"/>
        <v>73920</v>
      </c>
      <c r="R82" s="94">
        <f t="shared" si="2"/>
        <v>6160</v>
      </c>
      <c r="T82" s="96">
        <f t="shared" si="22"/>
        <v>1.5010180606261846E-2</v>
      </c>
      <c r="U82" s="96">
        <f t="shared" si="11"/>
        <v>0.11743193823648936</v>
      </c>
    </row>
    <row r="83" spans="1:21" x14ac:dyDescent="0.25">
      <c r="A83" s="15" t="s">
        <v>98</v>
      </c>
      <c r="B83" s="15" t="s">
        <v>48</v>
      </c>
      <c r="C83" s="97">
        <v>0</v>
      </c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>
        <v>2501.5560000000005</v>
      </c>
      <c r="D84" s="57">
        <f t="shared" ref="D84:D89" si="42">C84/12</f>
        <v>208.46300000000005</v>
      </c>
      <c r="E84" s="58">
        <v>225</v>
      </c>
      <c r="F84" s="58">
        <v>225</v>
      </c>
      <c r="G84" s="58">
        <v>225</v>
      </c>
      <c r="H84" s="58">
        <v>225</v>
      </c>
      <c r="I84" s="58">
        <v>225</v>
      </c>
      <c r="J84" s="58">
        <v>225</v>
      </c>
      <c r="K84" s="58">
        <v>225</v>
      </c>
      <c r="L84" s="58">
        <v>225</v>
      </c>
      <c r="M84" s="58">
        <v>225</v>
      </c>
      <c r="N84" s="58">
        <v>225</v>
      </c>
      <c r="O84" s="58">
        <v>225</v>
      </c>
      <c r="P84" s="58">
        <v>225</v>
      </c>
      <c r="Q84" s="58">
        <f t="shared" ref="Q84:Q89" si="43">SUM(E84:P84)</f>
        <v>2700</v>
      </c>
      <c r="R84" s="89">
        <f t="shared" si="2"/>
        <v>225</v>
      </c>
      <c r="S84" s="15"/>
      <c r="T84" s="62">
        <f t="shared" si="22"/>
        <v>5.4826146694949922E-4</v>
      </c>
      <c r="U84" s="62">
        <f t="shared" si="11"/>
        <v>7.9328226112067635E-2</v>
      </c>
    </row>
    <row r="85" spans="1:21" x14ac:dyDescent="0.25">
      <c r="A85" s="25"/>
      <c r="B85" s="15" t="s">
        <v>100</v>
      </c>
      <c r="C85" s="56">
        <v>0</v>
      </c>
      <c r="D85" s="57">
        <f t="shared" si="42"/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f t="shared" si="43"/>
        <v>0</v>
      </c>
      <c r="R85" s="89">
        <f t="shared" si="2"/>
        <v>0</v>
      </c>
      <c r="S85" s="15"/>
      <c r="T85" s="62">
        <f t="shared" si="22"/>
        <v>0</v>
      </c>
      <c r="U85" s="62">
        <f t="shared" si="11"/>
        <v>0</v>
      </c>
    </row>
    <row r="86" spans="1:21" x14ac:dyDescent="0.25">
      <c r="A86" s="25"/>
      <c r="B86" s="15" t="s">
        <v>101</v>
      </c>
      <c r="C86" s="56">
        <v>0</v>
      </c>
      <c r="D86" s="57">
        <f t="shared" si="42"/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f t="shared" si="43"/>
        <v>0</v>
      </c>
      <c r="R86" s="89">
        <f t="shared" si="2"/>
        <v>0</v>
      </c>
      <c r="S86" s="15"/>
      <c r="T86" s="62">
        <f t="shared" si="22"/>
        <v>0</v>
      </c>
      <c r="U86" s="62">
        <f t="shared" si="11"/>
        <v>0</v>
      </c>
    </row>
    <row r="87" spans="1:21" x14ac:dyDescent="0.25">
      <c r="A87" s="25"/>
      <c r="B87" s="15" t="s">
        <v>102</v>
      </c>
      <c r="C87" s="56">
        <v>535.94399999999996</v>
      </c>
      <c r="D87" s="57">
        <f t="shared" si="42"/>
        <v>44.661999999999999</v>
      </c>
      <c r="E87" s="58">
        <v>0</v>
      </c>
      <c r="F87" s="58">
        <v>0</v>
      </c>
      <c r="G87" s="58">
        <v>0</v>
      </c>
      <c r="H87" s="58">
        <v>0</v>
      </c>
      <c r="I87" s="58">
        <v>0</v>
      </c>
      <c r="J87" s="58">
        <v>0</v>
      </c>
      <c r="K87" s="58">
        <v>0</v>
      </c>
      <c r="L87" s="58">
        <v>0</v>
      </c>
      <c r="M87" s="58">
        <v>0</v>
      </c>
      <c r="N87" s="58">
        <v>0</v>
      </c>
      <c r="O87" s="58">
        <v>0</v>
      </c>
      <c r="P87" s="58">
        <v>0</v>
      </c>
      <c r="Q87" s="58">
        <f t="shared" si="43"/>
        <v>0</v>
      </c>
      <c r="R87" s="89">
        <f t="shared" si="2"/>
        <v>0</v>
      </c>
      <c r="S87" s="15"/>
      <c r="T87" s="62">
        <f t="shared" si="22"/>
        <v>0</v>
      </c>
      <c r="U87" s="62">
        <f t="shared" si="11"/>
        <v>-1</v>
      </c>
    </row>
    <row r="88" spans="1:21" x14ac:dyDescent="0.25">
      <c r="A88" s="25"/>
      <c r="B88" s="15" t="s">
        <v>103</v>
      </c>
      <c r="C88" s="56">
        <v>0</v>
      </c>
      <c r="D88" s="57">
        <f t="shared" si="42"/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f t="shared" si="43"/>
        <v>0</v>
      </c>
      <c r="R88" s="89">
        <f t="shared" ref="R88:R137" si="44">AVERAGE(E88:P88)</f>
        <v>0</v>
      </c>
      <c r="S88" s="15"/>
      <c r="T88" s="62">
        <f t="shared" si="22"/>
        <v>0</v>
      </c>
      <c r="U88" s="62">
        <f t="shared" si="11"/>
        <v>0</v>
      </c>
    </row>
    <row r="89" spans="1:21" x14ac:dyDescent="0.25">
      <c r="A89" s="25"/>
      <c r="B89" s="15" t="s">
        <v>104</v>
      </c>
      <c r="C89" s="56">
        <v>1004.2679999999999</v>
      </c>
      <c r="D89" s="57">
        <f t="shared" si="42"/>
        <v>83.688999999999993</v>
      </c>
      <c r="E89" s="58">
        <v>100</v>
      </c>
      <c r="F89" s="58">
        <v>100</v>
      </c>
      <c r="G89" s="58">
        <v>100</v>
      </c>
      <c r="H89" s="58">
        <v>100</v>
      </c>
      <c r="I89" s="58">
        <v>100</v>
      </c>
      <c r="J89" s="58">
        <v>100</v>
      </c>
      <c r="K89" s="58">
        <v>100</v>
      </c>
      <c r="L89" s="58">
        <v>100</v>
      </c>
      <c r="M89" s="58">
        <v>100</v>
      </c>
      <c r="N89" s="58">
        <v>100</v>
      </c>
      <c r="O89" s="58">
        <v>100</v>
      </c>
      <c r="P89" s="58">
        <v>100</v>
      </c>
      <c r="Q89" s="58">
        <f t="shared" si="43"/>
        <v>1200</v>
      </c>
      <c r="R89" s="89">
        <f t="shared" si="44"/>
        <v>100</v>
      </c>
      <c r="S89" s="15"/>
      <c r="T89" s="62">
        <f t="shared" si="22"/>
        <v>2.4367176308866633E-4</v>
      </c>
      <c r="U89" s="62">
        <f t="shared" ref="U89:U137" si="45">IFERROR((Q89-C89)/C89,0)</f>
        <v>0.19490016609112318</v>
      </c>
    </row>
    <row r="90" spans="1:21" x14ac:dyDescent="0.25">
      <c r="A90" s="63" t="s">
        <v>105</v>
      </c>
      <c r="B90" s="15" t="s">
        <v>48</v>
      </c>
      <c r="C90" s="91">
        <f t="shared" ref="C90:D90" si="46">SUM(C84:C89)</f>
        <v>4041.7680000000005</v>
      </c>
      <c r="D90" s="92">
        <f t="shared" si="46"/>
        <v>336.81400000000008</v>
      </c>
      <c r="E90" s="93">
        <f t="shared" ref="E90:Q90" si="47">SUM(E84:E89)</f>
        <v>325</v>
      </c>
      <c r="F90" s="93">
        <f t="shared" si="47"/>
        <v>325</v>
      </c>
      <c r="G90" s="93">
        <f t="shared" si="47"/>
        <v>325</v>
      </c>
      <c r="H90" s="93">
        <f t="shared" si="47"/>
        <v>325</v>
      </c>
      <c r="I90" s="93">
        <f t="shared" si="47"/>
        <v>325</v>
      </c>
      <c r="J90" s="93">
        <f t="shared" si="47"/>
        <v>325</v>
      </c>
      <c r="K90" s="93">
        <f t="shared" si="47"/>
        <v>325</v>
      </c>
      <c r="L90" s="93">
        <f t="shared" si="47"/>
        <v>325</v>
      </c>
      <c r="M90" s="93">
        <f t="shared" si="47"/>
        <v>325</v>
      </c>
      <c r="N90" s="93">
        <f t="shared" si="47"/>
        <v>325</v>
      </c>
      <c r="O90" s="93">
        <f t="shared" si="47"/>
        <v>325</v>
      </c>
      <c r="P90" s="93">
        <f t="shared" si="47"/>
        <v>325</v>
      </c>
      <c r="Q90" s="93">
        <f t="shared" si="47"/>
        <v>3900</v>
      </c>
      <c r="R90" s="94">
        <f>AVERAGE(E90:P90)</f>
        <v>325</v>
      </c>
      <c r="T90" s="96">
        <f t="shared" si="22"/>
        <v>7.9193323003816558E-4</v>
      </c>
      <c r="U90" s="96">
        <f t="shared" si="45"/>
        <v>-3.5075739131983939E-2</v>
      </c>
    </row>
    <row r="91" spans="1:21" x14ac:dyDescent="0.25">
      <c r="A91" s="15" t="s">
        <v>106</v>
      </c>
      <c r="B91" s="15"/>
      <c r="C91" s="64">
        <v>0</v>
      </c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>
        <v>15413.724000000002</v>
      </c>
      <c r="D92" s="57">
        <f t="shared" ref="D92:D94" si="48">C92/12</f>
        <v>1284.4770000000001</v>
      </c>
      <c r="E92" s="58">
        <v>1550</v>
      </c>
      <c r="F92" s="58">
        <v>1550</v>
      </c>
      <c r="G92" s="58">
        <v>1550</v>
      </c>
      <c r="H92" s="58">
        <v>1550</v>
      </c>
      <c r="I92" s="58">
        <v>1550</v>
      </c>
      <c r="J92" s="58">
        <v>1550</v>
      </c>
      <c r="K92" s="58">
        <v>1550</v>
      </c>
      <c r="L92" s="58">
        <v>1550</v>
      </c>
      <c r="M92" s="58">
        <v>1550</v>
      </c>
      <c r="N92" s="58">
        <v>1550</v>
      </c>
      <c r="O92" s="58">
        <v>1550</v>
      </c>
      <c r="P92" s="58">
        <v>1550</v>
      </c>
      <c r="Q92" s="58">
        <f>SUM(E92:P92)</f>
        <v>18600</v>
      </c>
      <c r="R92" s="89">
        <f t="shared" si="44"/>
        <v>1550</v>
      </c>
      <c r="S92" s="15"/>
      <c r="T92" s="62">
        <f t="shared" si="22"/>
        <v>3.7769123278743278E-3</v>
      </c>
      <c r="U92" s="62">
        <f t="shared" si="45"/>
        <v>0.20671681937473368</v>
      </c>
    </row>
    <row r="93" spans="1:21" x14ac:dyDescent="0.25">
      <c r="A93" s="25"/>
      <c r="B93" s="15" t="s">
        <v>108</v>
      </c>
      <c r="C93" s="56">
        <v>2140.6440000000002</v>
      </c>
      <c r="D93" s="57">
        <f t="shared" si="48"/>
        <v>178.38700000000003</v>
      </c>
      <c r="E93" s="58">
        <v>225</v>
      </c>
      <c r="F93" s="58">
        <v>500</v>
      </c>
      <c r="G93" s="58">
        <v>500</v>
      </c>
      <c r="H93" s="58">
        <v>500</v>
      </c>
      <c r="I93" s="58">
        <v>500</v>
      </c>
      <c r="J93" s="58">
        <v>500</v>
      </c>
      <c r="K93" s="58">
        <v>500</v>
      </c>
      <c r="L93" s="58">
        <v>500</v>
      </c>
      <c r="M93" s="58">
        <v>500</v>
      </c>
      <c r="N93" s="58">
        <v>500</v>
      </c>
      <c r="O93" s="58">
        <v>500</v>
      </c>
      <c r="P93" s="58">
        <v>500</v>
      </c>
      <c r="Q93" s="58">
        <f>SUM(E93:P93)</f>
        <v>5725</v>
      </c>
      <c r="R93" s="89">
        <f t="shared" si="44"/>
        <v>477.08333333333331</v>
      </c>
      <c r="S93" s="15"/>
      <c r="T93" s="62">
        <f t="shared" si="22"/>
        <v>1.1625173697355122E-3</v>
      </c>
      <c r="U93" s="62">
        <f t="shared" si="45"/>
        <v>1.6744288167486043</v>
      </c>
    </row>
    <row r="94" spans="1:21" x14ac:dyDescent="0.25">
      <c r="A94" s="25"/>
      <c r="B94" s="15" t="s">
        <v>109</v>
      </c>
      <c r="C94" s="56">
        <v>9112.1039999999994</v>
      </c>
      <c r="D94" s="57">
        <f t="shared" si="48"/>
        <v>759.34199999999998</v>
      </c>
      <c r="E94" s="58">
        <v>800</v>
      </c>
      <c r="F94" s="58">
        <v>800</v>
      </c>
      <c r="G94" s="58">
        <v>800</v>
      </c>
      <c r="H94" s="58">
        <v>800</v>
      </c>
      <c r="I94" s="58">
        <v>800</v>
      </c>
      <c r="J94" s="58">
        <v>800</v>
      </c>
      <c r="K94" s="58">
        <v>800</v>
      </c>
      <c r="L94" s="58">
        <v>800</v>
      </c>
      <c r="M94" s="58">
        <v>800</v>
      </c>
      <c r="N94" s="58">
        <v>800</v>
      </c>
      <c r="O94" s="58">
        <v>800</v>
      </c>
      <c r="P94" s="58">
        <v>800</v>
      </c>
      <c r="Q94" s="58">
        <f>SUM(E94:P94)</f>
        <v>9600</v>
      </c>
      <c r="R94" s="89">
        <f t="shared" si="44"/>
        <v>800</v>
      </c>
      <c r="S94" s="15"/>
      <c r="T94" s="62">
        <f t="shared" si="22"/>
        <v>1.9493741047093306E-3</v>
      </c>
      <c r="U94" s="62">
        <f t="shared" si="45"/>
        <v>5.3543726015418687E-2</v>
      </c>
    </row>
    <row r="95" spans="1:21" x14ac:dyDescent="0.25">
      <c r="A95" s="63" t="s">
        <v>110</v>
      </c>
      <c r="B95" s="15"/>
      <c r="C95" s="91">
        <f t="shared" ref="C95:Q95" si="49">SUM(C92:C94)</f>
        <v>26666.472000000002</v>
      </c>
      <c r="D95" s="92">
        <f t="shared" si="49"/>
        <v>2222.2060000000001</v>
      </c>
      <c r="E95" s="93">
        <f t="shared" si="49"/>
        <v>2575</v>
      </c>
      <c r="F95" s="93">
        <f t="shared" si="49"/>
        <v>2850</v>
      </c>
      <c r="G95" s="93">
        <f t="shared" si="49"/>
        <v>2850</v>
      </c>
      <c r="H95" s="93">
        <f t="shared" si="49"/>
        <v>2850</v>
      </c>
      <c r="I95" s="93">
        <f t="shared" si="49"/>
        <v>2850</v>
      </c>
      <c r="J95" s="93">
        <f t="shared" si="49"/>
        <v>2850</v>
      </c>
      <c r="K95" s="93">
        <f t="shared" si="49"/>
        <v>2850</v>
      </c>
      <c r="L95" s="93">
        <f t="shared" si="49"/>
        <v>2850</v>
      </c>
      <c r="M95" s="93">
        <f t="shared" si="49"/>
        <v>2850</v>
      </c>
      <c r="N95" s="93">
        <f t="shared" si="49"/>
        <v>2850</v>
      </c>
      <c r="O95" s="93">
        <f t="shared" si="49"/>
        <v>2850</v>
      </c>
      <c r="P95" s="93">
        <f t="shared" si="49"/>
        <v>2850</v>
      </c>
      <c r="Q95" s="93">
        <f t="shared" si="49"/>
        <v>33925</v>
      </c>
      <c r="R95" s="94">
        <f t="shared" si="44"/>
        <v>2827.0833333333335</v>
      </c>
      <c r="T95" s="96">
        <f t="shared" si="22"/>
        <v>6.8888038023191709E-3</v>
      </c>
      <c r="U95" s="96">
        <f t="shared" si="45"/>
        <v>0.27219678703654532</v>
      </c>
    </row>
    <row r="96" spans="1:21" x14ac:dyDescent="0.25">
      <c r="A96" s="15" t="s">
        <v>111</v>
      </c>
      <c r="B96" s="15" t="s">
        <v>48</v>
      </c>
      <c r="C96" s="114">
        <v>0</v>
      </c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4" x14ac:dyDescent="0.25">
      <c r="A97" s="25"/>
      <c r="B97" s="15" t="s">
        <v>112</v>
      </c>
      <c r="C97" s="56">
        <v>187.35599999999999</v>
      </c>
      <c r="D97" s="57">
        <f t="shared" ref="D97:D120" si="50">C97/12</f>
        <v>15.613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f t="shared" ref="Q97:Q105" si="51">SUM(E97:P97)</f>
        <v>0</v>
      </c>
      <c r="R97" s="89">
        <f t="shared" si="44"/>
        <v>0</v>
      </c>
      <c r="S97" s="15"/>
      <c r="T97" s="62">
        <f t="shared" si="22"/>
        <v>0</v>
      </c>
      <c r="U97" s="62">
        <f t="shared" si="45"/>
        <v>-1</v>
      </c>
    </row>
    <row r="98" spans="1:24" ht="23.25" x14ac:dyDescent="0.25">
      <c r="A98" s="25"/>
      <c r="B98" s="15" t="s">
        <v>113</v>
      </c>
      <c r="C98" s="56">
        <v>0</v>
      </c>
      <c r="D98" s="57">
        <f t="shared" si="50"/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f t="shared" si="51"/>
        <v>0</v>
      </c>
      <c r="R98" s="89">
        <f t="shared" si="44"/>
        <v>0</v>
      </c>
      <c r="S98" s="15"/>
      <c r="T98" s="62">
        <f t="shared" si="22"/>
        <v>0</v>
      </c>
      <c r="U98" s="62">
        <f t="shared" si="45"/>
        <v>0</v>
      </c>
    </row>
    <row r="99" spans="1:24" x14ac:dyDescent="0.25">
      <c r="A99" s="25"/>
      <c r="B99" s="15" t="s">
        <v>114</v>
      </c>
      <c r="C99" s="56">
        <v>25971.035999999996</v>
      </c>
      <c r="D99" s="57">
        <f t="shared" si="50"/>
        <v>2164.2529999999997</v>
      </c>
      <c r="E99" s="58">
        <v>2400</v>
      </c>
      <c r="F99" s="58">
        <v>2400</v>
      </c>
      <c r="G99" s="58">
        <v>2400</v>
      </c>
      <c r="H99" s="58">
        <v>2400</v>
      </c>
      <c r="I99" s="58">
        <v>2400</v>
      </c>
      <c r="J99" s="58">
        <v>2400</v>
      </c>
      <c r="K99" s="58">
        <v>2600</v>
      </c>
      <c r="L99" s="58">
        <v>2600</v>
      </c>
      <c r="M99" s="58">
        <v>2600</v>
      </c>
      <c r="N99" s="58">
        <v>2600</v>
      </c>
      <c r="O99" s="58">
        <v>2600</v>
      </c>
      <c r="P99" s="58">
        <v>2600</v>
      </c>
      <c r="Q99" s="58">
        <f t="shared" si="51"/>
        <v>30000</v>
      </c>
      <c r="R99" s="89">
        <f t="shared" si="44"/>
        <v>2500</v>
      </c>
      <c r="S99" s="15"/>
      <c r="T99" s="62">
        <f t="shared" si="22"/>
        <v>6.0917940772166577E-3</v>
      </c>
      <c r="U99" s="62">
        <f t="shared" si="45"/>
        <v>0.15513297197693632</v>
      </c>
    </row>
    <row r="100" spans="1:24" x14ac:dyDescent="0.25">
      <c r="A100" s="25"/>
      <c r="B100" s="15" t="s">
        <v>115</v>
      </c>
      <c r="C100" s="56">
        <v>8439.18</v>
      </c>
      <c r="D100" s="57">
        <f t="shared" si="50"/>
        <v>703.26499999999999</v>
      </c>
      <c r="E100" s="58">
        <v>750</v>
      </c>
      <c r="F100" s="58">
        <v>750</v>
      </c>
      <c r="G100" s="58">
        <v>750</v>
      </c>
      <c r="H100" s="58">
        <v>750</v>
      </c>
      <c r="I100" s="58">
        <v>750</v>
      </c>
      <c r="J100" s="58">
        <v>750</v>
      </c>
      <c r="K100" s="58">
        <v>750</v>
      </c>
      <c r="L100" s="58">
        <v>750</v>
      </c>
      <c r="M100" s="58">
        <v>750</v>
      </c>
      <c r="N100" s="58">
        <v>750</v>
      </c>
      <c r="O100" s="58">
        <v>750</v>
      </c>
      <c r="P100" s="58">
        <v>750</v>
      </c>
      <c r="Q100" s="58">
        <f t="shared" si="51"/>
        <v>9000</v>
      </c>
      <c r="R100" s="89">
        <f t="shared" si="44"/>
        <v>750</v>
      </c>
      <c r="S100" s="15"/>
      <c r="T100" s="62">
        <f t="shared" si="22"/>
        <v>1.8275382231649974E-3</v>
      </c>
      <c r="U100" s="62">
        <f t="shared" si="45"/>
        <v>6.6454323761313272E-2</v>
      </c>
    </row>
    <row r="101" spans="1:24" x14ac:dyDescent="0.25">
      <c r="A101" s="25"/>
      <c r="B101" s="15" t="s">
        <v>116</v>
      </c>
      <c r="C101" s="56">
        <v>9473.7000000000007</v>
      </c>
      <c r="D101" s="57">
        <f t="shared" si="50"/>
        <v>789.47500000000002</v>
      </c>
      <c r="E101" s="58">
        <v>800</v>
      </c>
      <c r="F101" s="58">
        <v>800</v>
      </c>
      <c r="G101" s="58">
        <v>800</v>
      </c>
      <c r="H101" s="58">
        <v>800</v>
      </c>
      <c r="I101" s="58">
        <v>800</v>
      </c>
      <c r="J101" s="58">
        <v>800</v>
      </c>
      <c r="K101" s="58">
        <v>860</v>
      </c>
      <c r="L101" s="58">
        <v>860</v>
      </c>
      <c r="M101" s="58">
        <v>860</v>
      </c>
      <c r="N101" s="58">
        <v>860</v>
      </c>
      <c r="O101" s="58">
        <v>860</v>
      </c>
      <c r="P101" s="58">
        <v>860</v>
      </c>
      <c r="Q101" s="58">
        <f t="shared" si="51"/>
        <v>9960</v>
      </c>
      <c r="R101" s="89">
        <f t="shared" si="44"/>
        <v>830</v>
      </c>
      <c r="S101" s="15"/>
      <c r="T101" s="62">
        <f t="shared" si="22"/>
        <v>2.0224756336359303E-3</v>
      </c>
      <c r="U101" s="62">
        <f t="shared" si="45"/>
        <v>5.1331581114031397E-2</v>
      </c>
      <c r="W101">
        <f>43*20</f>
        <v>860</v>
      </c>
      <c r="X101">
        <f>35*20</f>
        <v>700</v>
      </c>
    </row>
    <row r="102" spans="1:24" x14ac:dyDescent="0.25">
      <c r="A102" s="25"/>
      <c r="B102" s="15" t="s">
        <v>117</v>
      </c>
      <c r="C102" s="56">
        <v>0</v>
      </c>
      <c r="D102" s="57">
        <f t="shared" si="50"/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f t="shared" si="51"/>
        <v>0</v>
      </c>
      <c r="R102" s="89">
        <f t="shared" si="44"/>
        <v>0</v>
      </c>
      <c r="S102" s="15"/>
      <c r="T102" s="62">
        <f t="shared" si="22"/>
        <v>0</v>
      </c>
      <c r="U102" s="62">
        <f t="shared" si="45"/>
        <v>0</v>
      </c>
    </row>
    <row r="103" spans="1:24" ht="23.25" x14ac:dyDescent="0.25">
      <c r="A103" s="25"/>
      <c r="B103" s="15" t="s">
        <v>118</v>
      </c>
      <c r="C103" s="56">
        <v>4129.38</v>
      </c>
      <c r="D103" s="57">
        <f t="shared" si="50"/>
        <v>344.11500000000001</v>
      </c>
      <c r="E103" s="58">
        <v>500</v>
      </c>
      <c r="F103" s="58">
        <v>500</v>
      </c>
      <c r="G103" s="58">
        <v>500</v>
      </c>
      <c r="H103" s="58">
        <v>500</v>
      </c>
      <c r="I103" s="58">
        <v>500</v>
      </c>
      <c r="J103" s="58">
        <v>500</v>
      </c>
      <c r="K103" s="58">
        <v>500</v>
      </c>
      <c r="L103" s="58">
        <v>500</v>
      </c>
      <c r="M103" s="58">
        <v>500</v>
      </c>
      <c r="N103" s="58">
        <v>500</v>
      </c>
      <c r="O103" s="58">
        <v>500</v>
      </c>
      <c r="P103" s="58">
        <v>500</v>
      </c>
      <c r="Q103" s="58">
        <f t="shared" si="51"/>
        <v>6000</v>
      </c>
      <c r="R103" s="89">
        <f t="shared" si="44"/>
        <v>500</v>
      </c>
      <c r="S103" s="15"/>
      <c r="T103" s="62">
        <f t="shared" ref="T103:T135" si="52">Q103/$Q$34</f>
        <v>1.2183588154433317E-3</v>
      </c>
      <c r="U103" s="62">
        <f t="shared" si="45"/>
        <v>0.45300262993476015</v>
      </c>
    </row>
    <row r="104" spans="1:24" x14ac:dyDescent="0.25">
      <c r="A104" s="25"/>
      <c r="B104" s="15" t="s">
        <v>119</v>
      </c>
      <c r="C104" s="56">
        <v>53350.92</v>
      </c>
      <c r="D104" s="57">
        <f t="shared" si="50"/>
        <v>4445.91</v>
      </c>
      <c r="E104" s="58">
        <f>(50*(E7+E8))+(25*(E9+E10))+(10*(E11+E12))+(15*E13)</f>
        <v>1450</v>
      </c>
      <c r="F104" s="58">
        <f t="shared" ref="F104:P104" si="53">(50*(F7+F8))+(25*(F9+F10))+(10*(F11+F12))+(15*F13)</f>
        <v>1450</v>
      </c>
      <c r="G104" s="58">
        <f t="shared" si="53"/>
        <v>1450</v>
      </c>
      <c r="H104" s="58">
        <f t="shared" si="53"/>
        <v>1450</v>
      </c>
      <c r="I104" s="58">
        <f t="shared" si="53"/>
        <v>1450</v>
      </c>
      <c r="J104" s="58">
        <f t="shared" si="53"/>
        <v>1450</v>
      </c>
      <c r="K104" s="58">
        <f t="shared" si="53"/>
        <v>1550</v>
      </c>
      <c r="L104" s="58">
        <f>(50*(L7+L8))+(25*(L9+L10))+(10*(L11+L12))+(15*L13)</f>
        <v>1550</v>
      </c>
      <c r="M104" s="58">
        <f t="shared" si="53"/>
        <v>1550</v>
      </c>
      <c r="N104" s="58">
        <f t="shared" si="53"/>
        <v>1550</v>
      </c>
      <c r="O104" s="58">
        <f t="shared" si="53"/>
        <v>1350</v>
      </c>
      <c r="P104" s="58">
        <f t="shared" si="53"/>
        <v>1350</v>
      </c>
      <c r="Q104" s="58">
        <f t="shared" si="51"/>
        <v>17600</v>
      </c>
      <c r="R104" s="89">
        <f t="shared" si="44"/>
        <v>1466.6666666666667</v>
      </c>
      <c r="S104" s="15"/>
      <c r="T104" s="62">
        <f t="shared" si="52"/>
        <v>3.5738525253004396E-3</v>
      </c>
      <c r="U104" s="62">
        <f t="shared" si="45"/>
        <v>-0.67010878162925769</v>
      </c>
    </row>
    <row r="105" spans="1:24" x14ac:dyDescent="0.25">
      <c r="A105" s="25"/>
      <c r="B105" s="15" t="s">
        <v>120</v>
      </c>
      <c r="C105" s="56">
        <v>4923.3240000000005</v>
      </c>
      <c r="D105" s="57">
        <f t="shared" si="50"/>
        <v>410.27700000000004</v>
      </c>
      <c r="E105" s="58">
        <v>500</v>
      </c>
      <c r="F105" s="58">
        <v>500</v>
      </c>
      <c r="G105" s="58">
        <v>500</v>
      </c>
      <c r="H105" s="58">
        <v>500</v>
      </c>
      <c r="I105" s="58">
        <v>500</v>
      </c>
      <c r="J105" s="58">
        <v>500</v>
      </c>
      <c r="K105" s="58">
        <v>500</v>
      </c>
      <c r="L105" s="58">
        <v>500</v>
      </c>
      <c r="M105" s="58">
        <v>500</v>
      </c>
      <c r="N105" s="58">
        <v>500</v>
      </c>
      <c r="O105" s="58">
        <v>500</v>
      </c>
      <c r="P105" s="58">
        <v>500</v>
      </c>
      <c r="Q105" s="58">
        <f t="shared" si="51"/>
        <v>6000</v>
      </c>
      <c r="R105" s="89">
        <f t="shared" si="44"/>
        <v>500</v>
      </c>
      <c r="S105" s="15"/>
      <c r="T105" s="62">
        <f t="shared" si="52"/>
        <v>1.2183588154433317E-3</v>
      </c>
      <c r="U105" s="62">
        <f t="shared" si="45"/>
        <v>0.21868883705399023</v>
      </c>
    </row>
    <row r="106" spans="1:24" x14ac:dyDescent="0.25">
      <c r="A106" s="25"/>
      <c r="B106" s="15" t="s">
        <v>121</v>
      </c>
      <c r="C106" s="56">
        <v>277.14</v>
      </c>
      <c r="D106" s="57">
        <f t="shared" si="50"/>
        <v>23.094999999999999</v>
      </c>
      <c r="E106" s="58">
        <v>25</v>
      </c>
      <c r="F106" s="58">
        <v>25</v>
      </c>
      <c r="G106" s="58">
        <v>25</v>
      </c>
      <c r="H106" s="58">
        <v>25</v>
      </c>
      <c r="I106" s="58">
        <v>25</v>
      </c>
      <c r="J106" s="58">
        <v>25</v>
      </c>
      <c r="K106" s="58">
        <v>25</v>
      </c>
      <c r="L106" s="58">
        <v>25</v>
      </c>
      <c r="M106" s="58">
        <v>25</v>
      </c>
      <c r="N106" s="58">
        <v>25</v>
      </c>
      <c r="O106" s="58">
        <v>25</v>
      </c>
      <c r="P106" s="58">
        <v>25</v>
      </c>
      <c r="Q106" s="58">
        <f t="shared" ref="Q106:Q120" si="54">SUM(E106:P106)</f>
        <v>300</v>
      </c>
      <c r="R106" s="89">
        <f t="shared" si="44"/>
        <v>25</v>
      </c>
      <c r="S106" s="15"/>
      <c r="T106" s="62">
        <f t="shared" si="52"/>
        <v>6.0917940772166583E-5</v>
      </c>
      <c r="U106" s="62">
        <f t="shared" si="45"/>
        <v>8.248538644728301E-2</v>
      </c>
    </row>
    <row r="107" spans="1:24" x14ac:dyDescent="0.25">
      <c r="A107" s="25"/>
      <c r="B107" s="15" t="s">
        <v>122</v>
      </c>
      <c r="C107" s="56">
        <v>0</v>
      </c>
      <c r="D107" s="57">
        <f t="shared" si="50"/>
        <v>0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f t="shared" si="54"/>
        <v>0</v>
      </c>
      <c r="R107" s="89">
        <f t="shared" si="44"/>
        <v>0</v>
      </c>
      <c r="S107" s="15"/>
      <c r="T107" s="62">
        <f t="shared" si="52"/>
        <v>0</v>
      </c>
      <c r="U107" s="62">
        <f t="shared" si="45"/>
        <v>0</v>
      </c>
    </row>
    <row r="108" spans="1:24" x14ac:dyDescent="0.25">
      <c r="A108" s="25"/>
      <c r="B108" s="15" t="s">
        <v>123</v>
      </c>
      <c r="C108" s="56">
        <v>143496.024</v>
      </c>
      <c r="D108" s="57">
        <f t="shared" si="50"/>
        <v>11958.002</v>
      </c>
      <c r="E108" s="58">
        <v>11958</v>
      </c>
      <c r="F108" s="58">
        <v>11958</v>
      </c>
      <c r="G108" s="58">
        <v>11958</v>
      </c>
      <c r="H108" s="58">
        <v>11958</v>
      </c>
      <c r="I108" s="58">
        <v>11958</v>
      </c>
      <c r="J108" s="58">
        <v>11958</v>
      </c>
      <c r="K108" s="58">
        <v>11958</v>
      </c>
      <c r="L108" s="58">
        <v>11958</v>
      </c>
      <c r="M108" s="58">
        <v>11958</v>
      </c>
      <c r="N108" s="58">
        <v>11958</v>
      </c>
      <c r="O108" s="58">
        <v>11958</v>
      </c>
      <c r="P108" s="58">
        <v>11958</v>
      </c>
      <c r="Q108" s="58">
        <f t="shared" si="54"/>
        <v>143496</v>
      </c>
      <c r="R108" s="89">
        <f t="shared" si="44"/>
        <v>11958</v>
      </c>
      <c r="S108" s="15"/>
      <c r="T108" s="62">
        <f t="shared" si="52"/>
        <v>2.9138269430142718E-2</v>
      </c>
      <c r="U108" s="62">
        <f t="shared" si="45"/>
        <v>-1.672520208984288E-7</v>
      </c>
    </row>
    <row r="109" spans="1:24" x14ac:dyDescent="0.25">
      <c r="A109" s="25"/>
      <c r="B109" s="15" t="s">
        <v>124</v>
      </c>
      <c r="C109" s="56">
        <v>0</v>
      </c>
      <c r="D109" s="57">
        <f t="shared" si="50"/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58">
        <v>0</v>
      </c>
      <c r="P109" s="58">
        <v>0</v>
      </c>
      <c r="Q109" s="58">
        <f t="shared" si="54"/>
        <v>0</v>
      </c>
      <c r="R109" s="89">
        <f t="shared" si="44"/>
        <v>0</v>
      </c>
      <c r="S109" s="15"/>
      <c r="T109" s="62">
        <f t="shared" si="52"/>
        <v>0</v>
      </c>
      <c r="U109" s="62">
        <f t="shared" si="45"/>
        <v>0</v>
      </c>
    </row>
    <row r="110" spans="1:24" x14ac:dyDescent="0.25">
      <c r="A110" s="25"/>
      <c r="B110" s="15" t="s">
        <v>125</v>
      </c>
      <c r="C110" s="56">
        <v>0</v>
      </c>
      <c r="D110" s="57">
        <f t="shared" si="50"/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f t="shared" si="54"/>
        <v>0</v>
      </c>
      <c r="R110" s="89">
        <f t="shared" si="44"/>
        <v>0</v>
      </c>
      <c r="S110" s="15"/>
      <c r="T110" s="62">
        <f t="shared" si="52"/>
        <v>0</v>
      </c>
      <c r="U110" s="62">
        <f t="shared" si="45"/>
        <v>0</v>
      </c>
    </row>
    <row r="111" spans="1:24" x14ac:dyDescent="0.25">
      <c r="A111" s="25"/>
      <c r="B111" s="15" t="s">
        <v>126</v>
      </c>
      <c r="C111" s="56">
        <v>5724.9600000000009</v>
      </c>
      <c r="D111" s="57">
        <f t="shared" si="50"/>
        <v>477.0800000000001</v>
      </c>
      <c r="E111" s="58">
        <v>500</v>
      </c>
      <c r="F111" s="58">
        <v>500</v>
      </c>
      <c r="G111" s="58">
        <v>500</v>
      </c>
      <c r="H111" s="58">
        <v>500</v>
      </c>
      <c r="I111" s="58">
        <v>500</v>
      </c>
      <c r="J111" s="58">
        <v>500</v>
      </c>
      <c r="K111" s="58">
        <v>500</v>
      </c>
      <c r="L111" s="58">
        <v>500</v>
      </c>
      <c r="M111" s="58">
        <v>500</v>
      </c>
      <c r="N111" s="58">
        <v>500</v>
      </c>
      <c r="O111" s="58">
        <v>500</v>
      </c>
      <c r="P111" s="58">
        <v>500</v>
      </c>
      <c r="Q111" s="58">
        <f t="shared" si="54"/>
        <v>6000</v>
      </c>
      <c r="R111" s="89">
        <f t="shared" si="44"/>
        <v>500</v>
      </c>
      <c r="S111" s="15"/>
      <c r="T111" s="62">
        <f t="shared" si="52"/>
        <v>1.2183588154433317E-3</v>
      </c>
      <c r="U111" s="62">
        <f t="shared" si="45"/>
        <v>4.804225706380464E-2</v>
      </c>
    </row>
    <row r="112" spans="1:24" x14ac:dyDescent="0.25">
      <c r="A112" s="25"/>
      <c r="B112" s="15" t="s">
        <v>127</v>
      </c>
      <c r="C112" s="56">
        <v>3000</v>
      </c>
      <c r="D112" s="57">
        <f t="shared" si="50"/>
        <v>250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f t="shared" si="54"/>
        <v>0</v>
      </c>
      <c r="R112" s="89">
        <f t="shared" si="44"/>
        <v>0</v>
      </c>
      <c r="S112" s="15"/>
      <c r="T112" s="62">
        <f t="shared" si="52"/>
        <v>0</v>
      </c>
      <c r="U112" s="62">
        <f t="shared" si="45"/>
        <v>-1</v>
      </c>
    </row>
    <row r="113" spans="1:21" x14ac:dyDescent="0.25">
      <c r="A113" s="25"/>
      <c r="B113" s="15" t="s">
        <v>128</v>
      </c>
      <c r="C113" s="56">
        <v>0</v>
      </c>
      <c r="D113" s="57">
        <f t="shared" si="50"/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f t="shared" si="54"/>
        <v>0</v>
      </c>
      <c r="R113" s="89">
        <f t="shared" si="44"/>
        <v>0</v>
      </c>
      <c r="S113" s="15"/>
      <c r="T113" s="62">
        <f t="shared" si="52"/>
        <v>0</v>
      </c>
      <c r="U113" s="62">
        <f t="shared" si="45"/>
        <v>0</v>
      </c>
    </row>
    <row r="114" spans="1:21" x14ac:dyDescent="0.25">
      <c r="A114" s="25"/>
      <c r="B114" s="15" t="s">
        <v>129</v>
      </c>
      <c r="C114" s="56">
        <v>0</v>
      </c>
      <c r="D114" s="57">
        <f t="shared" si="50"/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f t="shared" si="54"/>
        <v>0</v>
      </c>
      <c r="R114" s="89">
        <f t="shared" si="44"/>
        <v>0</v>
      </c>
      <c r="S114" s="15"/>
      <c r="T114" s="62">
        <f t="shared" si="52"/>
        <v>0</v>
      </c>
      <c r="U114" s="62">
        <f t="shared" si="45"/>
        <v>0</v>
      </c>
    </row>
    <row r="115" spans="1:21" x14ac:dyDescent="0.25">
      <c r="A115" s="25"/>
      <c r="B115" s="15" t="s">
        <v>130</v>
      </c>
      <c r="C115" s="56">
        <v>0</v>
      </c>
      <c r="D115" s="57">
        <f t="shared" si="50"/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f t="shared" si="54"/>
        <v>0</v>
      </c>
      <c r="R115" s="89">
        <f t="shared" si="44"/>
        <v>0</v>
      </c>
      <c r="S115" s="15"/>
      <c r="T115" s="62">
        <f t="shared" si="52"/>
        <v>0</v>
      </c>
      <c r="U115" s="62">
        <f t="shared" si="45"/>
        <v>0</v>
      </c>
    </row>
    <row r="116" spans="1:21" x14ac:dyDescent="0.25">
      <c r="A116" s="25"/>
      <c r="B116" s="15" t="s">
        <v>131</v>
      </c>
      <c r="C116" s="56">
        <v>0</v>
      </c>
      <c r="D116" s="57">
        <f t="shared" si="50"/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f t="shared" si="54"/>
        <v>0</v>
      </c>
      <c r="R116" s="89">
        <f t="shared" si="44"/>
        <v>0</v>
      </c>
      <c r="S116" s="15"/>
      <c r="T116" s="62">
        <f t="shared" si="52"/>
        <v>0</v>
      </c>
      <c r="U116" s="62">
        <f t="shared" si="45"/>
        <v>0</v>
      </c>
    </row>
    <row r="117" spans="1:21" x14ac:dyDescent="0.25">
      <c r="A117" s="25"/>
      <c r="B117" s="15" t="s">
        <v>132</v>
      </c>
      <c r="C117" s="56">
        <v>0</v>
      </c>
      <c r="D117" s="57">
        <f t="shared" si="50"/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f t="shared" si="54"/>
        <v>0</v>
      </c>
      <c r="R117" s="89">
        <f t="shared" si="44"/>
        <v>0</v>
      </c>
      <c r="S117" s="15"/>
      <c r="T117" s="62">
        <f t="shared" si="52"/>
        <v>0</v>
      </c>
      <c r="U117" s="62">
        <f t="shared" si="45"/>
        <v>0</v>
      </c>
    </row>
    <row r="118" spans="1:21" x14ac:dyDescent="0.25">
      <c r="A118" s="25"/>
      <c r="B118" s="15" t="s">
        <v>133</v>
      </c>
      <c r="C118" s="56">
        <v>0</v>
      </c>
      <c r="D118" s="57">
        <f t="shared" si="50"/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f t="shared" si="54"/>
        <v>0</v>
      </c>
      <c r="R118" s="89">
        <f t="shared" si="44"/>
        <v>0</v>
      </c>
      <c r="S118" s="15"/>
      <c r="T118" s="62">
        <f t="shared" si="52"/>
        <v>0</v>
      </c>
      <c r="U118" s="62">
        <f t="shared" si="45"/>
        <v>0</v>
      </c>
    </row>
    <row r="119" spans="1:21" x14ac:dyDescent="0.25">
      <c r="A119" s="25"/>
      <c r="B119" s="15" t="s">
        <v>134</v>
      </c>
      <c r="C119" s="56">
        <v>0</v>
      </c>
      <c r="D119" s="57">
        <f t="shared" si="50"/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f t="shared" si="54"/>
        <v>0</v>
      </c>
      <c r="R119" s="89">
        <f t="shared" si="44"/>
        <v>0</v>
      </c>
      <c r="S119" s="15"/>
      <c r="T119" s="62">
        <f t="shared" si="52"/>
        <v>0</v>
      </c>
      <c r="U119" s="62">
        <f t="shared" si="45"/>
        <v>0</v>
      </c>
    </row>
    <row r="120" spans="1:21" x14ac:dyDescent="0.25">
      <c r="A120" s="25"/>
      <c r="B120" s="15" t="s">
        <v>135</v>
      </c>
      <c r="C120" s="56">
        <v>0</v>
      </c>
      <c r="D120" s="57">
        <f t="shared" si="50"/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f t="shared" si="54"/>
        <v>0</v>
      </c>
      <c r="R120" s="89">
        <f t="shared" si="44"/>
        <v>0</v>
      </c>
      <c r="S120" s="15"/>
      <c r="T120" s="62">
        <f t="shared" si="52"/>
        <v>0</v>
      </c>
      <c r="U120" s="62">
        <f t="shared" si="45"/>
        <v>0</v>
      </c>
    </row>
    <row r="121" spans="1:21" x14ac:dyDescent="0.25">
      <c r="A121" s="63" t="s">
        <v>136</v>
      </c>
      <c r="B121" s="15" t="s">
        <v>48</v>
      </c>
      <c r="C121" s="91">
        <f t="shared" ref="C121:D121" si="55">SUM(C97:C120)</f>
        <v>258973.02</v>
      </c>
      <c r="D121" s="92">
        <f t="shared" si="55"/>
        <v>21581.084999999999</v>
      </c>
      <c r="E121" s="93">
        <f t="shared" ref="E121:Q121" si="56">SUM(E97:E120)</f>
        <v>18883</v>
      </c>
      <c r="F121" s="93">
        <f t="shared" si="56"/>
        <v>18883</v>
      </c>
      <c r="G121" s="93">
        <f t="shared" si="56"/>
        <v>18883</v>
      </c>
      <c r="H121" s="93">
        <f t="shared" si="56"/>
        <v>18883</v>
      </c>
      <c r="I121" s="93">
        <f t="shared" si="56"/>
        <v>18883</v>
      </c>
      <c r="J121" s="93">
        <f t="shared" si="56"/>
        <v>18883</v>
      </c>
      <c r="K121" s="93">
        <f t="shared" si="56"/>
        <v>19243</v>
      </c>
      <c r="L121" s="93">
        <f t="shared" si="56"/>
        <v>19243</v>
      </c>
      <c r="M121" s="93">
        <f t="shared" si="56"/>
        <v>19243</v>
      </c>
      <c r="N121" s="93">
        <f t="shared" si="56"/>
        <v>19243</v>
      </c>
      <c r="O121" s="93">
        <f t="shared" si="56"/>
        <v>19043</v>
      </c>
      <c r="P121" s="93">
        <f t="shared" si="56"/>
        <v>19043</v>
      </c>
      <c r="Q121" s="93">
        <f t="shared" si="56"/>
        <v>228356</v>
      </c>
      <c r="R121" s="94">
        <f>AVERAGE(E121:P121)</f>
        <v>19029.666666666668</v>
      </c>
      <c r="T121" s="96">
        <f t="shared" si="52"/>
        <v>4.6369924276562904E-2</v>
      </c>
      <c r="U121" s="96">
        <f t="shared" si="45"/>
        <v>-0.11822474789072619</v>
      </c>
    </row>
    <row r="122" spans="1:21" x14ac:dyDescent="0.25">
      <c r="A122" s="15" t="s">
        <v>137</v>
      </c>
      <c r="B122" s="15" t="s">
        <v>48</v>
      </c>
      <c r="C122" s="114">
        <v>0</v>
      </c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>
        <v>205.40399999999997</v>
      </c>
      <c r="D123" s="57">
        <f>C123/12</f>
        <v>17.116999999999997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58">
        <v>0</v>
      </c>
      <c r="P123" s="58">
        <v>0</v>
      </c>
      <c r="Q123" s="58">
        <v>0</v>
      </c>
      <c r="R123" s="89">
        <f t="shared" si="44"/>
        <v>0</v>
      </c>
      <c r="S123" s="15"/>
      <c r="T123" s="62">
        <f t="shared" si="52"/>
        <v>0</v>
      </c>
      <c r="U123" s="62">
        <f t="shared" si="45"/>
        <v>-1</v>
      </c>
    </row>
    <row r="124" spans="1:21" x14ac:dyDescent="0.25">
      <c r="A124" s="63" t="s">
        <v>139</v>
      </c>
      <c r="B124" s="15" t="s">
        <v>48</v>
      </c>
      <c r="C124" s="91">
        <f t="shared" ref="C124:Q124" si="57">SUM(C123:C123)</f>
        <v>205.40399999999997</v>
      </c>
      <c r="D124" s="92">
        <f t="shared" si="57"/>
        <v>17.116999999999997</v>
      </c>
      <c r="E124" s="93">
        <f t="shared" si="57"/>
        <v>0</v>
      </c>
      <c r="F124" s="93">
        <f t="shared" si="57"/>
        <v>0</v>
      </c>
      <c r="G124" s="93">
        <f t="shared" si="57"/>
        <v>0</v>
      </c>
      <c r="H124" s="93">
        <f t="shared" si="57"/>
        <v>0</v>
      </c>
      <c r="I124" s="93">
        <f t="shared" si="57"/>
        <v>0</v>
      </c>
      <c r="J124" s="93">
        <f t="shared" si="57"/>
        <v>0</v>
      </c>
      <c r="K124" s="93">
        <f t="shared" si="57"/>
        <v>0</v>
      </c>
      <c r="L124" s="93">
        <f t="shared" si="57"/>
        <v>0</v>
      </c>
      <c r="M124" s="93">
        <f t="shared" si="57"/>
        <v>0</v>
      </c>
      <c r="N124" s="93">
        <f t="shared" si="57"/>
        <v>0</v>
      </c>
      <c r="O124" s="93">
        <f t="shared" si="57"/>
        <v>0</v>
      </c>
      <c r="P124" s="93">
        <f t="shared" si="57"/>
        <v>0</v>
      </c>
      <c r="Q124" s="93">
        <f t="shared" si="57"/>
        <v>0</v>
      </c>
      <c r="R124" s="94">
        <f t="shared" si="44"/>
        <v>0</v>
      </c>
      <c r="T124" s="96">
        <f t="shared" si="52"/>
        <v>0</v>
      </c>
      <c r="U124" s="96">
        <f t="shared" si="45"/>
        <v>-1</v>
      </c>
    </row>
    <row r="125" spans="1:21" x14ac:dyDescent="0.25">
      <c r="A125" s="15" t="s">
        <v>140</v>
      </c>
      <c r="B125" s="15"/>
      <c r="C125" s="137">
        <v>0</v>
      </c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v>81611.736000000004</v>
      </c>
      <c r="D126" s="57">
        <f>C126/12</f>
        <v>6800.9780000000001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f>SUM(E126:P126)</f>
        <v>0</v>
      </c>
      <c r="R126" s="89">
        <f t="shared" si="44"/>
        <v>0</v>
      </c>
      <c r="S126" s="15"/>
      <c r="T126" s="62">
        <f t="shared" si="52"/>
        <v>0</v>
      </c>
      <c r="U126" s="62">
        <f t="shared" si="45"/>
        <v>-1</v>
      </c>
    </row>
    <row r="127" spans="1:21" ht="15.75" thickBot="1" x14ac:dyDescent="0.3">
      <c r="A127" s="63" t="s">
        <v>142</v>
      </c>
      <c r="B127" s="15"/>
      <c r="C127" s="137">
        <f t="shared" ref="C127:Q127" si="58">SUM(C126:C126)</f>
        <v>81611.736000000004</v>
      </c>
      <c r="D127" s="138">
        <f t="shared" si="58"/>
        <v>6800.9780000000001</v>
      </c>
      <c r="E127" s="139">
        <f t="shared" si="58"/>
        <v>0</v>
      </c>
      <c r="F127" s="139">
        <f t="shared" si="58"/>
        <v>0</v>
      </c>
      <c r="G127" s="139">
        <f t="shared" si="58"/>
        <v>0</v>
      </c>
      <c r="H127" s="139">
        <f t="shared" si="58"/>
        <v>0</v>
      </c>
      <c r="I127" s="139">
        <f t="shared" si="58"/>
        <v>0</v>
      </c>
      <c r="J127" s="139">
        <f t="shared" si="58"/>
        <v>0</v>
      </c>
      <c r="K127" s="139">
        <f t="shared" si="58"/>
        <v>0</v>
      </c>
      <c r="L127" s="139">
        <f t="shared" si="58"/>
        <v>0</v>
      </c>
      <c r="M127" s="139">
        <f t="shared" si="58"/>
        <v>0</v>
      </c>
      <c r="N127" s="139">
        <f t="shared" si="58"/>
        <v>0</v>
      </c>
      <c r="O127" s="139">
        <f t="shared" si="58"/>
        <v>0</v>
      </c>
      <c r="P127" s="139">
        <f t="shared" si="58"/>
        <v>0</v>
      </c>
      <c r="Q127" s="139">
        <f t="shared" si="58"/>
        <v>0</v>
      </c>
      <c r="R127" s="140">
        <f t="shared" si="44"/>
        <v>0</v>
      </c>
      <c r="T127" s="141">
        <f t="shared" si="52"/>
        <v>0</v>
      </c>
      <c r="U127" s="141">
        <f t="shared" si="45"/>
        <v>-1</v>
      </c>
    </row>
    <row r="128" spans="1:21" s="142" customFormat="1" ht="15.75" thickBot="1" x14ac:dyDescent="0.3">
      <c r="A128" s="63" t="s">
        <v>143</v>
      </c>
      <c r="B128" s="142" t="s">
        <v>48</v>
      </c>
      <c r="C128" s="143">
        <f>C124+C121+C90+C82+C73+C62+C48+C95+C76+C127+C134</f>
        <v>2743948.2600000002</v>
      </c>
      <c r="D128" s="144">
        <f t="shared" ref="D128:P128" si="59">D124+D121+D90+D82+D73+D62+D48+D95+D76+D127+D134</f>
        <v>228662.35499999998</v>
      </c>
      <c r="E128" s="145">
        <f>E124+E121+E90+E82+E73+E62+E48+E95+E76+E127+E134</f>
        <v>256672.80753954966</v>
      </c>
      <c r="F128" s="146">
        <f t="shared" si="59"/>
        <v>243270.45334369314</v>
      </c>
      <c r="G128" s="146">
        <f t="shared" si="59"/>
        <v>245601.61451235143</v>
      </c>
      <c r="H128" s="146">
        <f t="shared" si="59"/>
        <v>251742.93680401772</v>
      </c>
      <c r="I128" s="146">
        <f>I124+I121+I90+I82+I73+I62+I48+I95+I76+I127+I134</f>
        <v>264100.96456889983</v>
      </c>
      <c r="J128" s="146">
        <f t="shared" si="59"/>
        <v>249843.34771680305</v>
      </c>
      <c r="K128" s="146">
        <f t="shared" si="59"/>
        <v>271760.48634847719</v>
      </c>
      <c r="L128" s="146">
        <f t="shared" si="59"/>
        <v>266801.71947067388</v>
      </c>
      <c r="M128" s="146">
        <f t="shared" si="59"/>
        <v>259482.13775603051</v>
      </c>
      <c r="N128" s="146">
        <f t="shared" si="59"/>
        <v>274842.89149791718</v>
      </c>
      <c r="O128" s="146">
        <f t="shared" si="59"/>
        <v>258391.35618603052</v>
      </c>
      <c r="P128" s="146">
        <f t="shared" si="59"/>
        <v>266219.67492971389</v>
      </c>
      <c r="Q128" s="147">
        <f t="shared" ref="Q128" si="60">Q124+Q121+Q90+Q82+Q73+Q62+Q48+Q95+Q76+Q127</f>
        <v>3108730.390674158</v>
      </c>
      <c r="R128" s="148">
        <f t="shared" si="44"/>
        <v>259060.86588951314</v>
      </c>
      <c r="T128" s="76">
        <f t="shared" si="52"/>
        <v>0.63125817938574214</v>
      </c>
      <c r="U128" s="76">
        <f t="shared" si="45"/>
        <v>0.13294060095512067</v>
      </c>
    </row>
    <row r="129" spans="1:21" ht="15.75" thickBot="1" x14ac:dyDescent="0.3">
      <c r="A129" s="78" t="s">
        <v>144</v>
      </c>
      <c r="B129" t="s">
        <v>48</v>
      </c>
      <c r="C129" s="149">
        <f>C34-C128+C102+C134</f>
        <v>1913239.1</v>
      </c>
      <c r="D129" s="150">
        <f t="shared" ref="D129:P129" si="61">D34-D128+D102+D134</f>
        <v>159436.59166666667</v>
      </c>
      <c r="E129" s="151">
        <f t="shared" si="61"/>
        <v>156004.55246045033</v>
      </c>
      <c r="F129" s="152">
        <f t="shared" si="61"/>
        <v>143825.78665630685</v>
      </c>
      <c r="G129" s="152">
        <f t="shared" si="61"/>
        <v>167075.74548764856</v>
      </c>
      <c r="H129" s="152">
        <f t="shared" si="61"/>
        <v>148143.86319598227</v>
      </c>
      <c r="I129" s="152">
        <f>I34-I128+I102+I134</f>
        <v>148576.39543110016</v>
      </c>
      <c r="J129" s="152">
        <f t="shared" si="61"/>
        <v>150043.45228319694</v>
      </c>
      <c r="K129" s="152">
        <f t="shared" si="61"/>
        <v>167576.87365152279</v>
      </c>
      <c r="L129" s="152">
        <f t="shared" si="61"/>
        <v>172535.64052932611</v>
      </c>
      <c r="M129" s="152">
        <f t="shared" si="61"/>
        <v>166204.66224396948</v>
      </c>
      <c r="N129" s="152">
        <f t="shared" si="61"/>
        <v>164494.4685020828</v>
      </c>
      <c r="O129" s="152">
        <f t="shared" si="61"/>
        <v>115695.44381396947</v>
      </c>
      <c r="P129" s="152">
        <f t="shared" si="61"/>
        <v>115750.32507028611</v>
      </c>
      <c r="Q129" s="153">
        <f t="shared" ref="Q129" si="62">Q34-Q128+Q102</f>
        <v>1815927.2093258416</v>
      </c>
      <c r="R129" s="154">
        <f>AVERAGE(E129:P129)</f>
        <v>151327.26744382016</v>
      </c>
      <c r="T129" s="31">
        <f t="shared" si="52"/>
        <v>0.36874182061425786</v>
      </c>
      <c r="U129" s="31">
        <f t="shared" si="45"/>
        <v>-5.0862378191078396E-2</v>
      </c>
    </row>
    <row r="130" spans="1:21" x14ac:dyDescent="0.25">
      <c r="A130" s="78" t="s">
        <v>145</v>
      </c>
      <c r="B130" t="s">
        <v>48</v>
      </c>
      <c r="C130" s="155">
        <f t="shared" ref="C130:Q130" si="63">IFERROR(C129/C34,0)</f>
        <v>0.41081428598569414</v>
      </c>
      <c r="D130" s="156">
        <f t="shared" si="63"/>
        <v>0.41081428598569419</v>
      </c>
      <c r="E130" s="157">
        <f t="shared" si="63"/>
        <v>0.37803031516061442</v>
      </c>
      <c r="F130" s="158">
        <f t="shared" si="63"/>
        <v>0.37155046160176308</v>
      </c>
      <c r="G130" s="158">
        <f t="shared" si="63"/>
        <v>0.40485803603970077</v>
      </c>
      <c r="H130" s="158">
        <f t="shared" si="63"/>
        <v>0.37046449944329812</v>
      </c>
      <c r="I130" s="158">
        <f t="shared" si="63"/>
        <v>0.36003040106464806</v>
      </c>
      <c r="J130" s="158">
        <f t="shared" si="63"/>
        <v>0.37521481650106214</v>
      </c>
      <c r="K130" s="158">
        <f t="shared" si="63"/>
        <v>0.38143096606107618</v>
      </c>
      <c r="L130" s="158">
        <f t="shared" si="63"/>
        <v>0.39271788888913545</v>
      </c>
      <c r="M130" s="158">
        <f t="shared" si="63"/>
        <v>0.39043884434276438</v>
      </c>
      <c r="N130" s="158">
        <f t="shared" si="63"/>
        <v>0.37441493366756429</v>
      </c>
      <c r="O130" s="158">
        <f t="shared" si="63"/>
        <v>0.30927432834831242</v>
      </c>
      <c r="P130" s="158">
        <f t="shared" si="63"/>
        <v>0.3030351207432157</v>
      </c>
      <c r="Q130" s="159">
        <f t="shared" si="63"/>
        <v>0.36874182061425786</v>
      </c>
      <c r="R130" s="160">
        <f t="shared" si="44"/>
        <v>0.36762171765526297</v>
      </c>
      <c r="T130" s="31"/>
      <c r="U130" s="31">
        <f>IFERROR((Q130-C130)/C130,0)</f>
        <v>-0.10241237173748474</v>
      </c>
    </row>
    <row r="131" spans="1:21" x14ac:dyDescent="0.25">
      <c r="A131" s="78" t="s">
        <v>146</v>
      </c>
      <c r="C131" s="161" t="s">
        <v>1</v>
      </c>
      <c r="D131" s="162" t="s">
        <v>1</v>
      </c>
      <c r="E131" s="163" t="s">
        <v>1</v>
      </c>
      <c r="F131" s="164" t="s">
        <v>1</v>
      </c>
      <c r="G131" s="164" t="s">
        <v>1</v>
      </c>
      <c r="H131" s="164" t="s">
        <v>1</v>
      </c>
      <c r="I131" s="164" t="s">
        <v>1</v>
      </c>
      <c r="J131" s="164" t="s">
        <v>1</v>
      </c>
      <c r="K131" s="164" t="s">
        <v>1</v>
      </c>
      <c r="L131" s="164" t="s">
        <v>1</v>
      </c>
      <c r="M131" s="164" t="s">
        <v>1</v>
      </c>
      <c r="N131" s="164" t="s">
        <v>1</v>
      </c>
      <c r="O131" s="164" t="s">
        <v>1</v>
      </c>
      <c r="P131" s="164" t="s">
        <v>1</v>
      </c>
      <c r="Q131" s="165"/>
      <c r="R131" s="166"/>
      <c r="T131" s="55"/>
      <c r="U131" s="55"/>
    </row>
    <row r="132" spans="1:21" x14ac:dyDescent="0.25">
      <c r="A132" s="78"/>
      <c r="B132" s="15" t="s">
        <v>147</v>
      </c>
      <c r="C132" s="167">
        <v>0</v>
      </c>
      <c r="D132" s="168">
        <v>0</v>
      </c>
      <c r="E132" s="169">
        <v>0</v>
      </c>
      <c r="F132" s="169">
        <v>0</v>
      </c>
      <c r="G132" s="169">
        <v>0</v>
      </c>
      <c r="H132" s="169">
        <v>0</v>
      </c>
      <c r="I132" s="169">
        <v>0</v>
      </c>
      <c r="J132" s="169">
        <v>0</v>
      </c>
      <c r="K132" s="169">
        <v>0</v>
      </c>
      <c r="L132" s="169">
        <v>0</v>
      </c>
      <c r="M132" s="169">
        <v>0</v>
      </c>
      <c r="N132" s="169">
        <v>0</v>
      </c>
      <c r="O132" s="169">
        <v>0</v>
      </c>
      <c r="P132" s="169">
        <v>0</v>
      </c>
      <c r="Q132" s="170">
        <f>SUM(E132:P132)</f>
        <v>0</v>
      </c>
      <c r="R132" s="171">
        <f t="shared" si="44"/>
        <v>0</v>
      </c>
      <c r="S132" s="15"/>
      <c r="T132" s="62">
        <f t="shared" si="52"/>
        <v>0</v>
      </c>
      <c r="U132" s="62">
        <f t="shared" si="45"/>
        <v>0</v>
      </c>
    </row>
    <row r="133" spans="1:21" x14ac:dyDescent="0.25">
      <c r="A133" s="78"/>
      <c r="B133" s="15" t="s">
        <v>148</v>
      </c>
      <c r="C133" s="167">
        <v>0</v>
      </c>
      <c r="D133" s="168">
        <v>0</v>
      </c>
      <c r="E133" s="169">
        <v>0</v>
      </c>
      <c r="F133" s="169">
        <v>0</v>
      </c>
      <c r="G133" s="169">
        <v>0</v>
      </c>
      <c r="H133" s="169">
        <v>0</v>
      </c>
      <c r="I133" s="169">
        <v>0</v>
      </c>
      <c r="J133" s="169">
        <v>0</v>
      </c>
      <c r="K133" s="169">
        <v>0</v>
      </c>
      <c r="L133" s="169">
        <v>0</v>
      </c>
      <c r="M133" s="169">
        <v>0</v>
      </c>
      <c r="N133" s="169">
        <v>0</v>
      </c>
      <c r="O133" s="169">
        <v>0</v>
      </c>
      <c r="P133" s="169">
        <v>0</v>
      </c>
      <c r="Q133" s="170">
        <f>SUM(E133:P133)</f>
        <v>0</v>
      </c>
      <c r="R133" s="171">
        <f t="shared" si="44"/>
        <v>0</v>
      </c>
      <c r="S133" s="15"/>
      <c r="T133" s="62">
        <f t="shared" si="52"/>
        <v>0</v>
      </c>
      <c r="U133" s="62">
        <f t="shared" si="45"/>
        <v>0</v>
      </c>
    </row>
    <row r="134" spans="1:21" ht="15.75" thickBot="1" x14ac:dyDescent="0.3">
      <c r="A134" s="63" t="s">
        <v>149</v>
      </c>
      <c r="C134" s="172">
        <f>SUM(C132:C133)</f>
        <v>0</v>
      </c>
      <c r="D134" s="173">
        <f t="shared" ref="D134:Q134" si="64">SUM(D132:D133)</f>
        <v>0</v>
      </c>
      <c r="E134" s="174">
        <f t="shared" si="64"/>
        <v>0</v>
      </c>
      <c r="F134" s="175">
        <f t="shared" si="64"/>
        <v>0</v>
      </c>
      <c r="G134" s="175">
        <f t="shared" si="64"/>
        <v>0</v>
      </c>
      <c r="H134" s="175">
        <f t="shared" si="64"/>
        <v>0</v>
      </c>
      <c r="I134" s="175">
        <f>SUM(I132:I133)</f>
        <v>0</v>
      </c>
      <c r="J134" s="175">
        <f t="shared" si="64"/>
        <v>0</v>
      </c>
      <c r="K134" s="175">
        <f t="shared" si="64"/>
        <v>0</v>
      </c>
      <c r="L134" s="175">
        <f t="shared" si="64"/>
        <v>0</v>
      </c>
      <c r="M134" s="175">
        <f t="shared" si="64"/>
        <v>0</v>
      </c>
      <c r="N134" s="175">
        <f t="shared" si="64"/>
        <v>0</v>
      </c>
      <c r="O134" s="175">
        <f t="shared" si="64"/>
        <v>0</v>
      </c>
      <c r="P134" s="175">
        <f t="shared" si="64"/>
        <v>0</v>
      </c>
      <c r="Q134" s="176">
        <f t="shared" si="64"/>
        <v>0</v>
      </c>
      <c r="R134" s="177">
        <f>AVERAGE(E134:P134)</f>
        <v>0</v>
      </c>
      <c r="T134" s="141">
        <f t="shared" si="52"/>
        <v>0</v>
      </c>
      <c r="U134" s="141">
        <f t="shared" si="45"/>
        <v>0</v>
      </c>
    </row>
    <row r="135" spans="1:21" ht="23.25" thickBot="1" x14ac:dyDescent="0.3">
      <c r="A135" s="63" t="s">
        <v>150</v>
      </c>
      <c r="C135" s="143">
        <f>C134+C128</f>
        <v>2743948.2600000002</v>
      </c>
      <c r="D135" s="144">
        <f t="shared" ref="D135:P135" si="65">D134+D128</f>
        <v>228662.35499999998</v>
      </c>
      <c r="E135" s="145">
        <f t="shared" si="65"/>
        <v>256672.80753954966</v>
      </c>
      <c r="F135" s="146">
        <f t="shared" si="65"/>
        <v>243270.45334369314</v>
      </c>
      <c r="G135" s="146">
        <f t="shared" si="65"/>
        <v>245601.61451235143</v>
      </c>
      <c r="H135" s="146">
        <f t="shared" si="65"/>
        <v>251742.93680401772</v>
      </c>
      <c r="I135" s="146">
        <f>I134+I128</f>
        <v>264100.96456889983</v>
      </c>
      <c r="J135" s="146">
        <f t="shared" si="65"/>
        <v>249843.34771680305</v>
      </c>
      <c r="K135" s="146">
        <f t="shared" si="65"/>
        <v>271760.48634847719</v>
      </c>
      <c r="L135" s="146">
        <f t="shared" si="65"/>
        <v>266801.71947067388</v>
      </c>
      <c r="M135" s="146">
        <f t="shared" si="65"/>
        <v>259482.13775603051</v>
      </c>
      <c r="N135" s="146">
        <f t="shared" si="65"/>
        <v>274842.89149791718</v>
      </c>
      <c r="O135" s="146">
        <f t="shared" si="65"/>
        <v>258391.35618603052</v>
      </c>
      <c r="P135" s="146">
        <f t="shared" si="65"/>
        <v>266219.67492971389</v>
      </c>
      <c r="Q135" s="147">
        <f>Q134+Q128</f>
        <v>3108730.390674158</v>
      </c>
      <c r="R135" s="148">
        <f t="shared" si="44"/>
        <v>259060.86588951314</v>
      </c>
      <c r="T135" s="76">
        <f t="shared" si="52"/>
        <v>0.63125817938574214</v>
      </c>
      <c r="U135" s="76">
        <f t="shared" si="45"/>
        <v>0.13294060095512067</v>
      </c>
    </row>
    <row r="136" spans="1:21" ht="15.75" thickBot="1" x14ac:dyDescent="0.3">
      <c r="A136" s="78" t="s">
        <v>151</v>
      </c>
      <c r="C136" s="149">
        <f>C34-C135</f>
        <v>1913239.1</v>
      </c>
      <c r="D136" s="150">
        <f t="shared" ref="D136:Q136" si="66">D34-D135</f>
        <v>159436.59166666667</v>
      </c>
      <c r="E136" s="151">
        <f t="shared" si="66"/>
        <v>156004.55246045033</v>
      </c>
      <c r="F136" s="152">
        <f t="shared" si="66"/>
        <v>143825.78665630685</v>
      </c>
      <c r="G136" s="152">
        <f t="shared" si="66"/>
        <v>167075.74548764856</v>
      </c>
      <c r="H136" s="152">
        <f t="shared" si="66"/>
        <v>148143.86319598227</v>
      </c>
      <c r="I136" s="152">
        <f t="shared" si="66"/>
        <v>148576.39543110016</v>
      </c>
      <c r="J136" s="152">
        <f t="shared" si="66"/>
        <v>150043.45228319694</v>
      </c>
      <c r="K136" s="152">
        <f t="shared" si="66"/>
        <v>167576.87365152279</v>
      </c>
      <c r="L136" s="152">
        <f t="shared" si="66"/>
        <v>172535.64052932611</v>
      </c>
      <c r="M136" s="152">
        <f t="shared" si="66"/>
        <v>166204.66224396948</v>
      </c>
      <c r="N136" s="152">
        <f t="shared" si="66"/>
        <v>164494.4685020828</v>
      </c>
      <c r="O136" s="152">
        <f t="shared" si="66"/>
        <v>115695.44381396947</v>
      </c>
      <c r="P136" s="152">
        <f t="shared" si="66"/>
        <v>115750.32507028611</v>
      </c>
      <c r="Q136" s="153">
        <f t="shared" si="66"/>
        <v>1815927.2093258416</v>
      </c>
      <c r="R136" s="154">
        <f>AVERAGE(E136:P136)</f>
        <v>151327.26744382016</v>
      </c>
      <c r="T136" s="31">
        <f>Q136/$Q$34</f>
        <v>0.36874182061425786</v>
      </c>
      <c r="U136" s="31">
        <f t="shared" si="45"/>
        <v>-5.0862378191078396E-2</v>
      </c>
    </row>
    <row r="137" spans="1:21" ht="15.75" thickBot="1" x14ac:dyDescent="0.3">
      <c r="A137" s="78" t="s">
        <v>152</v>
      </c>
      <c r="C137" s="178">
        <f t="shared" ref="C137:Q137" si="67">IFERROR(C136/C34,0)</f>
        <v>0.41081428598569414</v>
      </c>
      <c r="D137" s="179">
        <f t="shared" si="67"/>
        <v>0.41081428598569419</v>
      </c>
      <c r="E137" s="157">
        <f t="shared" si="67"/>
        <v>0.37803031516061442</v>
      </c>
      <c r="F137" s="158">
        <f t="shared" si="67"/>
        <v>0.37155046160176308</v>
      </c>
      <c r="G137" s="158">
        <f t="shared" si="67"/>
        <v>0.40485803603970077</v>
      </c>
      <c r="H137" s="158">
        <f t="shared" si="67"/>
        <v>0.37046449944329812</v>
      </c>
      <c r="I137" s="158">
        <f t="shared" si="67"/>
        <v>0.36003040106464806</v>
      </c>
      <c r="J137" s="158">
        <f t="shared" si="67"/>
        <v>0.37521481650106214</v>
      </c>
      <c r="K137" s="158">
        <f t="shared" si="67"/>
        <v>0.38143096606107618</v>
      </c>
      <c r="L137" s="158">
        <f t="shared" si="67"/>
        <v>0.39271788888913545</v>
      </c>
      <c r="M137" s="158">
        <f t="shared" si="67"/>
        <v>0.39043884434276438</v>
      </c>
      <c r="N137" s="158">
        <f t="shared" si="67"/>
        <v>0.37441493366756429</v>
      </c>
      <c r="O137" s="158">
        <f t="shared" si="67"/>
        <v>0.30927432834831242</v>
      </c>
      <c r="P137" s="158">
        <f t="shared" si="67"/>
        <v>0.3030351207432157</v>
      </c>
      <c r="Q137" s="159">
        <f t="shared" si="67"/>
        <v>0.36874182061425786</v>
      </c>
      <c r="R137" s="180">
        <f t="shared" si="44"/>
        <v>0.36762171765526297</v>
      </c>
      <c r="T137" s="181"/>
      <c r="U137" s="181">
        <f t="shared" si="45"/>
        <v>-0.10241237173748474</v>
      </c>
    </row>
    <row r="138" spans="1:21" x14ac:dyDescent="0.25">
      <c r="Q138" s="184"/>
    </row>
    <row r="139" spans="1:21" x14ac:dyDescent="0.25">
      <c r="Q139" s="185"/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533A-C4CE-4D16-9163-4A4EFFF5DBC4}">
  <dimension ref="A1:W137"/>
  <sheetViews>
    <sheetView topLeftCell="B1" workbookViewId="0">
      <selection activeCell="Z17" sqref="Z17"/>
    </sheetView>
  </sheetViews>
  <sheetFormatPr defaultRowHeight="15" x14ac:dyDescent="0.25"/>
  <cols>
    <col min="1" max="1" width="27" hidden="1" customWidth="1"/>
    <col min="2" max="2" width="28.7109375" bestFit="1" customWidth="1"/>
    <col min="3" max="3" width="11.5703125" customWidth="1"/>
    <col min="4" max="4" width="8" bestFit="1" customWidth="1"/>
    <col min="5" max="5" width="8.42578125" bestFit="1" customWidth="1"/>
    <col min="6" max="6" width="8.28515625" bestFit="1" customWidth="1"/>
    <col min="7" max="7" width="8.5703125" bestFit="1" customWidth="1"/>
    <col min="8" max="8" width="8.28515625" bestFit="1" customWidth="1"/>
    <col min="9" max="9" width="8.7109375" bestFit="1" customWidth="1"/>
    <col min="10" max="10" width="8.42578125" bestFit="1" customWidth="1"/>
    <col min="11" max="11" width="8" bestFit="1" customWidth="1"/>
    <col min="12" max="12" width="8.5703125" bestFit="1" customWidth="1"/>
    <col min="14" max="14" width="8.28515625" bestFit="1" customWidth="1"/>
    <col min="15" max="15" width="8.42578125" bestFit="1" customWidth="1"/>
    <col min="16" max="16" width="8.5703125" bestFit="1" customWidth="1"/>
    <col min="17" max="17" width="9.42578125" bestFit="1" customWidth="1"/>
    <col min="18" max="18" width="8" bestFit="1" customWidth="1"/>
    <col min="19" max="19" width="53.28515625" customWidth="1"/>
    <col min="20" max="20" width="9.5703125" bestFit="1" customWidth="1"/>
    <col min="21" max="21" width="10.140625" bestFit="1" customWidth="1"/>
    <col min="23" max="23" width="1.42578125" bestFit="1" customWidth="1"/>
  </cols>
  <sheetData>
    <row r="1" spans="1:22" ht="18" x14ac:dyDescent="0.25">
      <c r="A1" s="401" t="s">
        <v>367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2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2" x14ac:dyDescent="0.25">
      <c r="A3" s="402" t="s">
        <v>2</v>
      </c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22" s="6" customFormat="1" x14ac:dyDescent="0.25">
      <c r="E4" s="6">
        <v>31</v>
      </c>
      <c r="F4" s="6">
        <v>29</v>
      </c>
      <c r="G4" s="6">
        <v>31</v>
      </c>
      <c r="H4" s="6">
        <v>30</v>
      </c>
      <c r="I4" s="6">
        <v>31</v>
      </c>
      <c r="J4" s="6">
        <v>30</v>
      </c>
      <c r="K4" s="6">
        <v>31</v>
      </c>
      <c r="L4" s="6">
        <v>31</v>
      </c>
      <c r="M4" s="6">
        <v>30</v>
      </c>
      <c r="N4" s="6">
        <v>31</v>
      </c>
      <c r="O4" s="6">
        <v>30</v>
      </c>
      <c r="P4" s="6">
        <v>31</v>
      </c>
    </row>
    <row r="5" spans="1:22" s="6" customFormat="1" ht="15.75" thickBot="1" x14ac:dyDescent="0.3">
      <c r="A5" s="4"/>
      <c r="B5" s="4"/>
      <c r="C5" s="4"/>
      <c r="D5" s="4"/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5">
        <v>12</v>
      </c>
      <c r="P5" s="5">
        <v>13</v>
      </c>
      <c r="Q5" s="4"/>
    </row>
    <row r="6" spans="1:22" ht="36.75" x14ac:dyDescent="0.25">
      <c r="A6" s="32"/>
      <c r="B6" s="32"/>
      <c r="C6" s="9" t="s">
        <v>3</v>
      </c>
      <c r="D6" s="10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2" t="s">
        <v>17</v>
      </c>
      <c r="R6" s="13" t="s">
        <v>18</v>
      </c>
      <c r="S6" s="14"/>
      <c r="T6" s="13" t="s">
        <v>19</v>
      </c>
      <c r="U6" s="13" t="s">
        <v>20</v>
      </c>
    </row>
    <row r="7" spans="1:22" x14ac:dyDescent="0.25">
      <c r="A7" s="15" t="s">
        <v>21</v>
      </c>
      <c r="B7" s="15" t="s">
        <v>22</v>
      </c>
      <c r="C7" s="16">
        <v>14.32</v>
      </c>
      <c r="D7" s="17">
        <f>C7/9</f>
        <v>1.5911111111111111</v>
      </c>
      <c r="E7" s="18">
        <v>2</v>
      </c>
      <c r="F7" s="18">
        <v>2</v>
      </c>
      <c r="G7" s="18">
        <v>2</v>
      </c>
      <c r="H7" s="18">
        <v>2</v>
      </c>
      <c r="I7" s="18">
        <v>2</v>
      </c>
      <c r="J7" s="18">
        <v>2</v>
      </c>
      <c r="K7" s="18">
        <v>3</v>
      </c>
      <c r="L7" s="18">
        <v>3</v>
      </c>
      <c r="M7" s="18">
        <v>3</v>
      </c>
      <c r="N7" s="18">
        <v>3</v>
      </c>
      <c r="O7" s="18">
        <v>3</v>
      </c>
      <c r="P7" s="18">
        <v>3</v>
      </c>
      <c r="Q7" s="19">
        <f t="shared" ref="Q7:Q13" si="0">SUM(E7:P7)</f>
        <v>30</v>
      </c>
      <c r="R7" s="20">
        <f>AVERAGE(E7:P7)</f>
        <v>2.5</v>
      </c>
      <c r="S7" s="15"/>
      <c r="T7" s="21"/>
      <c r="U7" s="22">
        <f>IFERROR((Q7-C7)/C7,0)</f>
        <v>1.0949720670391061</v>
      </c>
      <c r="V7" s="184"/>
    </row>
    <row r="8" spans="1:22" x14ac:dyDescent="0.25">
      <c r="A8" s="25"/>
      <c r="B8" s="15" t="s">
        <v>23</v>
      </c>
      <c r="C8" s="16">
        <v>72.790000000000006</v>
      </c>
      <c r="D8" s="17">
        <f t="shared" ref="D8:D13" si="1">C8/9</f>
        <v>8.0877777777777791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9">
        <f t="shared" si="0"/>
        <v>120</v>
      </c>
      <c r="R8" s="20">
        <f t="shared" ref="R8:R87" si="2">AVERAGE(E8:P8)</f>
        <v>10</v>
      </c>
      <c r="S8" s="15"/>
      <c r="T8" s="21"/>
      <c r="U8" s="22">
        <f>IFERROR((Q8-C8)/C8,0)</f>
        <v>0.64857810138755312</v>
      </c>
      <c r="V8" s="184"/>
    </row>
    <row r="9" spans="1:22" x14ac:dyDescent="0.25">
      <c r="A9" s="25"/>
      <c r="B9" s="15" t="s">
        <v>24</v>
      </c>
      <c r="C9" s="16">
        <v>11.65</v>
      </c>
      <c r="D9" s="17">
        <f>C9/9</f>
        <v>1.2944444444444445</v>
      </c>
      <c r="E9" s="18">
        <v>2</v>
      </c>
      <c r="F9" s="18">
        <v>2</v>
      </c>
      <c r="G9" s="18">
        <v>2</v>
      </c>
      <c r="H9" s="18">
        <v>2</v>
      </c>
      <c r="I9" s="18">
        <v>2</v>
      </c>
      <c r="J9" s="18">
        <v>2</v>
      </c>
      <c r="K9" s="18">
        <v>2</v>
      </c>
      <c r="L9" s="18">
        <v>2</v>
      </c>
      <c r="M9" s="18">
        <v>2</v>
      </c>
      <c r="N9" s="18">
        <v>2</v>
      </c>
      <c r="O9" s="18">
        <v>2</v>
      </c>
      <c r="P9" s="18">
        <v>2</v>
      </c>
      <c r="Q9" s="19">
        <f t="shared" si="0"/>
        <v>24</v>
      </c>
      <c r="R9" s="20">
        <f t="shared" si="2"/>
        <v>2</v>
      </c>
      <c r="S9" s="15"/>
      <c r="T9" s="21"/>
      <c r="U9" s="22">
        <f>IFERROR((Q9-C9)/C9,0)</f>
        <v>1.0600858369098711</v>
      </c>
      <c r="V9" s="184"/>
    </row>
    <row r="10" spans="1:22" x14ac:dyDescent="0.25">
      <c r="A10" s="15"/>
      <c r="B10" s="15" t="s">
        <v>25</v>
      </c>
      <c r="C10" s="16">
        <v>0</v>
      </c>
      <c r="D10" s="17">
        <f t="shared" si="1"/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9">
        <f t="shared" si="0"/>
        <v>0</v>
      </c>
      <c r="R10" s="20">
        <f t="shared" si="2"/>
        <v>0</v>
      </c>
      <c r="S10" s="15"/>
      <c r="T10" s="21"/>
      <c r="U10" s="22">
        <f t="shared" ref="U10:U13" si="3">IFERROR((Q10-C10)/C10,0)</f>
        <v>0</v>
      </c>
    </row>
    <row r="11" spans="1:22" x14ac:dyDescent="0.25">
      <c r="A11" s="15"/>
      <c r="B11" s="15" t="s">
        <v>26</v>
      </c>
      <c r="C11" s="16">
        <v>0</v>
      </c>
      <c r="D11" s="17">
        <f t="shared" si="1"/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9">
        <f t="shared" si="0"/>
        <v>0</v>
      </c>
      <c r="R11" s="20">
        <f t="shared" si="2"/>
        <v>0</v>
      </c>
      <c r="S11" s="15"/>
      <c r="T11" s="21"/>
      <c r="U11" s="22">
        <f t="shared" si="3"/>
        <v>0</v>
      </c>
    </row>
    <row r="12" spans="1:22" x14ac:dyDescent="0.25">
      <c r="A12" s="15"/>
      <c r="B12" s="15" t="s">
        <v>27</v>
      </c>
      <c r="C12" s="16">
        <v>0</v>
      </c>
      <c r="D12" s="17">
        <f t="shared" si="1"/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9">
        <f>SUM(E12:P12)</f>
        <v>0</v>
      </c>
      <c r="R12" s="20">
        <f t="shared" si="2"/>
        <v>0</v>
      </c>
      <c r="S12" s="15"/>
      <c r="T12" s="21"/>
      <c r="U12" s="22">
        <f t="shared" si="3"/>
        <v>0</v>
      </c>
    </row>
    <row r="13" spans="1:22" x14ac:dyDescent="0.25">
      <c r="A13" s="15"/>
      <c r="B13" s="15" t="s">
        <v>28</v>
      </c>
      <c r="C13" s="16">
        <v>0</v>
      </c>
      <c r="D13" s="17">
        <f t="shared" si="1"/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f>M13*1.1</f>
        <v>0</v>
      </c>
      <c r="Q13" s="19">
        <f t="shared" si="0"/>
        <v>0</v>
      </c>
      <c r="R13" s="20">
        <f t="shared" si="2"/>
        <v>0</v>
      </c>
      <c r="S13" s="15"/>
      <c r="T13" s="21"/>
      <c r="U13" s="22">
        <f t="shared" si="3"/>
        <v>0</v>
      </c>
    </row>
    <row r="14" spans="1:22" x14ac:dyDescent="0.25">
      <c r="A14" s="25"/>
      <c r="B14" s="15" t="s">
        <v>29</v>
      </c>
      <c r="C14" s="26">
        <f t="shared" ref="C14:D14" si="4">SUM(C7:C13)</f>
        <v>98.760000000000019</v>
      </c>
      <c r="D14" s="27">
        <f t="shared" si="4"/>
        <v>10.973333333333334</v>
      </c>
      <c r="E14" s="28">
        <f>SUM(E7:E13)</f>
        <v>14</v>
      </c>
      <c r="F14" s="28">
        <f>SUM(F7:F13)</f>
        <v>14</v>
      </c>
      <c r="G14" s="28">
        <f t="shared" ref="G14:Q14" si="5">SUM(G7:G13)</f>
        <v>14</v>
      </c>
      <c r="H14" s="28">
        <f t="shared" si="5"/>
        <v>14</v>
      </c>
      <c r="I14" s="28">
        <f t="shared" si="5"/>
        <v>14</v>
      </c>
      <c r="J14" s="28">
        <f t="shared" si="5"/>
        <v>14</v>
      </c>
      <c r="K14" s="28">
        <f t="shared" si="5"/>
        <v>15</v>
      </c>
      <c r="L14" s="28">
        <f t="shared" si="5"/>
        <v>15</v>
      </c>
      <c r="M14" s="28">
        <f t="shared" si="5"/>
        <v>15</v>
      </c>
      <c r="N14" s="28">
        <f t="shared" si="5"/>
        <v>15</v>
      </c>
      <c r="O14" s="28">
        <f t="shared" si="5"/>
        <v>15</v>
      </c>
      <c r="P14" s="28">
        <f t="shared" si="5"/>
        <v>15</v>
      </c>
      <c r="Q14" s="28">
        <f t="shared" si="5"/>
        <v>174</v>
      </c>
      <c r="R14" s="29">
        <f>AVERAGE(E14:P14)</f>
        <v>14.5</v>
      </c>
      <c r="T14" s="30"/>
      <c r="U14" s="31">
        <f>IFERROR((Q14-C14)/C14,0)</f>
        <v>0.76184690157958657</v>
      </c>
    </row>
    <row r="15" spans="1:22" x14ac:dyDescent="0.25">
      <c r="A15" s="32"/>
      <c r="B15" s="32"/>
      <c r="C15" s="33"/>
      <c r="D15" s="34"/>
      <c r="E15" s="35"/>
      <c r="F15" s="35"/>
      <c r="G15" s="35"/>
      <c r="H15" s="35"/>
      <c r="I15" s="35"/>
      <c r="J15" s="35"/>
      <c r="K15" s="35"/>
      <c r="L15" s="36"/>
      <c r="M15" s="35"/>
      <c r="N15" s="35"/>
      <c r="O15" s="35"/>
      <c r="P15" s="35"/>
      <c r="Q15" s="37"/>
      <c r="R15" s="38"/>
      <c r="T15" s="39"/>
      <c r="U15" s="39"/>
    </row>
    <row r="16" spans="1:22" s="44" customFormat="1" ht="12" x14ac:dyDescent="0.2">
      <c r="A16" s="15" t="s">
        <v>30</v>
      </c>
      <c r="B16" s="15" t="s">
        <v>31</v>
      </c>
      <c r="C16" s="40"/>
      <c r="D16" s="41"/>
      <c r="E16" s="42">
        <v>660</v>
      </c>
      <c r="F16" s="42">
        <v>660</v>
      </c>
      <c r="G16" s="42">
        <v>660</v>
      </c>
      <c r="H16" s="42">
        <v>660</v>
      </c>
      <c r="I16" s="42">
        <v>660</v>
      </c>
      <c r="J16" s="42">
        <v>660</v>
      </c>
      <c r="K16" s="42">
        <v>660</v>
      </c>
      <c r="L16" s="42">
        <v>660</v>
      </c>
      <c r="M16" s="42">
        <v>660</v>
      </c>
      <c r="N16" s="42">
        <v>660</v>
      </c>
      <c r="O16" s="42">
        <v>660</v>
      </c>
      <c r="P16" s="42">
        <v>660</v>
      </c>
      <c r="Q16" s="42">
        <f>AVERAGE(E16:E16)</f>
        <v>660</v>
      </c>
      <c r="R16" s="43">
        <f t="shared" si="2"/>
        <v>660</v>
      </c>
      <c r="S16" s="15"/>
      <c r="T16" s="21"/>
      <c r="U16" s="22" t="str">
        <f t="shared" ref="U16:U21" si="6">IFERROR((Q16-C16)/C16,"")</f>
        <v/>
      </c>
    </row>
    <row r="17" spans="1:22" s="44" customFormat="1" ht="12" x14ac:dyDescent="0.2">
      <c r="B17" s="15" t="s">
        <v>32</v>
      </c>
      <c r="C17" s="40"/>
      <c r="D17" s="41"/>
      <c r="E17" s="42">
        <v>445</v>
      </c>
      <c r="F17" s="42">
        <v>445</v>
      </c>
      <c r="G17" s="42">
        <v>445</v>
      </c>
      <c r="H17" s="42">
        <v>445</v>
      </c>
      <c r="I17" s="42">
        <v>445</v>
      </c>
      <c r="J17" s="42">
        <v>445</v>
      </c>
      <c r="K17" s="42">
        <v>445</v>
      </c>
      <c r="L17" s="42">
        <v>445</v>
      </c>
      <c r="M17" s="42">
        <v>445</v>
      </c>
      <c r="N17" s="42">
        <v>445</v>
      </c>
      <c r="O17" s="42">
        <v>445</v>
      </c>
      <c r="P17" s="42">
        <v>445</v>
      </c>
      <c r="Q17" s="42">
        <f>AVERAGE(E17:P17)</f>
        <v>445</v>
      </c>
      <c r="R17" s="43">
        <f t="shared" si="2"/>
        <v>445</v>
      </c>
      <c r="S17" s="15"/>
      <c r="T17" s="21"/>
      <c r="U17" s="22" t="str">
        <f t="shared" si="6"/>
        <v/>
      </c>
    </row>
    <row r="18" spans="1:22" s="44" customFormat="1" ht="12" x14ac:dyDescent="0.2">
      <c r="B18" s="15" t="s">
        <v>33</v>
      </c>
      <c r="C18" s="40"/>
      <c r="D18" s="41"/>
      <c r="E18" s="42">
        <v>355</v>
      </c>
      <c r="F18" s="42">
        <v>355</v>
      </c>
      <c r="G18" s="42">
        <v>355</v>
      </c>
      <c r="H18" s="42">
        <v>355</v>
      </c>
      <c r="I18" s="42">
        <v>355</v>
      </c>
      <c r="J18" s="42">
        <v>355</v>
      </c>
      <c r="K18" s="42">
        <v>355</v>
      </c>
      <c r="L18" s="42">
        <v>355</v>
      </c>
      <c r="M18" s="42">
        <v>355</v>
      </c>
      <c r="N18" s="42">
        <v>355</v>
      </c>
      <c r="O18" s="42">
        <v>355</v>
      </c>
      <c r="P18" s="42">
        <v>355</v>
      </c>
      <c r="Q18" s="42">
        <f>AVERAGE(E18:P18)</f>
        <v>355</v>
      </c>
      <c r="R18" s="43">
        <f t="shared" si="2"/>
        <v>355</v>
      </c>
      <c r="S18" s="15"/>
      <c r="T18" s="21"/>
      <c r="U18" s="22" t="str">
        <f t="shared" si="6"/>
        <v/>
      </c>
    </row>
    <row r="19" spans="1:22" s="44" customFormat="1" ht="12" x14ac:dyDescent="0.2">
      <c r="B19" s="15" t="s">
        <v>34</v>
      </c>
      <c r="C19" s="40"/>
      <c r="D19" s="41"/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f>AVERAGE(E19:P19)</f>
        <v>0</v>
      </c>
      <c r="R19" s="43">
        <f t="shared" si="2"/>
        <v>0</v>
      </c>
      <c r="S19" s="15"/>
      <c r="T19" s="21"/>
      <c r="U19" s="22" t="str">
        <f t="shared" si="6"/>
        <v/>
      </c>
    </row>
    <row r="20" spans="1:22" s="44" customFormat="1" ht="12" x14ac:dyDescent="0.2">
      <c r="B20" s="15" t="s">
        <v>35</v>
      </c>
      <c r="C20" s="40"/>
      <c r="D20" s="41"/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f>AVERAGE(E20:P20)</f>
        <v>0</v>
      </c>
      <c r="R20" s="43">
        <f t="shared" si="2"/>
        <v>0</v>
      </c>
      <c r="S20" s="15"/>
      <c r="T20" s="21"/>
      <c r="U20" s="22" t="str">
        <f t="shared" si="6"/>
        <v/>
      </c>
    </row>
    <row r="21" spans="1:22" s="44" customFormat="1" ht="12" x14ac:dyDescent="0.2">
      <c r="B21" s="15" t="s">
        <v>36</v>
      </c>
      <c r="C21" s="40"/>
      <c r="D21" s="41"/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f>AVERAGE(E21:P21)</f>
        <v>0</v>
      </c>
      <c r="R21" s="43">
        <f t="shared" si="2"/>
        <v>0</v>
      </c>
      <c r="S21" s="15"/>
      <c r="T21" s="21"/>
      <c r="U21" s="22" t="str">
        <f t="shared" si="6"/>
        <v/>
      </c>
    </row>
    <row r="22" spans="1:22" s="44" customFormat="1" ht="12" x14ac:dyDescent="0.2">
      <c r="B22" s="15"/>
      <c r="C22" s="46"/>
      <c r="D22" s="47"/>
      <c r="E22" s="42"/>
      <c r="R22" s="48"/>
      <c r="S22" s="15"/>
      <c r="T22" s="50"/>
      <c r="U22" s="50"/>
    </row>
    <row r="23" spans="1:22" x14ac:dyDescent="0.25">
      <c r="A23" s="15" t="s">
        <v>37</v>
      </c>
      <c r="C23" s="51"/>
      <c r="D23" s="52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53"/>
      <c r="P23" s="53"/>
      <c r="Q23" s="53"/>
      <c r="R23" s="54"/>
      <c r="T23" s="55"/>
      <c r="U23" s="55"/>
    </row>
    <row r="24" spans="1:22" x14ac:dyDescent="0.25">
      <c r="A24" s="25"/>
      <c r="B24" s="15" t="s">
        <v>38</v>
      </c>
      <c r="C24" s="56">
        <v>1687869.01</v>
      </c>
      <c r="D24" s="57">
        <f t="shared" ref="D24:D28" si="7">C24/12</f>
        <v>140655.75083333332</v>
      </c>
      <c r="E24" s="58">
        <f t="shared" ref="E24:P24" si="8">((E7*E16)+(E8*E17))*E4</f>
        <v>178870</v>
      </c>
      <c r="F24" s="58">
        <f t="shared" si="8"/>
        <v>167330</v>
      </c>
      <c r="G24" s="58">
        <f t="shared" si="8"/>
        <v>178870</v>
      </c>
      <c r="H24" s="58">
        <f t="shared" si="8"/>
        <v>173100</v>
      </c>
      <c r="I24" s="58">
        <f t="shared" si="8"/>
        <v>178870</v>
      </c>
      <c r="J24" s="58">
        <f t="shared" si="8"/>
        <v>173100</v>
      </c>
      <c r="K24" s="58">
        <f t="shared" si="8"/>
        <v>199330</v>
      </c>
      <c r="L24" s="58">
        <f t="shared" si="8"/>
        <v>199330</v>
      </c>
      <c r="M24" s="58">
        <f t="shared" si="8"/>
        <v>192900</v>
      </c>
      <c r="N24" s="58">
        <f t="shared" si="8"/>
        <v>199330</v>
      </c>
      <c r="O24" s="58">
        <f t="shared" si="8"/>
        <v>192900</v>
      </c>
      <c r="P24" s="58">
        <f t="shared" si="8"/>
        <v>199330</v>
      </c>
      <c r="Q24" s="59">
        <f>SUM(E24:P24)</f>
        <v>2233260</v>
      </c>
      <c r="R24" s="60">
        <f t="shared" si="2"/>
        <v>186105</v>
      </c>
      <c r="S24" s="15"/>
      <c r="T24" s="61"/>
      <c r="U24" s="62">
        <f t="shared" ref="U24:U88" si="9">IFERROR((Q24-C24)/C24,0)</f>
        <v>0.32312400237741196</v>
      </c>
      <c r="V24" s="15"/>
    </row>
    <row r="25" spans="1:22" x14ac:dyDescent="0.25">
      <c r="A25" s="25"/>
      <c r="B25" s="15" t="s">
        <v>39</v>
      </c>
      <c r="C25" s="56">
        <v>104841.19</v>
      </c>
      <c r="D25" s="57">
        <f t="shared" si="7"/>
        <v>8736.7658333333329</v>
      </c>
      <c r="E25" s="58">
        <f>(((E9*E18)*21.75)+(((E10*E19)*13.08)+(((E11*E20)*4.33))))</f>
        <v>15442.5</v>
      </c>
      <c r="F25" s="58">
        <f t="shared" ref="F25:P25" si="10">(((F9*F18)*21.75)+(((F10*F19)*13.08)+(((F11*F20)*4.33))))</f>
        <v>15442.5</v>
      </c>
      <c r="G25" s="58">
        <f t="shared" si="10"/>
        <v>15442.5</v>
      </c>
      <c r="H25" s="58">
        <f t="shared" si="10"/>
        <v>15442.5</v>
      </c>
      <c r="I25" s="58">
        <f t="shared" si="10"/>
        <v>15442.5</v>
      </c>
      <c r="J25" s="58">
        <f t="shared" si="10"/>
        <v>15442.5</v>
      </c>
      <c r="K25" s="58">
        <f t="shared" si="10"/>
        <v>15442.5</v>
      </c>
      <c r="L25" s="58">
        <f t="shared" si="10"/>
        <v>15442.5</v>
      </c>
      <c r="M25" s="58">
        <f t="shared" si="10"/>
        <v>15442.5</v>
      </c>
      <c r="N25" s="58">
        <f t="shared" si="10"/>
        <v>15442.5</v>
      </c>
      <c r="O25" s="58">
        <f t="shared" si="10"/>
        <v>15442.5</v>
      </c>
      <c r="P25" s="58">
        <f t="shared" si="10"/>
        <v>15442.5</v>
      </c>
      <c r="Q25" s="59">
        <f>SUM(E25:P25)</f>
        <v>185310</v>
      </c>
      <c r="R25" s="60">
        <f t="shared" si="2"/>
        <v>15442.5</v>
      </c>
      <c r="S25" s="15"/>
      <c r="T25" s="61"/>
      <c r="U25" s="62">
        <f t="shared" si="9"/>
        <v>0.76753049064017675</v>
      </c>
      <c r="V25" s="15"/>
    </row>
    <row r="26" spans="1:22" x14ac:dyDescent="0.25">
      <c r="A26" s="25"/>
      <c r="B26" s="15" t="s">
        <v>40</v>
      </c>
      <c r="C26" s="56">
        <v>0</v>
      </c>
      <c r="D26" s="57">
        <f t="shared" si="7"/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9">
        <f>SUM(E26:P26)</f>
        <v>0</v>
      </c>
      <c r="R26" s="60">
        <f>AVERAGE(E26:P26)</f>
        <v>0</v>
      </c>
      <c r="S26" s="15"/>
      <c r="T26" s="61"/>
      <c r="U26" s="62">
        <f t="shared" si="9"/>
        <v>0</v>
      </c>
      <c r="V26" s="15"/>
    </row>
    <row r="27" spans="1:22" x14ac:dyDescent="0.25">
      <c r="A27" s="25"/>
      <c r="B27" s="15" t="s">
        <v>41</v>
      </c>
      <c r="C27" s="56">
        <v>0</v>
      </c>
      <c r="D27" s="57">
        <f t="shared" si="7"/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9">
        <f>SUM(E27:P27)</f>
        <v>0</v>
      </c>
      <c r="R27" s="60">
        <f t="shared" si="2"/>
        <v>0</v>
      </c>
      <c r="S27" s="15"/>
      <c r="T27" s="61"/>
      <c r="U27" s="62">
        <f t="shared" si="9"/>
        <v>0</v>
      </c>
      <c r="V27" s="15"/>
    </row>
    <row r="28" spans="1:22" x14ac:dyDescent="0.25">
      <c r="A28" s="25"/>
      <c r="B28" s="15" t="s">
        <v>42</v>
      </c>
      <c r="C28" s="56">
        <v>0</v>
      </c>
      <c r="D28" s="57">
        <f t="shared" si="7"/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9">
        <f>SUM(E28:P28)</f>
        <v>0</v>
      </c>
      <c r="R28" s="60">
        <f t="shared" si="2"/>
        <v>0</v>
      </c>
      <c r="S28" s="15"/>
      <c r="T28" s="61"/>
      <c r="U28" s="62">
        <f t="shared" si="9"/>
        <v>0</v>
      </c>
      <c r="V28" s="15"/>
    </row>
    <row r="29" spans="1:22" x14ac:dyDescent="0.25">
      <c r="A29" s="63" t="s">
        <v>43</v>
      </c>
      <c r="B29" s="15"/>
      <c r="C29" s="64">
        <f>SUM(C24:C28)</f>
        <v>1792710.2</v>
      </c>
      <c r="D29" s="65">
        <f>SUM(D24:D28)</f>
        <v>149392.51666666666</v>
      </c>
      <c r="E29" s="66">
        <f t="shared" ref="E29:Q29" si="11">SUM(E24:E28)</f>
        <v>194312.5</v>
      </c>
      <c r="F29" s="66">
        <f t="shared" si="11"/>
        <v>182772.5</v>
      </c>
      <c r="G29" s="66">
        <f t="shared" si="11"/>
        <v>194312.5</v>
      </c>
      <c r="H29" s="66">
        <f t="shared" si="11"/>
        <v>188542.5</v>
      </c>
      <c r="I29" s="66">
        <f t="shared" si="11"/>
        <v>194312.5</v>
      </c>
      <c r="J29" s="66">
        <f t="shared" si="11"/>
        <v>188542.5</v>
      </c>
      <c r="K29" s="66">
        <f t="shared" si="11"/>
        <v>214772.5</v>
      </c>
      <c r="L29" s="66">
        <f t="shared" si="11"/>
        <v>214772.5</v>
      </c>
      <c r="M29" s="66">
        <f t="shared" si="11"/>
        <v>208342.5</v>
      </c>
      <c r="N29" s="66">
        <f t="shared" si="11"/>
        <v>214772.5</v>
      </c>
      <c r="O29" s="66">
        <f t="shared" si="11"/>
        <v>208342.5</v>
      </c>
      <c r="P29" s="66">
        <f t="shared" si="11"/>
        <v>214772.5</v>
      </c>
      <c r="Q29" s="66">
        <f t="shared" si="11"/>
        <v>2418570</v>
      </c>
      <c r="R29" s="67">
        <f>AVERAGE(E29:P29)</f>
        <v>201547.5</v>
      </c>
      <c r="T29" s="68"/>
      <c r="U29" s="69">
        <f t="shared" si="9"/>
        <v>0.34911376082983187</v>
      </c>
    </row>
    <row r="30" spans="1:22" x14ac:dyDescent="0.25">
      <c r="A30" s="15" t="s">
        <v>44</v>
      </c>
      <c r="B30" s="15"/>
      <c r="C30" s="64"/>
      <c r="D30" s="65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T30" s="69"/>
      <c r="U30" s="69"/>
    </row>
    <row r="31" spans="1:22" x14ac:dyDescent="0.25">
      <c r="A31" s="63"/>
      <c r="B31" s="15" t="s">
        <v>45</v>
      </c>
      <c r="C31" s="56">
        <v>0</v>
      </c>
      <c r="D31" s="57">
        <f>C31/12</f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9">
        <f>SUM(E31:P31)</f>
        <v>0</v>
      </c>
      <c r="R31" s="60">
        <f>AVERAGE(E31:P31)</f>
        <v>0</v>
      </c>
      <c r="S31" s="15"/>
      <c r="T31" s="61"/>
      <c r="U31" s="62">
        <f t="shared" si="9"/>
        <v>0</v>
      </c>
    </row>
    <row r="32" spans="1:22" x14ac:dyDescent="0.25">
      <c r="A32" s="63" t="s">
        <v>46</v>
      </c>
      <c r="B32" s="15"/>
      <c r="C32" s="64">
        <f t="shared" ref="C32:D32" si="12">SUM(C31)</f>
        <v>0</v>
      </c>
      <c r="D32" s="65">
        <f t="shared" si="12"/>
        <v>0</v>
      </c>
      <c r="E32" s="66">
        <f>SUM(E31)</f>
        <v>0</v>
      </c>
      <c r="F32" s="66">
        <f>SUM(F31)</f>
        <v>0</v>
      </c>
      <c r="G32" s="66">
        <f t="shared" ref="G32:P32" si="13">SUM(G31)</f>
        <v>0</v>
      </c>
      <c r="H32" s="66">
        <f t="shared" si="13"/>
        <v>0</v>
      </c>
      <c r="I32" s="66">
        <f t="shared" si="13"/>
        <v>0</v>
      </c>
      <c r="J32" s="66">
        <f t="shared" si="13"/>
        <v>0</v>
      </c>
      <c r="K32" s="66">
        <f t="shared" si="13"/>
        <v>0</v>
      </c>
      <c r="L32" s="66">
        <f t="shared" si="13"/>
        <v>0</v>
      </c>
      <c r="M32" s="66">
        <f t="shared" si="13"/>
        <v>0</v>
      </c>
      <c r="N32" s="66">
        <f t="shared" si="13"/>
        <v>0</v>
      </c>
      <c r="O32" s="66">
        <f t="shared" si="13"/>
        <v>0</v>
      </c>
      <c r="P32" s="66">
        <f t="shared" si="13"/>
        <v>0</v>
      </c>
      <c r="Q32" s="66">
        <f>SUM(Q31)</f>
        <v>0</v>
      </c>
      <c r="R32" s="67">
        <f>AVERAGE(E32:P32)</f>
        <v>0</v>
      </c>
      <c r="T32" s="68"/>
      <c r="U32" s="69">
        <f t="shared" si="9"/>
        <v>0</v>
      </c>
    </row>
    <row r="33" spans="1:21" s="70" customFormat="1" x14ac:dyDescent="0.25">
      <c r="A33" s="63" t="s">
        <v>47</v>
      </c>
      <c r="B33" s="70" t="s">
        <v>48</v>
      </c>
      <c r="C33" s="71">
        <f t="shared" ref="C33:D33" si="14">C29+C32</f>
        <v>1792710.2</v>
      </c>
      <c r="D33" s="72">
        <f t="shared" si="14"/>
        <v>149392.51666666666</v>
      </c>
      <c r="E33" s="73">
        <f>E29+E32</f>
        <v>194312.5</v>
      </c>
      <c r="F33" s="73">
        <f>F29+F32</f>
        <v>182772.5</v>
      </c>
      <c r="G33" s="73">
        <f t="shared" ref="G33:Q33" si="15">G29+G32</f>
        <v>194312.5</v>
      </c>
      <c r="H33" s="73">
        <f t="shared" si="15"/>
        <v>188542.5</v>
      </c>
      <c r="I33" s="73">
        <f t="shared" si="15"/>
        <v>194312.5</v>
      </c>
      <c r="J33" s="73">
        <f t="shared" si="15"/>
        <v>188542.5</v>
      </c>
      <c r="K33" s="73">
        <f t="shared" si="15"/>
        <v>214772.5</v>
      </c>
      <c r="L33" s="73">
        <f t="shared" si="15"/>
        <v>214772.5</v>
      </c>
      <c r="M33" s="73">
        <f t="shared" si="15"/>
        <v>208342.5</v>
      </c>
      <c r="N33" s="73">
        <f t="shared" si="15"/>
        <v>214772.5</v>
      </c>
      <c r="O33" s="73">
        <f t="shared" si="15"/>
        <v>208342.5</v>
      </c>
      <c r="P33" s="73">
        <f t="shared" si="15"/>
        <v>214772.5</v>
      </c>
      <c r="Q33" s="73">
        <f t="shared" si="15"/>
        <v>2418570</v>
      </c>
      <c r="R33" s="74">
        <f>AVERAGE(E33:P33)</f>
        <v>201547.5</v>
      </c>
      <c r="T33" s="75"/>
      <c r="U33" s="76">
        <f t="shared" si="9"/>
        <v>0.34911376082983187</v>
      </c>
    </row>
    <row r="34" spans="1:21" x14ac:dyDescent="0.25">
      <c r="A34" s="78" t="s">
        <v>49</v>
      </c>
      <c r="B34" t="s">
        <v>48</v>
      </c>
      <c r="C34" s="79">
        <f t="shared" ref="C34:D34" si="16">C33</f>
        <v>1792710.2</v>
      </c>
      <c r="D34" s="80">
        <f t="shared" si="16"/>
        <v>149392.51666666666</v>
      </c>
      <c r="E34" s="81">
        <f>E33</f>
        <v>194312.5</v>
      </c>
      <c r="F34" s="81">
        <f t="shared" ref="F34:Q34" si="17">F33</f>
        <v>182772.5</v>
      </c>
      <c r="G34" s="81">
        <f t="shared" si="17"/>
        <v>194312.5</v>
      </c>
      <c r="H34" s="81">
        <f t="shared" si="17"/>
        <v>188542.5</v>
      </c>
      <c r="I34" s="81">
        <f t="shared" si="17"/>
        <v>194312.5</v>
      </c>
      <c r="J34" s="81">
        <f t="shared" si="17"/>
        <v>188542.5</v>
      </c>
      <c r="K34" s="81">
        <f t="shared" si="17"/>
        <v>214772.5</v>
      </c>
      <c r="L34" s="81">
        <f t="shared" si="17"/>
        <v>214772.5</v>
      </c>
      <c r="M34" s="81">
        <f t="shared" si="17"/>
        <v>208342.5</v>
      </c>
      <c r="N34" s="81">
        <f t="shared" si="17"/>
        <v>214772.5</v>
      </c>
      <c r="O34" s="81">
        <f t="shared" si="17"/>
        <v>208342.5</v>
      </c>
      <c r="P34" s="81">
        <f t="shared" si="17"/>
        <v>214772.5</v>
      </c>
      <c r="Q34" s="81">
        <f t="shared" si="17"/>
        <v>2418570</v>
      </c>
      <c r="R34" s="82">
        <f t="shared" si="2"/>
        <v>201547.5</v>
      </c>
      <c r="T34" s="30"/>
      <c r="U34" s="31">
        <f t="shared" si="9"/>
        <v>0.34911376082983187</v>
      </c>
    </row>
    <row r="35" spans="1:21" x14ac:dyDescent="0.25">
      <c r="A35" s="15" t="s">
        <v>50</v>
      </c>
      <c r="B35" t="s">
        <v>48</v>
      </c>
      <c r="C35" s="83"/>
      <c r="D35" s="84"/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5"/>
      <c r="P35" s="85"/>
      <c r="Q35" s="85"/>
      <c r="R35" s="87"/>
      <c r="T35" s="55"/>
      <c r="U35" s="55"/>
    </row>
    <row r="36" spans="1:21" x14ac:dyDescent="0.25">
      <c r="A36" s="15" t="s">
        <v>51</v>
      </c>
      <c r="B36" t="s">
        <v>48</v>
      </c>
      <c r="C36" s="83"/>
      <c r="D36" s="84"/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5"/>
      <c r="P36" s="85"/>
      <c r="Q36" s="85"/>
      <c r="R36" s="87"/>
      <c r="T36" s="55"/>
      <c r="U36" s="55"/>
    </row>
    <row r="37" spans="1:21" x14ac:dyDescent="0.25">
      <c r="A37" s="88"/>
      <c r="B37" s="15" t="s">
        <v>52</v>
      </c>
      <c r="C37" s="56">
        <v>693829.11600000015</v>
      </c>
      <c r="D37" s="57">
        <f>C37/12</f>
        <v>57819.093000000015</v>
      </c>
      <c r="E37" s="58">
        <f>'[2]Payroll 2024'!W159</f>
        <v>65409.230870229003</v>
      </c>
      <c r="F37" s="58">
        <f>'[2]Payroll 2024'!X159</f>
        <v>60456.068929007633</v>
      </c>
      <c r="G37" s="58">
        <f>'[2]Payroll 2024'!Y159</f>
        <v>60837.848929007632</v>
      </c>
      <c r="H37" s="58">
        <f>'[2]Payroll 2024'!Z159</f>
        <v>63734.889354198473</v>
      </c>
      <c r="I37" s="58">
        <f>'[2]Payroll 2024'!AA159</f>
        <v>66631.929779389306</v>
      </c>
      <c r="J37" s="58">
        <f>'[2]Payroll 2024'!AB159</f>
        <v>57968.499703816793</v>
      </c>
      <c r="K37" s="58">
        <f>'[2]Payroll 2024'!AC159</f>
        <v>66798.490259389306</v>
      </c>
      <c r="L37" s="58">
        <f>'[2]Payroll 2024'!AD159</f>
        <v>64139.332074198472</v>
      </c>
      <c r="M37" s="58">
        <f>'[2]Payroll 2024'!AE159</f>
        <v>61412.907889007627</v>
      </c>
      <c r="N37" s="58">
        <f>'[2]Payroll 2024'!AF159</f>
        <v>67601.236259389305</v>
      </c>
      <c r="O37" s="58">
        <f>'[2]Payroll 2024'!AG159</f>
        <v>61722.867889007633</v>
      </c>
      <c r="P37" s="58">
        <f>'[2]Payroll 2024'!AH159</f>
        <v>64662.052074198473</v>
      </c>
      <c r="Q37" s="58">
        <f>SUM(E37:P37)</f>
        <v>761375.35401083971</v>
      </c>
      <c r="R37" s="89">
        <f t="shared" si="2"/>
        <v>63447.946167569979</v>
      </c>
      <c r="S37" s="15"/>
      <c r="T37" s="62">
        <f>Q37/$Q$34</f>
        <v>0.31480393538778689</v>
      </c>
      <c r="U37" s="62">
        <f t="shared" si="9"/>
        <v>9.7352844458662852E-2</v>
      </c>
    </row>
    <row r="38" spans="1:21" x14ac:dyDescent="0.25">
      <c r="A38" s="25"/>
      <c r="B38" s="15" t="s">
        <v>53</v>
      </c>
      <c r="C38" s="56">
        <v>0</v>
      </c>
      <c r="D38" s="57">
        <f t="shared" ref="D38:D47" si="18">C38/12</f>
        <v>0</v>
      </c>
      <c r="E38" s="58">
        <f>'[2]Payroll 2024'!W160</f>
        <v>0</v>
      </c>
      <c r="F38" s="58">
        <f>'[2]Payroll 2024'!X160</f>
        <v>0</v>
      </c>
      <c r="G38" s="58">
        <f>'[2]Payroll 2024'!Y160</f>
        <v>0</v>
      </c>
      <c r="H38" s="58">
        <f>'[2]Payroll 2024'!Z160</f>
        <v>0</v>
      </c>
      <c r="I38" s="58">
        <f>'[2]Payroll 2024'!AA160</f>
        <v>0</v>
      </c>
      <c r="J38" s="58">
        <f>'[2]Payroll 2024'!AB160</f>
        <v>0</v>
      </c>
      <c r="K38" s="58">
        <f>'[2]Payroll 2024'!AC160</f>
        <v>0</v>
      </c>
      <c r="L38" s="58">
        <f>'[2]Payroll 2024'!AD160</f>
        <v>0</v>
      </c>
      <c r="M38" s="58">
        <f>'[2]Payroll 2024'!AE160</f>
        <v>0</v>
      </c>
      <c r="N38" s="58">
        <f>'[2]Payroll 2024'!AF160</f>
        <v>0</v>
      </c>
      <c r="O38" s="58">
        <f>'[2]Payroll 2024'!AG160</f>
        <v>0</v>
      </c>
      <c r="P38" s="58">
        <f>'[2]Payroll 2024'!AH160</f>
        <v>0</v>
      </c>
      <c r="Q38" s="58">
        <f t="shared" ref="Q38:Q47" si="19">SUM(E38:P38)</f>
        <v>0</v>
      </c>
      <c r="R38" s="89">
        <f t="shared" si="2"/>
        <v>0</v>
      </c>
      <c r="S38" s="15"/>
      <c r="T38" s="62">
        <f t="shared" ref="T38:T102" si="20">Q38/$Q$34</f>
        <v>0</v>
      </c>
      <c r="U38" s="62">
        <f t="shared" si="9"/>
        <v>0</v>
      </c>
    </row>
    <row r="39" spans="1:21" x14ac:dyDescent="0.25">
      <c r="A39" s="25"/>
      <c r="B39" s="15" t="s">
        <v>54</v>
      </c>
      <c r="C39" s="56">
        <v>168800.73599999998</v>
      </c>
      <c r="D39" s="57">
        <f t="shared" si="18"/>
        <v>14066.727999999997</v>
      </c>
      <c r="E39" s="58">
        <f>'[2]Payroll 2024'!W158</f>
        <v>15892.66290076336</v>
      </c>
      <c r="F39" s="58">
        <f>'[2]Payroll 2024'!X158</f>
        <v>14510.692213740458</v>
      </c>
      <c r="G39" s="58">
        <f>'[2]Payroll 2024'!Y158</f>
        <v>14510.692213740458</v>
      </c>
      <c r="H39" s="58">
        <f>'[2]Payroll 2024'!Z158</f>
        <v>15201.677557251909</v>
      </c>
      <c r="I39" s="58">
        <f>'[2]Payroll 2024'!AA158</f>
        <v>15892.66290076336</v>
      </c>
      <c r="J39" s="58">
        <f>'[2]Payroll 2024'!AB158</f>
        <v>14016.196312977099</v>
      </c>
      <c r="K39" s="58">
        <f>'[2]Payroll 2024'!AC158</f>
        <v>16118.625759923663</v>
      </c>
      <c r="L39" s="58">
        <f>'[2]Payroll 2024'!AD158</f>
        <v>15548.812744274808</v>
      </c>
      <c r="M39" s="58">
        <f>'[2]Payroll 2024'!AE158</f>
        <v>14842.048528625954</v>
      </c>
      <c r="N39" s="58">
        <f>'[2]Payroll 2024'!AF158</f>
        <v>16421.176959923665</v>
      </c>
      <c r="O39" s="58">
        <f>'[2]Payroll 2024'!AG158</f>
        <v>14993.248528625954</v>
      </c>
      <c r="P39" s="58">
        <f>'[2]Payroll 2024'!AH158</f>
        <v>15707.21274427481</v>
      </c>
      <c r="Q39" s="58">
        <f t="shared" si="19"/>
        <v>183655.70936488555</v>
      </c>
      <c r="R39" s="89">
        <f t="shared" si="2"/>
        <v>15304.642447073797</v>
      </c>
      <c r="S39" s="15"/>
      <c r="T39" s="62">
        <f t="shared" si="20"/>
        <v>7.593566006561131E-2</v>
      </c>
      <c r="U39" s="62">
        <f t="shared" si="9"/>
        <v>8.8003013001587735E-2</v>
      </c>
    </row>
    <row r="40" spans="1:21" x14ac:dyDescent="0.25">
      <c r="A40" s="25"/>
      <c r="B40" s="15" t="s">
        <v>55</v>
      </c>
      <c r="C40" s="56">
        <v>32443.415999999997</v>
      </c>
      <c r="D40" s="57">
        <f t="shared" si="18"/>
        <v>2703.6179999999999</v>
      </c>
      <c r="E40" s="58">
        <f>5.9%*SUM(E37:E39)</f>
        <v>4796.8117324885498</v>
      </c>
      <c r="F40" s="58">
        <f t="shared" ref="F40:P40" si="21">5.9%*SUM(F37:F39)</f>
        <v>4423.0389074221375</v>
      </c>
      <c r="G40" s="58">
        <f t="shared" si="21"/>
        <v>4445.5639274221376</v>
      </c>
      <c r="H40" s="58">
        <f t="shared" si="21"/>
        <v>4657.2574477755734</v>
      </c>
      <c r="I40" s="58">
        <f t="shared" si="21"/>
        <v>4868.9509681290074</v>
      </c>
      <c r="J40" s="58">
        <f t="shared" si="21"/>
        <v>4247.0970649908404</v>
      </c>
      <c r="K40" s="58">
        <f t="shared" si="21"/>
        <v>4892.1098451394655</v>
      </c>
      <c r="L40" s="58">
        <f t="shared" si="21"/>
        <v>4701.6005442899241</v>
      </c>
      <c r="M40" s="58">
        <f t="shared" si="21"/>
        <v>4499.0424286403813</v>
      </c>
      <c r="N40" s="58">
        <f t="shared" si="21"/>
        <v>4957.3223799394655</v>
      </c>
      <c r="O40" s="58">
        <f t="shared" si="21"/>
        <v>4526.2508686403817</v>
      </c>
      <c r="P40" s="58">
        <f t="shared" si="21"/>
        <v>4741.7866242899236</v>
      </c>
      <c r="Q40" s="58">
        <f t="shared" si="19"/>
        <v>55756.832739167789</v>
      </c>
      <c r="R40" s="89">
        <f t="shared" si="2"/>
        <v>4646.4027282639827</v>
      </c>
      <c r="S40" s="15"/>
      <c r="T40" s="62">
        <f t="shared" si="20"/>
        <v>2.3053636131750491E-2</v>
      </c>
      <c r="U40" s="62">
        <f t="shared" si="9"/>
        <v>0.71858699278669647</v>
      </c>
    </row>
    <row r="41" spans="1:21" x14ac:dyDescent="0.25">
      <c r="A41" s="25"/>
      <c r="B41" s="15" t="s">
        <v>56</v>
      </c>
      <c r="C41" s="56">
        <v>2666.88</v>
      </c>
      <c r="D41" s="57">
        <f t="shared" si="18"/>
        <v>222.24</v>
      </c>
      <c r="E41" s="58">
        <f>1%*SUM(E37:E39)</f>
        <v>813.01893770992365</v>
      </c>
      <c r="F41" s="58">
        <f t="shared" ref="F41:P41" si="22">1%*SUM(F37:F39)</f>
        <v>749.66761142748089</v>
      </c>
      <c r="G41" s="58">
        <f t="shared" si="22"/>
        <v>753.48541142748093</v>
      </c>
      <c r="H41" s="58">
        <f t="shared" si="22"/>
        <v>789.36566911450382</v>
      </c>
      <c r="I41" s="58">
        <f t="shared" si="22"/>
        <v>825.24592680152671</v>
      </c>
      <c r="J41" s="58">
        <f t="shared" si="22"/>
        <v>719.84696016793896</v>
      </c>
      <c r="K41" s="58">
        <f t="shared" si="22"/>
        <v>829.17116019312959</v>
      </c>
      <c r="L41" s="58">
        <f t="shared" si="22"/>
        <v>796.8814481847329</v>
      </c>
      <c r="M41" s="58">
        <f t="shared" si="22"/>
        <v>762.54956417633582</v>
      </c>
      <c r="N41" s="58">
        <f t="shared" si="22"/>
        <v>840.22413219312966</v>
      </c>
      <c r="O41" s="58">
        <f t="shared" si="22"/>
        <v>767.16116417633589</v>
      </c>
      <c r="P41" s="58">
        <f t="shared" si="22"/>
        <v>803.69264818473289</v>
      </c>
      <c r="Q41" s="58">
        <f t="shared" si="19"/>
        <v>9450.3106337572517</v>
      </c>
      <c r="R41" s="89">
        <f t="shared" si="2"/>
        <v>787.52588614643764</v>
      </c>
      <c r="S41" s="15"/>
      <c r="T41" s="62">
        <f t="shared" si="20"/>
        <v>3.9073959545339815E-3</v>
      </c>
      <c r="U41" s="62">
        <f t="shared" si="9"/>
        <v>2.5435830010188876</v>
      </c>
    </row>
    <row r="42" spans="1:21" x14ac:dyDescent="0.25">
      <c r="A42" s="25"/>
      <c r="B42" s="15" t="s">
        <v>57</v>
      </c>
      <c r="C42" s="56">
        <v>0</v>
      </c>
      <c r="D42" s="57">
        <f t="shared" si="18"/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f t="shared" si="19"/>
        <v>0</v>
      </c>
      <c r="R42" s="89">
        <f t="shared" si="2"/>
        <v>0</v>
      </c>
      <c r="S42" s="15"/>
      <c r="T42" s="62">
        <f t="shared" si="20"/>
        <v>0</v>
      </c>
      <c r="U42" s="62">
        <f>IFERROR((Q42-C43)/C43,0)</f>
        <v>-1</v>
      </c>
    </row>
    <row r="43" spans="1:21" x14ac:dyDescent="0.25">
      <c r="A43" s="25"/>
      <c r="B43" s="15" t="s">
        <v>58</v>
      </c>
      <c r="C43" s="56">
        <v>54997.38</v>
      </c>
      <c r="D43" s="57">
        <f t="shared" si="18"/>
        <v>4583.1149999999998</v>
      </c>
      <c r="E43" s="58">
        <f>0.0786*E37</f>
        <v>5141.1655463999996</v>
      </c>
      <c r="F43" s="58">
        <f t="shared" ref="F43:P45" si="23">0.0786*F37</f>
        <v>4751.8470178200005</v>
      </c>
      <c r="G43" s="58">
        <f t="shared" si="23"/>
        <v>4781.8549258200001</v>
      </c>
      <c r="H43" s="58">
        <f t="shared" si="23"/>
        <v>5009.5623032399999</v>
      </c>
      <c r="I43" s="58">
        <f t="shared" si="23"/>
        <v>5237.2696806599997</v>
      </c>
      <c r="J43" s="58">
        <f t="shared" si="23"/>
        <v>4556.3240767200004</v>
      </c>
      <c r="K43" s="58">
        <f t="shared" si="23"/>
        <v>5250.3613343879997</v>
      </c>
      <c r="L43" s="58">
        <f t="shared" si="23"/>
        <v>5041.3515010319998</v>
      </c>
      <c r="M43" s="58">
        <f t="shared" si="23"/>
        <v>4827.0545600759997</v>
      </c>
      <c r="N43" s="58">
        <f t="shared" si="23"/>
        <v>5313.4571699879998</v>
      </c>
      <c r="O43" s="58">
        <f t="shared" si="23"/>
        <v>4851.4174160760003</v>
      </c>
      <c r="P43" s="58">
        <f t="shared" si="23"/>
        <v>5082.4372930320005</v>
      </c>
      <c r="Q43" s="58">
        <f t="shared" si="19"/>
        <v>59844.102825251997</v>
      </c>
      <c r="R43" s="89">
        <f t="shared" si="2"/>
        <v>4987.0085687709998</v>
      </c>
      <c r="S43" s="15"/>
      <c r="T43" s="62">
        <f t="shared" si="20"/>
        <v>2.4743589321480047E-2</v>
      </c>
      <c r="U43" s="62">
        <f>IFERROR((Q43-C44)/C44,0)</f>
        <v>0</v>
      </c>
    </row>
    <row r="44" spans="1:21" x14ac:dyDescent="0.25">
      <c r="A44" s="25"/>
      <c r="B44" s="15" t="s">
        <v>59</v>
      </c>
      <c r="C44" s="56">
        <v>0</v>
      </c>
      <c r="D44" s="57">
        <f t="shared" si="18"/>
        <v>0</v>
      </c>
      <c r="E44" s="58">
        <f>0.0786*E38</f>
        <v>0</v>
      </c>
      <c r="F44" s="58">
        <f t="shared" si="23"/>
        <v>0</v>
      </c>
      <c r="G44" s="58">
        <f t="shared" si="23"/>
        <v>0</v>
      </c>
      <c r="H44" s="58">
        <f t="shared" si="23"/>
        <v>0</v>
      </c>
      <c r="I44" s="58">
        <f t="shared" si="23"/>
        <v>0</v>
      </c>
      <c r="J44" s="58">
        <f t="shared" si="23"/>
        <v>0</v>
      </c>
      <c r="K44" s="58">
        <f t="shared" si="23"/>
        <v>0</v>
      </c>
      <c r="L44" s="58">
        <f t="shared" si="23"/>
        <v>0</v>
      </c>
      <c r="M44" s="58">
        <f t="shared" si="23"/>
        <v>0</v>
      </c>
      <c r="N44" s="58">
        <f t="shared" si="23"/>
        <v>0</v>
      </c>
      <c r="O44" s="58">
        <f t="shared" si="23"/>
        <v>0</v>
      </c>
      <c r="P44" s="58">
        <f t="shared" si="23"/>
        <v>0</v>
      </c>
      <c r="Q44" s="58">
        <f t="shared" ref="Q44:Q46" si="24">SUM(E44:P44)</f>
        <v>0</v>
      </c>
      <c r="R44" s="89">
        <f t="shared" si="2"/>
        <v>0</v>
      </c>
      <c r="S44" s="15"/>
      <c r="T44" s="62">
        <f t="shared" si="20"/>
        <v>0</v>
      </c>
      <c r="U44" s="62">
        <f>IFERROR((Q44-C45)/C45,0)</f>
        <v>-1</v>
      </c>
    </row>
    <row r="45" spans="1:21" x14ac:dyDescent="0.25">
      <c r="A45" s="25"/>
      <c r="B45" s="15" t="s">
        <v>60</v>
      </c>
      <c r="C45" s="56">
        <v>12737.795999999998</v>
      </c>
      <c r="D45" s="57">
        <f t="shared" si="18"/>
        <v>1061.4829999999999</v>
      </c>
      <c r="E45" s="58">
        <f>0.0786*E39</f>
        <v>1249.1633040000002</v>
      </c>
      <c r="F45" s="58">
        <f t="shared" si="23"/>
        <v>1140.5404080000001</v>
      </c>
      <c r="G45" s="58">
        <f t="shared" si="23"/>
        <v>1140.5404080000001</v>
      </c>
      <c r="H45" s="58">
        <f t="shared" si="23"/>
        <v>1194.851856</v>
      </c>
      <c r="I45" s="58">
        <f t="shared" si="23"/>
        <v>1249.1633040000002</v>
      </c>
      <c r="J45" s="58">
        <f t="shared" si="23"/>
        <v>1101.6730302000001</v>
      </c>
      <c r="K45" s="58">
        <f t="shared" si="23"/>
        <v>1266.92398473</v>
      </c>
      <c r="L45" s="58">
        <f t="shared" si="23"/>
        <v>1222.1366817000001</v>
      </c>
      <c r="M45" s="58">
        <f t="shared" si="23"/>
        <v>1166.5850143499999</v>
      </c>
      <c r="N45" s="58">
        <f t="shared" si="23"/>
        <v>1290.7045090500001</v>
      </c>
      <c r="O45" s="58">
        <f t="shared" si="23"/>
        <v>1178.4693343500001</v>
      </c>
      <c r="P45" s="58">
        <f t="shared" si="23"/>
        <v>1234.5869217000002</v>
      </c>
      <c r="Q45" s="58">
        <f t="shared" si="24"/>
        <v>14435.338756079998</v>
      </c>
      <c r="R45" s="89">
        <f t="shared" si="2"/>
        <v>1202.9448963399998</v>
      </c>
      <c r="S45" s="15"/>
      <c r="T45" s="62">
        <f t="shared" si="20"/>
        <v>5.9685428811570469E-3</v>
      </c>
      <c r="U45" s="62">
        <f>IFERROR((Q45-C46)/C46,0)</f>
        <v>0</v>
      </c>
    </row>
    <row r="46" spans="1:21" x14ac:dyDescent="0.25">
      <c r="A46" s="25"/>
      <c r="B46" s="15" t="s">
        <v>61</v>
      </c>
      <c r="C46" s="56">
        <v>0</v>
      </c>
      <c r="D46" s="57">
        <f t="shared" si="18"/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f t="shared" si="24"/>
        <v>0</v>
      </c>
      <c r="R46" s="89">
        <f t="shared" si="2"/>
        <v>0</v>
      </c>
      <c r="S46" s="15"/>
      <c r="T46" s="62">
        <f t="shared" si="20"/>
        <v>0</v>
      </c>
      <c r="U46" s="62">
        <f>IFERROR((Q46-C47)/C47,0)</f>
        <v>-1</v>
      </c>
    </row>
    <row r="47" spans="1:21" x14ac:dyDescent="0.25">
      <c r="A47" s="25"/>
      <c r="B47" s="15" t="s">
        <v>62</v>
      </c>
      <c r="C47" s="56">
        <v>6210</v>
      </c>
      <c r="D47" s="57">
        <f t="shared" si="18"/>
        <v>517.5</v>
      </c>
      <c r="E47" s="58">
        <f>0.8%*SUM(E37:E39)</f>
        <v>650.41515016793892</v>
      </c>
      <c r="F47" s="58">
        <f t="shared" ref="F47:P47" si="25">0.8%*SUM(F37:F39)</f>
        <v>599.73408914198467</v>
      </c>
      <c r="G47" s="58">
        <f t="shared" si="25"/>
        <v>602.78832914198472</v>
      </c>
      <c r="H47" s="58">
        <f t="shared" si="25"/>
        <v>631.49253529160308</v>
      </c>
      <c r="I47" s="58">
        <f t="shared" si="25"/>
        <v>660.19674144122132</v>
      </c>
      <c r="J47" s="58">
        <f t="shared" si="25"/>
        <v>575.87756813435124</v>
      </c>
      <c r="K47" s="58">
        <f t="shared" si="25"/>
        <v>663.33692815450365</v>
      </c>
      <c r="L47" s="58">
        <f t="shared" si="25"/>
        <v>637.50515854778632</v>
      </c>
      <c r="M47" s="58">
        <f t="shared" si="25"/>
        <v>610.03965134106863</v>
      </c>
      <c r="N47" s="58">
        <f t="shared" si="25"/>
        <v>672.17930575450373</v>
      </c>
      <c r="O47" s="58">
        <f t="shared" si="25"/>
        <v>613.72893134106869</v>
      </c>
      <c r="P47" s="58">
        <f t="shared" si="25"/>
        <v>642.95411854778627</v>
      </c>
      <c r="Q47" s="58">
        <f t="shared" si="19"/>
        <v>7560.2485070058019</v>
      </c>
      <c r="R47" s="89">
        <f t="shared" si="2"/>
        <v>630.02070891715016</v>
      </c>
      <c r="S47" s="15"/>
      <c r="T47" s="62">
        <f t="shared" si="20"/>
        <v>3.1259167636271856E-3</v>
      </c>
      <c r="U47" s="62">
        <f>IFERROR((Q47-#REF!)/#REF!,0)</f>
        <v>0</v>
      </c>
    </row>
    <row r="48" spans="1:21" x14ac:dyDescent="0.25">
      <c r="A48" s="63" t="s">
        <v>63</v>
      </c>
      <c r="B48" t="s">
        <v>48</v>
      </c>
      <c r="C48" s="91">
        <f>SUM(C37:C47)</f>
        <v>971685.32400000014</v>
      </c>
      <c r="D48" s="92">
        <f t="shared" ref="D48:Q48" si="26">SUM(D37:D47)</f>
        <v>80973.777000000016</v>
      </c>
      <c r="E48" s="93">
        <f t="shared" si="26"/>
        <v>93952.468441758785</v>
      </c>
      <c r="F48" s="93">
        <f t="shared" si="26"/>
        <v>86631.58917655969</v>
      </c>
      <c r="G48" s="93">
        <f t="shared" si="26"/>
        <v>87072.774144559677</v>
      </c>
      <c r="H48" s="93">
        <f t="shared" si="26"/>
        <v>91219.096722872055</v>
      </c>
      <c r="I48" s="93">
        <f t="shared" si="26"/>
        <v>95365.419301184418</v>
      </c>
      <c r="J48" s="93">
        <f t="shared" si="26"/>
        <v>83185.514717007041</v>
      </c>
      <c r="K48" s="93">
        <f t="shared" si="26"/>
        <v>95819.019271918063</v>
      </c>
      <c r="L48" s="93">
        <f t="shared" si="26"/>
        <v>92087.620152227726</v>
      </c>
      <c r="M48" s="93">
        <f t="shared" si="26"/>
        <v>88120.227636217372</v>
      </c>
      <c r="N48" s="93">
        <f t="shared" si="26"/>
        <v>97096.300716238067</v>
      </c>
      <c r="O48" s="93">
        <f t="shared" si="26"/>
        <v>88653.144132217378</v>
      </c>
      <c r="P48" s="93">
        <f t="shared" si="26"/>
        <v>92874.722424227715</v>
      </c>
      <c r="Q48" s="93">
        <f t="shared" si="26"/>
        <v>1092077.8968369882</v>
      </c>
      <c r="R48" s="94">
        <f t="shared" si="2"/>
        <v>91006.491403082327</v>
      </c>
      <c r="T48" s="96">
        <f t="shared" si="20"/>
        <v>0.45153867650594698</v>
      </c>
      <c r="U48" s="96">
        <f t="shared" si="9"/>
        <v>0.12390078337437975</v>
      </c>
    </row>
    <row r="49" spans="1:23" x14ac:dyDescent="0.25">
      <c r="A49" s="15" t="s">
        <v>64</v>
      </c>
      <c r="B49" t="s">
        <v>48</v>
      </c>
      <c r="C49" s="97"/>
      <c r="D49" s="98"/>
      <c r="E49" s="99"/>
      <c r="F49" s="100"/>
      <c r="G49" s="100"/>
      <c r="H49" s="100"/>
      <c r="I49" s="100"/>
      <c r="J49" s="100"/>
      <c r="K49" s="100"/>
      <c r="L49" s="100"/>
      <c r="M49" s="100"/>
      <c r="N49" s="100"/>
      <c r="O49" s="99"/>
      <c r="P49" s="99"/>
      <c r="Q49" s="101" t="s">
        <v>1</v>
      </c>
      <c r="R49" s="102"/>
      <c r="T49" s="55"/>
      <c r="U49" s="55"/>
    </row>
    <row r="50" spans="1:23" x14ac:dyDescent="0.25">
      <c r="A50" s="25"/>
      <c r="B50" s="15" t="s">
        <v>65</v>
      </c>
      <c r="C50" s="56">
        <v>720.39599999999996</v>
      </c>
      <c r="D50" s="57">
        <f t="shared" ref="D50:D61" si="27">C50/12</f>
        <v>60.032999999999994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f t="shared" ref="Q50:Q61" si="28">SUM(E50:P50)</f>
        <v>0</v>
      </c>
      <c r="R50" s="89">
        <f t="shared" si="2"/>
        <v>0</v>
      </c>
      <c r="S50" s="15"/>
      <c r="T50" s="62">
        <f t="shared" si="20"/>
        <v>0</v>
      </c>
      <c r="U50" s="62">
        <f t="shared" si="9"/>
        <v>-1</v>
      </c>
    </row>
    <row r="51" spans="1:23" x14ac:dyDescent="0.25">
      <c r="A51" s="25"/>
      <c r="B51" s="15" t="s">
        <v>66</v>
      </c>
      <c r="C51" s="56">
        <v>8422.1160000000018</v>
      </c>
      <c r="D51" s="57">
        <f t="shared" si="27"/>
        <v>701.84300000000019</v>
      </c>
      <c r="E51" s="58">
        <v>765</v>
      </c>
      <c r="F51" s="58">
        <v>765</v>
      </c>
      <c r="G51" s="58">
        <v>765</v>
      </c>
      <c r="H51" s="58">
        <v>765</v>
      </c>
      <c r="I51" s="58">
        <v>765</v>
      </c>
      <c r="J51" s="58">
        <v>765</v>
      </c>
      <c r="K51" s="58">
        <v>765</v>
      </c>
      <c r="L51" s="58">
        <v>765</v>
      </c>
      <c r="M51" s="58">
        <v>765</v>
      </c>
      <c r="N51" s="58">
        <v>765</v>
      </c>
      <c r="O51" s="58">
        <v>765</v>
      </c>
      <c r="P51" s="58">
        <v>765</v>
      </c>
      <c r="Q51" s="58">
        <f t="shared" si="28"/>
        <v>9180</v>
      </c>
      <c r="R51" s="89">
        <f t="shared" si="2"/>
        <v>765</v>
      </c>
      <c r="S51" s="15"/>
      <c r="T51" s="62">
        <f t="shared" si="20"/>
        <v>3.7956313027946264E-3</v>
      </c>
      <c r="U51" s="62">
        <f t="shared" si="9"/>
        <v>8.9987361845882671E-2</v>
      </c>
      <c r="W51" t="s">
        <v>1</v>
      </c>
    </row>
    <row r="52" spans="1:23" x14ac:dyDescent="0.25">
      <c r="A52" s="25"/>
      <c r="B52" s="15" t="s">
        <v>67</v>
      </c>
      <c r="C52" s="56">
        <v>0</v>
      </c>
      <c r="D52" s="57">
        <f t="shared" si="27"/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f t="shared" si="28"/>
        <v>0</v>
      </c>
      <c r="R52" s="89">
        <f t="shared" si="2"/>
        <v>0</v>
      </c>
      <c r="S52" s="15"/>
      <c r="T52" s="62">
        <f t="shared" si="20"/>
        <v>0</v>
      </c>
      <c r="U52" s="62">
        <f t="shared" si="9"/>
        <v>0</v>
      </c>
    </row>
    <row r="53" spans="1:23" x14ac:dyDescent="0.25">
      <c r="A53" s="25"/>
      <c r="B53" s="15" t="s">
        <v>68</v>
      </c>
      <c r="C53" s="56">
        <v>2491.4759999999997</v>
      </c>
      <c r="D53" s="57">
        <f t="shared" si="27"/>
        <v>207.62299999999996</v>
      </c>
      <c r="E53" s="58">
        <v>260</v>
      </c>
      <c r="F53" s="58">
        <v>260</v>
      </c>
      <c r="G53" s="58">
        <v>260</v>
      </c>
      <c r="H53" s="58">
        <v>260</v>
      </c>
      <c r="I53" s="58">
        <v>260</v>
      </c>
      <c r="J53" s="58">
        <v>260</v>
      </c>
      <c r="K53" s="58">
        <v>260</v>
      </c>
      <c r="L53" s="58">
        <v>260</v>
      </c>
      <c r="M53" s="58">
        <v>260</v>
      </c>
      <c r="N53" s="58">
        <v>260</v>
      </c>
      <c r="O53" s="58">
        <v>260</v>
      </c>
      <c r="P53" s="58">
        <v>260</v>
      </c>
      <c r="Q53" s="58">
        <f t="shared" si="28"/>
        <v>3120</v>
      </c>
      <c r="R53" s="89">
        <f t="shared" si="2"/>
        <v>260</v>
      </c>
      <c r="S53" s="15"/>
      <c r="T53" s="62">
        <f t="shared" si="20"/>
        <v>1.2900184819955593E-3</v>
      </c>
      <c r="U53" s="62">
        <f t="shared" si="9"/>
        <v>0.25226973890175963</v>
      </c>
    </row>
    <row r="54" spans="1:23" x14ac:dyDescent="0.25">
      <c r="A54" s="25"/>
      <c r="B54" s="15" t="s">
        <v>69</v>
      </c>
      <c r="C54" s="56">
        <v>33406.979999999996</v>
      </c>
      <c r="D54" s="57">
        <f t="shared" si="27"/>
        <v>2783.9149999999995</v>
      </c>
      <c r="E54" s="58">
        <v>5000</v>
      </c>
      <c r="F54" s="58">
        <v>5000</v>
      </c>
      <c r="G54" s="58">
        <v>5000</v>
      </c>
      <c r="H54" s="58">
        <v>5000</v>
      </c>
      <c r="I54" s="58">
        <v>5000</v>
      </c>
      <c r="J54" s="58">
        <v>5000</v>
      </c>
      <c r="K54" s="58">
        <v>5000</v>
      </c>
      <c r="L54" s="58">
        <v>6500</v>
      </c>
      <c r="M54" s="58">
        <v>6500</v>
      </c>
      <c r="N54" s="58">
        <v>6500</v>
      </c>
      <c r="O54" s="58">
        <v>6500</v>
      </c>
      <c r="P54" s="58">
        <v>6500</v>
      </c>
      <c r="Q54" s="58">
        <f t="shared" si="28"/>
        <v>67500</v>
      </c>
      <c r="R54" s="89">
        <f t="shared" si="2"/>
        <v>5625</v>
      </c>
      <c r="S54" s="15"/>
      <c r="T54" s="62">
        <f t="shared" si="20"/>
        <v>2.7909053697019313E-2</v>
      </c>
      <c r="U54" s="62">
        <f t="shared" si="9"/>
        <v>1.0205358281413048</v>
      </c>
    </row>
    <row r="55" spans="1:23" x14ac:dyDescent="0.25">
      <c r="A55" s="25"/>
      <c r="B55" s="15" t="s">
        <v>70</v>
      </c>
      <c r="C55" s="56">
        <v>11140.991999999998</v>
      </c>
      <c r="D55" s="57">
        <f t="shared" si="27"/>
        <v>928.41599999999983</v>
      </c>
      <c r="E55" s="58">
        <v>1000</v>
      </c>
      <c r="F55" s="58">
        <v>1000</v>
      </c>
      <c r="G55" s="58">
        <v>1000</v>
      </c>
      <c r="H55" s="58">
        <v>1000</v>
      </c>
      <c r="I55" s="58">
        <v>1000</v>
      </c>
      <c r="J55" s="58">
        <v>1000</v>
      </c>
      <c r="K55" s="58">
        <v>1000</v>
      </c>
      <c r="L55" s="58">
        <v>1000</v>
      </c>
      <c r="M55" s="58">
        <v>1000</v>
      </c>
      <c r="N55" s="58">
        <v>1000</v>
      </c>
      <c r="O55" s="58">
        <v>1000</v>
      </c>
      <c r="P55" s="58">
        <v>1000</v>
      </c>
      <c r="Q55" s="58">
        <f t="shared" si="28"/>
        <v>12000</v>
      </c>
      <c r="R55" s="89">
        <f t="shared" si="2"/>
        <v>1000</v>
      </c>
      <c r="S55" s="15"/>
      <c r="T55" s="62">
        <f t="shared" si="20"/>
        <v>4.9616095461367665E-3</v>
      </c>
      <c r="U55" s="62">
        <f t="shared" si="9"/>
        <v>7.7103367455968172E-2</v>
      </c>
    </row>
    <row r="56" spans="1:23" x14ac:dyDescent="0.25">
      <c r="A56" s="25"/>
      <c r="B56" s="15" t="s">
        <v>71</v>
      </c>
      <c r="C56" s="56">
        <v>2664</v>
      </c>
      <c r="D56" s="57">
        <f t="shared" si="27"/>
        <v>222</v>
      </c>
      <c r="E56" s="58">
        <v>300</v>
      </c>
      <c r="F56" s="58">
        <v>300</v>
      </c>
      <c r="G56" s="58">
        <v>300</v>
      </c>
      <c r="H56" s="58">
        <v>300</v>
      </c>
      <c r="I56" s="58">
        <v>300</v>
      </c>
      <c r="J56" s="58">
        <v>300</v>
      </c>
      <c r="K56" s="58">
        <v>300</v>
      </c>
      <c r="L56" s="58">
        <v>300</v>
      </c>
      <c r="M56" s="58">
        <v>300</v>
      </c>
      <c r="N56" s="58">
        <v>300</v>
      </c>
      <c r="O56" s="58">
        <v>300</v>
      </c>
      <c r="P56" s="58">
        <v>300</v>
      </c>
      <c r="Q56" s="58">
        <f t="shared" ref="Q56:Q57" si="29">SUM(E56:P56)</f>
        <v>3600</v>
      </c>
      <c r="R56" s="89">
        <f t="shared" si="2"/>
        <v>300</v>
      </c>
      <c r="S56" s="15"/>
      <c r="T56" s="62">
        <f t="shared" si="20"/>
        <v>1.4884828638410301E-3</v>
      </c>
      <c r="U56" s="62">
        <f t="shared" si="9"/>
        <v>0.35135135135135137</v>
      </c>
    </row>
    <row r="57" spans="1:23" x14ac:dyDescent="0.25">
      <c r="A57" s="25"/>
      <c r="B57" s="15" t="s">
        <v>72</v>
      </c>
      <c r="C57" s="56">
        <v>7625.14</v>
      </c>
      <c r="D57" s="57">
        <f t="shared" si="27"/>
        <v>635.4283333333334</v>
      </c>
      <c r="E57" s="58">
        <v>650</v>
      </c>
      <c r="F57" s="58">
        <v>650</v>
      </c>
      <c r="G57" s="58">
        <v>650</v>
      </c>
      <c r="H57" s="58">
        <v>650</v>
      </c>
      <c r="I57" s="58">
        <v>650</v>
      </c>
      <c r="J57" s="58">
        <v>650</v>
      </c>
      <c r="K57" s="58">
        <v>650</v>
      </c>
      <c r="L57" s="58">
        <v>650</v>
      </c>
      <c r="M57" s="58">
        <v>650</v>
      </c>
      <c r="N57" s="58">
        <v>650</v>
      </c>
      <c r="O57" s="58">
        <v>650</v>
      </c>
      <c r="P57" s="58">
        <v>650</v>
      </c>
      <c r="Q57" s="58">
        <f t="shared" si="29"/>
        <v>7800</v>
      </c>
      <c r="R57" s="89">
        <f t="shared" si="2"/>
        <v>650</v>
      </c>
      <c r="S57" s="15"/>
      <c r="T57" s="62">
        <f t="shared" si="20"/>
        <v>3.2250462049888983E-3</v>
      </c>
      <c r="U57" s="62">
        <f t="shared" si="9"/>
        <v>2.2932037969138883E-2</v>
      </c>
    </row>
    <row r="58" spans="1:23" x14ac:dyDescent="0.25">
      <c r="A58" s="25"/>
      <c r="B58" s="15" t="s">
        <v>73</v>
      </c>
      <c r="C58" s="56">
        <v>5386.9439999999995</v>
      </c>
      <c r="D58" s="57">
        <f t="shared" si="27"/>
        <v>448.91199999999998</v>
      </c>
      <c r="E58" s="58">
        <v>1100</v>
      </c>
      <c r="F58" s="58">
        <v>1100</v>
      </c>
      <c r="G58" s="58">
        <v>1100</v>
      </c>
      <c r="H58" s="58">
        <v>1100</v>
      </c>
      <c r="I58" s="58">
        <v>1100</v>
      </c>
      <c r="J58" s="58">
        <v>1100</v>
      </c>
      <c r="K58" s="58">
        <v>1100</v>
      </c>
      <c r="L58" s="58">
        <v>1100</v>
      </c>
      <c r="M58" s="58">
        <v>1100</v>
      </c>
      <c r="N58" s="58">
        <v>1100</v>
      </c>
      <c r="O58" s="58">
        <v>1100</v>
      </c>
      <c r="P58" s="58">
        <v>1100</v>
      </c>
      <c r="Q58" s="58">
        <f t="shared" si="28"/>
        <v>13200</v>
      </c>
      <c r="R58" s="89">
        <f t="shared" si="2"/>
        <v>1100</v>
      </c>
      <c r="S58" s="15"/>
      <c r="T58" s="62">
        <f t="shared" si="20"/>
        <v>5.4577705007504435E-3</v>
      </c>
      <c r="U58" s="62">
        <f t="shared" si="9"/>
        <v>1.450368891898635</v>
      </c>
    </row>
    <row r="59" spans="1:23" x14ac:dyDescent="0.25">
      <c r="A59" s="25"/>
      <c r="B59" s="15" t="s">
        <v>74</v>
      </c>
      <c r="C59" s="56">
        <v>228000</v>
      </c>
      <c r="D59" s="57">
        <f t="shared" si="27"/>
        <v>19000</v>
      </c>
      <c r="E59" s="58">
        <v>19000</v>
      </c>
      <c r="F59" s="58">
        <v>19000</v>
      </c>
      <c r="G59" s="58">
        <v>19000</v>
      </c>
      <c r="H59" s="58">
        <v>19000</v>
      </c>
      <c r="I59" s="58">
        <v>19000</v>
      </c>
      <c r="J59" s="58">
        <v>19000</v>
      </c>
      <c r="K59" s="58">
        <v>19000</v>
      </c>
      <c r="L59" s="58">
        <v>19000</v>
      </c>
      <c r="M59" s="58">
        <v>19000</v>
      </c>
      <c r="N59" s="58">
        <v>19000</v>
      </c>
      <c r="O59" s="58">
        <v>19000</v>
      </c>
      <c r="P59" s="58">
        <v>19000</v>
      </c>
      <c r="Q59" s="58">
        <f t="shared" si="28"/>
        <v>228000</v>
      </c>
      <c r="R59" s="89">
        <f t="shared" si="2"/>
        <v>19000</v>
      </c>
      <c r="S59" s="15"/>
      <c r="T59" s="62">
        <f t="shared" si="20"/>
        <v>9.4270581376598564E-2</v>
      </c>
      <c r="U59" s="62">
        <f t="shared" si="9"/>
        <v>0</v>
      </c>
    </row>
    <row r="60" spans="1:23" x14ac:dyDescent="0.25">
      <c r="A60" s="25"/>
      <c r="B60" s="15" t="s">
        <v>75</v>
      </c>
      <c r="C60" s="56">
        <v>34670.28</v>
      </c>
      <c r="D60" s="57">
        <f t="shared" si="27"/>
        <v>2889.19</v>
      </c>
      <c r="E60" s="58">
        <v>3000</v>
      </c>
      <c r="F60" s="58">
        <v>3000</v>
      </c>
      <c r="G60" s="58">
        <v>3000</v>
      </c>
      <c r="H60" s="58">
        <v>3000</v>
      </c>
      <c r="I60" s="58">
        <v>3000</v>
      </c>
      <c r="J60" s="58">
        <v>3000</v>
      </c>
      <c r="K60" s="58">
        <v>3000</v>
      </c>
      <c r="L60" s="58">
        <v>3000</v>
      </c>
      <c r="M60" s="58">
        <v>3000</v>
      </c>
      <c r="N60" s="58">
        <v>3000</v>
      </c>
      <c r="O60" s="58">
        <v>3000</v>
      </c>
      <c r="P60" s="58">
        <v>3000</v>
      </c>
      <c r="Q60" s="58">
        <f t="shared" si="28"/>
        <v>36000</v>
      </c>
      <c r="R60" s="89">
        <f t="shared" si="2"/>
        <v>3000</v>
      </c>
      <c r="S60" s="15"/>
      <c r="T60" s="62">
        <f t="shared" si="20"/>
        <v>1.48848286384103E-2</v>
      </c>
      <c r="U60" s="62">
        <f t="shared" si="9"/>
        <v>3.8353310097293737E-2</v>
      </c>
    </row>
    <row r="61" spans="1:23" x14ac:dyDescent="0.25">
      <c r="A61" s="25"/>
      <c r="B61" s="15" t="s">
        <v>76</v>
      </c>
      <c r="C61" s="56">
        <v>118.16399999999999</v>
      </c>
      <c r="D61" s="57">
        <f t="shared" si="27"/>
        <v>9.8469999999999995</v>
      </c>
      <c r="E61" s="58">
        <v>300</v>
      </c>
      <c r="F61" s="58">
        <v>300</v>
      </c>
      <c r="G61" s="58">
        <v>300</v>
      </c>
      <c r="H61" s="58">
        <v>300</v>
      </c>
      <c r="I61" s="58">
        <v>300</v>
      </c>
      <c r="J61" s="58">
        <v>300</v>
      </c>
      <c r="K61" s="58">
        <v>300</v>
      </c>
      <c r="L61" s="58">
        <v>300</v>
      </c>
      <c r="M61" s="58">
        <v>300</v>
      </c>
      <c r="N61" s="58">
        <v>300</v>
      </c>
      <c r="O61" s="58">
        <v>300</v>
      </c>
      <c r="P61" s="58">
        <v>300</v>
      </c>
      <c r="Q61" s="58">
        <f t="shared" si="28"/>
        <v>3600</v>
      </c>
      <c r="R61" s="89">
        <f t="shared" si="2"/>
        <v>300</v>
      </c>
      <c r="S61" s="15"/>
      <c r="T61" s="62">
        <f t="shared" si="20"/>
        <v>1.4884828638410301E-3</v>
      </c>
      <c r="U61" s="62">
        <f t="shared" si="9"/>
        <v>29.466131816796999</v>
      </c>
    </row>
    <row r="62" spans="1:23" x14ac:dyDescent="0.25">
      <c r="A62" s="63" t="s">
        <v>77</v>
      </c>
      <c r="B62" s="15" t="s">
        <v>48</v>
      </c>
      <c r="C62" s="91">
        <f t="shared" ref="C62:D62" si="30">SUM(C50:C61)</f>
        <v>334646.48800000001</v>
      </c>
      <c r="D62" s="92">
        <f t="shared" si="30"/>
        <v>27887.207333333336</v>
      </c>
      <c r="E62" s="93">
        <f>SUM(E50:E61)</f>
        <v>31375</v>
      </c>
      <c r="F62" s="93">
        <f t="shared" ref="F62:Q62" si="31">SUM(F50:F61)</f>
        <v>31375</v>
      </c>
      <c r="G62" s="93">
        <f t="shared" si="31"/>
        <v>31375</v>
      </c>
      <c r="H62" s="93">
        <f t="shared" si="31"/>
        <v>31375</v>
      </c>
      <c r="I62" s="93">
        <f t="shared" si="31"/>
        <v>31375</v>
      </c>
      <c r="J62" s="93">
        <f t="shared" si="31"/>
        <v>31375</v>
      </c>
      <c r="K62" s="93">
        <f t="shared" si="31"/>
        <v>31375</v>
      </c>
      <c r="L62" s="93">
        <f t="shared" si="31"/>
        <v>32875</v>
      </c>
      <c r="M62" s="93">
        <f t="shared" si="31"/>
        <v>32875</v>
      </c>
      <c r="N62" s="93">
        <f t="shared" si="31"/>
        <v>32875</v>
      </c>
      <c r="O62" s="93">
        <f t="shared" si="31"/>
        <v>32875</v>
      </c>
      <c r="P62" s="93">
        <f t="shared" si="31"/>
        <v>32875</v>
      </c>
      <c r="Q62" s="93">
        <f t="shared" si="31"/>
        <v>384000</v>
      </c>
      <c r="R62" s="94">
        <f t="shared" si="2"/>
        <v>32000</v>
      </c>
      <c r="T62" s="96">
        <f t="shared" si="20"/>
        <v>0.15877150547637653</v>
      </c>
      <c r="U62" s="96">
        <f t="shared" si="9"/>
        <v>0.14747954563921789</v>
      </c>
    </row>
    <row r="63" spans="1:23" x14ac:dyDescent="0.25">
      <c r="A63" s="15" t="s">
        <v>78</v>
      </c>
      <c r="B63" s="15" t="s">
        <v>48</v>
      </c>
      <c r="C63" s="103">
        <v>0</v>
      </c>
      <c r="D63" s="104"/>
      <c r="E63" s="105"/>
      <c r="F63" s="105"/>
      <c r="G63" s="105"/>
      <c r="H63" s="105"/>
      <c r="I63" s="105"/>
      <c r="J63" s="105"/>
      <c r="K63" s="105"/>
      <c r="L63" s="99"/>
      <c r="M63" s="99"/>
      <c r="N63" s="99"/>
      <c r="O63" s="105"/>
      <c r="P63" s="105"/>
      <c r="Q63" s="105"/>
      <c r="R63" s="106"/>
      <c r="T63" s="107"/>
      <c r="U63" s="107"/>
    </row>
    <row r="64" spans="1:23" x14ac:dyDescent="0.25">
      <c r="A64" s="25"/>
      <c r="B64" s="15" t="s">
        <v>79</v>
      </c>
      <c r="C64" s="56">
        <v>10344.299999999999</v>
      </c>
      <c r="D64" s="57">
        <f t="shared" ref="D64:D72" si="32">C64/12</f>
        <v>862.02499999999998</v>
      </c>
      <c r="E64" s="58">
        <v>875</v>
      </c>
      <c r="F64" s="58">
        <v>875</v>
      </c>
      <c r="G64" s="58">
        <v>875</v>
      </c>
      <c r="H64" s="58">
        <v>875</v>
      </c>
      <c r="I64" s="58">
        <v>875</v>
      </c>
      <c r="J64" s="58">
        <v>875</v>
      </c>
      <c r="K64" s="58">
        <v>875</v>
      </c>
      <c r="L64" s="58">
        <v>875</v>
      </c>
      <c r="M64" s="58">
        <v>875</v>
      </c>
      <c r="N64" s="58">
        <v>875</v>
      </c>
      <c r="O64" s="58">
        <v>875</v>
      </c>
      <c r="P64" s="58">
        <v>875</v>
      </c>
      <c r="Q64" s="58">
        <f>SUM(E64:P64)</f>
        <v>10500</v>
      </c>
      <c r="R64" s="89">
        <f t="shared" si="2"/>
        <v>875</v>
      </c>
      <c r="S64" s="15"/>
      <c r="T64" s="62">
        <f t="shared" si="20"/>
        <v>4.3414083528696707E-3</v>
      </c>
      <c r="U64" s="62">
        <f t="shared" si="9"/>
        <v>1.5051767640149719E-2</v>
      </c>
    </row>
    <row r="65" spans="1:21" x14ac:dyDescent="0.25">
      <c r="A65" s="25"/>
      <c r="B65" s="15" t="s">
        <v>80</v>
      </c>
      <c r="C65" s="56">
        <v>2016.1920000000002</v>
      </c>
      <c r="D65" s="57">
        <f t="shared" si="32"/>
        <v>168.01600000000002</v>
      </c>
      <c r="E65" s="58">
        <v>200</v>
      </c>
      <c r="F65" s="58">
        <v>200</v>
      </c>
      <c r="G65" s="58">
        <v>200</v>
      </c>
      <c r="H65" s="58">
        <v>200</v>
      </c>
      <c r="I65" s="58">
        <v>200</v>
      </c>
      <c r="J65" s="58">
        <v>200</v>
      </c>
      <c r="K65" s="58">
        <v>200</v>
      </c>
      <c r="L65" s="58">
        <v>200</v>
      </c>
      <c r="M65" s="58">
        <v>200</v>
      </c>
      <c r="N65" s="58">
        <v>200</v>
      </c>
      <c r="O65" s="58">
        <v>200</v>
      </c>
      <c r="P65" s="58">
        <v>200</v>
      </c>
      <c r="Q65" s="58">
        <f>SUM(E65:P65)</f>
        <v>2400</v>
      </c>
      <c r="R65" s="89">
        <f t="shared" si="2"/>
        <v>200</v>
      </c>
      <c r="S65" s="15"/>
      <c r="T65" s="62">
        <f t="shared" si="20"/>
        <v>9.9232190922735335E-4</v>
      </c>
      <c r="U65" s="62">
        <f t="shared" si="9"/>
        <v>0.19036282258832479</v>
      </c>
    </row>
    <row r="66" spans="1:21" x14ac:dyDescent="0.25">
      <c r="A66" s="25"/>
      <c r="B66" s="15" t="s">
        <v>81</v>
      </c>
      <c r="C66" s="56">
        <v>4718.232</v>
      </c>
      <c r="D66" s="57">
        <f t="shared" si="32"/>
        <v>393.18599999999998</v>
      </c>
      <c r="E66" s="58">
        <v>550</v>
      </c>
      <c r="F66" s="58">
        <v>550</v>
      </c>
      <c r="G66" s="58">
        <v>550</v>
      </c>
      <c r="H66" s="58">
        <v>550</v>
      </c>
      <c r="I66" s="58">
        <v>550</v>
      </c>
      <c r="J66" s="58">
        <v>550</v>
      </c>
      <c r="K66" s="58">
        <v>550</v>
      </c>
      <c r="L66" s="58">
        <v>550</v>
      </c>
      <c r="M66" s="58">
        <v>550</v>
      </c>
      <c r="N66" s="58">
        <v>550</v>
      </c>
      <c r="O66" s="58">
        <v>550</v>
      </c>
      <c r="P66" s="58">
        <v>550</v>
      </c>
      <c r="Q66" s="58">
        <f>SUM(E66:P66)</f>
        <v>6600</v>
      </c>
      <c r="R66" s="89">
        <f t="shared" si="2"/>
        <v>550</v>
      </c>
      <c r="S66" s="15"/>
      <c r="T66" s="62">
        <f t="shared" si="20"/>
        <v>2.7288852503752218E-3</v>
      </c>
      <c r="U66" s="62">
        <f t="shared" si="9"/>
        <v>0.39882905291643139</v>
      </c>
    </row>
    <row r="67" spans="1:21" x14ac:dyDescent="0.25">
      <c r="A67" s="25"/>
      <c r="B67" s="15" t="s">
        <v>82</v>
      </c>
      <c r="C67" s="56">
        <v>2040.1559999999999</v>
      </c>
      <c r="D67" s="57">
        <f t="shared" si="32"/>
        <v>170.01300000000001</v>
      </c>
      <c r="E67" s="58">
        <v>200</v>
      </c>
      <c r="F67" s="58">
        <v>200</v>
      </c>
      <c r="G67" s="58">
        <v>200</v>
      </c>
      <c r="H67" s="58">
        <v>200</v>
      </c>
      <c r="I67" s="58">
        <v>200</v>
      </c>
      <c r="J67" s="58">
        <v>200</v>
      </c>
      <c r="K67" s="58">
        <v>200</v>
      </c>
      <c r="L67" s="58">
        <v>200</v>
      </c>
      <c r="M67" s="58">
        <v>200</v>
      </c>
      <c r="N67" s="58">
        <v>200</v>
      </c>
      <c r="O67" s="58">
        <v>200</v>
      </c>
      <c r="P67" s="58">
        <v>200</v>
      </c>
      <c r="Q67" s="58">
        <f t="shared" ref="Q67:Q72" si="33">SUM(E67:P67)</f>
        <v>2400</v>
      </c>
      <c r="R67" s="89">
        <f t="shared" si="2"/>
        <v>200</v>
      </c>
      <c r="S67" s="15"/>
      <c r="T67" s="62">
        <f t="shared" si="20"/>
        <v>9.9232190922735335E-4</v>
      </c>
      <c r="U67" s="62">
        <f t="shared" si="9"/>
        <v>0.17638062971655111</v>
      </c>
    </row>
    <row r="68" spans="1:21" x14ac:dyDescent="0.25">
      <c r="A68" s="25"/>
      <c r="B68" s="15" t="s">
        <v>83</v>
      </c>
      <c r="C68" s="56">
        <v>6246.5999999999995</v>
      </c>
      <c r="D68" s="57">
        <f t="shared" si="32"/>
        <v>520.54999999999995</v>
      </c>
      <c r="E68" s="58">
        <v>550</v>
      </c>
      <c r="F68" s="58">
        <v>550</v>
      </c>
      <c r="G68" s="58">
        <v>550</v>
      </c>
      <c r="H68" s="58">
        <v>550</v>
      </c>
      <c r="I68" s="58">
        <v>550</v>
      </c>
      <c r="J68" s="58">
        <v>550</v>
      </c>
      <c r="K68" s="58">
        <v>550</v>
      </c>
      <c r="L68" s="58">
        <v>550</v>
      </c>
      <c r="M68" s="58">
        <v>550</v>
      </c>
      <c r="N68" s="58">
        <v>550</v>
      </c>
      <c r="O68" s="58">
        <v>550</v>
      </c>
      <c r="P68" s="58">
        <v>550</v>
      </c>
      <c r="Q68" s="58">
        <f t="shared" si="33"/>
        <v>6600</v>
      </c>
      <c r="R68" s="89">
        <f t="shared" si="2"/>
        <v>550</v>
      </c>
      <c r="S68" s="15"/>
      <c r="T68" s="62">
        <f t="shared" si="20"/>
        <v>2.7288852503752218E-3</v>
      </c>
      <c r="U68" s="62">
        <f t="shared" si="9"/>
        <v>5.6574776678513204E-2</v>
      </c>
    </row>
    <row r="69" spans="1:21" ht="23.25" x14ac:dyDescent="0.25">
      <c r="A69" s="25"/>
      <c r="B69" s="15" t="s">
        <v>84</v>
      </c>
      <c r="C69" s="56">
        <v>14472.383999999998</v>
      </c>
      <c r="D69" s="57">
        <f t="shared" si="32"/>
        <v>1206.0319999999999</v>
      </c>
      <c r="E69" s="58">
        <v>1300</v>
      </c>
      <c r="F69" s="58">
        <v>1300</v>
      </c>
      <c r="G69" s="58">
        <v>1300</v>
      </c>
      <c r="H69" s="58">
        <v>1300</v>
      </c>
      <c r="I69" s="58">
        <v>1300</v>
      </c>
      <c r="J69" s="58">
        <v>1300</v>
      </c>
      <c r="K69" s="58">
        <v>1300</v>
      </c>
      <c r="L69" s="58">
        <v>1300</v>
      </c>
      <c r="M69" s="58">
        <v>1300</v>
      </c>
      <c r="N69" s="58">
        <v>1300</v>
      </c>
      <c r="O69" s="58">
        <v>1300</v>
      </c>
      <c r="P69" s="58">
        <v>1300</v>
      </c>
      <c r="Q69" s="58">
        <f t="shared" si="33"/>
        <v>15600</v>
      </c>
      <c r="R69" s="89">
        <f t="shared" si="2"/>
        <v>1300</v>
      </c>
      <c r="S69" s="15"/>
      <c r="T69" s="62">
        <f t="shared" si="20"/>
        <v>6.4500924099777967E-3</v>
      </c>
      <c r="U69" s="62">
        <f t="shared" si="9"/>
        <v>7.7915013863645549E-2</v>
      </c>
    </row>
    <row r="70" spans="1:21" x14ac:dyDescent="0.25">
      <c r="A70" s="25"/>
      <c r="B70" s="15" t="s">
        <v>85</v>
      </c>
      <c r="C70" s="56">
        <v>18396.54</v>
      </c>
      <c r="D70" s="57">
        <f t="shared" si="32"/>
        <v>1533.0450000000001</v>
      </c>
      <c r="E70" s="58">
        <v>1600</v>
      </c>
      <c r="F70" s="58">
        <v>1600</v>
      </c>
      <c r="G70" s="58">
        <v>1600</v>
      </c>
      <c r="H70" s="58">
        <v>1600</v>
      </c>
      <c r="I70" s="58">
        <v>1600</v>
      </c>
      <c r="J70" s="58">
        <v>1600</v>
      </c>
      <c r="K70" s="58">
        <v>1600</v>
      </c>
      <c r="L70" s="58">
        <v>1600</v>
      </c>
      <c r="M70" s="58">
        <v>1600</v>
      </c>
      <c r="N70" s="58">
        <v>1600</v>
      </c>
      <c r="O70" s="58">
        <v>1600</v>
      </c>
      <c r="P70" s="58">
        <v>1600</v>
      </c>
      <c r="Q70" s="58">
        <f t="shared" si="33"/>
        <v>19200</v>
      </c>
      <c r="R70" s="89">
        <f t="shared" si="2"/>
        <v>1600</v>
      </c>
      <c r="S70" s="15"/>
      <c r="T70" s="62">
        <f t="shared" si="20"/>
        <v>7.9385752738188268E-3</v>
      </c>
      <c r="U70" s="62">
        <f t="shared" si="9"/>
        <v>4.3674517055924594E-2</v>
      </c>
    </row>
    <row r="71" spans="1:21" x14ac:dyDescent="0.25">
      <c r="A71" s="25"/>
      <c r="B71" s="15" t="s">
        <v>86</v>
      </c>
      <c r="C71" s="56">
        <v>96</v>
      </c>
      <c r="D71" s="57">
        <f t="shared" si="32"/>
        <v>8</v>
      </c>
      <c r="E71" s="58">
        <v>100</v>
      </c>
      <c r="F71" s="58">
        <v>100</v>
      </c>
      <c r="G71" s="58">
        <v>100</v>
      </c>
      <c r="H71" s="58">
        <v>100</v>
      </c>
      <c r="I71" s="58">
        <v>100</v>
      </c>
      <c r="J71" s="58">
        <v>100</v>
      </c>
      <c r="K71" s="58">
        <v>100</v>
      </c>
      <c r="L71" s="58">
        <v>100</v>
      </c>
      <c r="M71" s="58">
        <v>100</v>
      </c>
      <c r="N71" s="58">
        <v>100</v>
      </c>
      <c r="O71" s="58">
        <v>100</v>
      </c>
      <c r="P71" s="58">
        <v>100</v>
      </c>
      <c r="Q71" s="58">
        <f t="shared" si="33"/>
        <v>1200</v>
      </c>
      <c r="R71" s="89">
        <f t="shared" si="2"/>
        <v>100</v>
      </c>
      <c r="S71" s="15"/>
      <c r="T71" s="62">
        <f t="shared" si="20"/>
        <v>4.9616095461367667E-4</v>
      </c>
      <c r="U71" s="62">
        <f t="shared" si="9"/>
        <v>11.5</v>
      </c>
    </row>
    <row r="72" spans="1:21" x14ac:dyDescent="0.25">
      <c r="A72" s="25"/>
      <c r="B72" s="15" t="s">
        <v>87</v>
      </c>
      <c r="C72" s="56">
        <v>0</v>
      </c>
      <c r="D72" s="57">
        <f t="shared" si="32"/>
        <v>0</v>
      </c>
      <c r="E72" s="58">
        <v>150</v>
      </c>
      <c r="F72" s="58">
        <v>150</v>
      </c>
      <c r="G72" s="58">
        <v>150</v>
      </c>
      <c r="H72" s="58">
        <v>150</v>
      </c>
      <c r="I72" s="58">
        <v>150</v>
      </c>
      <c r="J72" s="58">
        <v>150</v>
      </c>
      <c r="K72" s="58">
        <v>150</v>
      </c>
      <c r="L72" s="58">
        <v>150</v>
      </c>
      <c r="M72" s="58">
        <v>150</v>
      </c>
      <c r="N72" s="58">
        <v>150</v>
      </c>
      <c r="O72" s="58">
        <v>150</v>
      </c>
      <c r="P72" s="58">
        <v>150</v>
      </c>
      <c r="Q72" s="58">
        <f t="shared" si="33"/>
        <v>1800</v>
      </c>
      <c r="R72" s="89">
        <f t="shared" si="2"/>
        <v>150</v>
      </c>
      <c r="S72" s="15"/>
      <c r="T72" s="62">
        <f t="shared" si="20"/>
        <v>7.4424143192051507E-4</v>
      </c>
      <c r="U72" s="62">
        <f t="shared" si="9"/>
        <v>0</v>
      </c>
    </row>
    <row r="73" spans="1:21" x14ac:dyDescent="0.25">
      <c r="A73" s="63" t="s">
        <v>88</v>
      </c>
      <c r="B73" s="15" t="s">
        <v>48</v>
      </c>
      <c r="C73" s="91">
        <f t="shared" ref="C73:Q73" si="34">SUM(C64:C72)</f>
        <v>58330.404000000002</v>
      </c>
      <c r="D73" s="92">
        <f t="shared" si="34"/>
        <v>4860.8670000000002</v>
      </c>
      <c r="E73" s="93">
        <f t="shared" si="34"/>
        <v>5525</v>
      </c>
      <c r="F73" s="93">
        <f t="shared" si="34"/>
        <v>5525</v>
      </c>
      <c r="G73" s="93">
        <f t="shared" si="34"/>
        <v>5525</v>
      </c>
      <c r="H73" s="93">
        <f t="shared" si="34"/>
        <v>5525</v>
      </c>
      <c r="I73" s="93">
        <f t="shared" si="34"/>
        <v>5525</v>
      </c>
      <c r="J73" s="93">
        <f t="shared" si="34"/>
        <v>5525</v>
      </c>
      <c r="K73" s="93">
        <f t="shared" si="34"/>
        <v>5525</v>
      </c>
      <c r="L73" s="93">
        <f t="shared" si="34"/>
        <v>5525</v>
      </c>
      <c r="M73" s="93">
        <f t="shared" si="34"/>
        <v>5525</v>
      </c>
      <c r="N73" s="93">
        <f t="shared" si="34"/>
        <v>5525</v>
      </c>
      <c r="O73" s="93">
        <f t="shared" si="34"/>
        <v>5525</v>
      </c>
      <c r="P73" s="93">
        <f t="shared" si="34"/>
        <v>5525</v>
      </c>
      <c r="Q73" s="93">
        <f t="shared" si="34"/>
        <v>66300</v>
      </c>
      <c r="R73" s="94">
        <f t="shared" si="2"/>
        <v>5525</v>
      </c>
      <c r="T73" s="96">
        <f t="shared" si="20"/>
        <v>2.7412892742405635E-2</v>
      </c>
      <c r="U73" s="96">
        <f t="shared" si="9"/>
        <v>0.13662850680753039</v>
      </c>
    </row>
    <row r="74" spans="1:21" x14ac:dyDescent="0.25">
      <c r="A74" s="15" t="s">
        <v>89</v>
      </c>
      <c r="B74" s="15"/>
      <c r="C74" s="108">
        <v>0</v>
      </c>
      <c r="D74" s="109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1"/>
      <c r="T74" s="112"/>
      <c r="U74" s="112"/>
    </row>
    <row r="75" spans="1:21" x14ac:dyDescent="0.25">
      <c r="A75" s="25"/>
      <c r="B75" s="15" t="s">
        <v>90</v>
      </c>
      <c r="C75" s="56">
        <v>85503.443999999989</v>
      </c>
      <c r="D75" s="57">
        <f>C75/12</f>
        <v>7125.2869999999994</v>
      </c>
      <c r="E75" s="58">
        <f>(((((E14+'[2]Payroll 2024'!K166)*E4)*3)*5.25))</f>
        <v>11833.959375</v>
      </c>
      <c r="F75" s="58">
        <f>(((((F14+'[2]Payroll 2024'!K167)*F4)*3)*5.25))</f>
        <v>11070.478125000001</v>
      </c>
      <c r="G75" s="58">
        <f>(((((G14+'[2]Payroll 2024'!K168)*G4)*3)*5.25))</f>
        <v>11833.959375</v>
      </c>
      <c r="H75" s="58">
        <f>(((((H14+'[2]Payroll 2024'!K169)*H4)*3)*5.25))</f>
        <v>11452.21875</v>
      </c>
      <c r="I75" s="58">
        <f>(((((I14+'[2]Payroll 2024'!K170)*I4)*3)*5.25))</f>
        <v>11833.959375</v>
      </c>
      <c r="J75" s="58">
        <f>(((((J14+'[2]Payroll 2024'!K171)*J4)*3)*5.25))</f>
        <v>11452.21875</v>
      </c>
      <c r="K75" s="58">
        <f>(((((K14+'[2]Payroll 2024'!K172)*K4)*3)*5.25))</f>
        <v>12322.209375</v>
      </c>
      <c r="L75" s="58">
        <f>(((((L14+'[2]Payroll 2024'!K173)*L4)*3)*5.25))</f>
        <v>12322.209375</v>
      </c>
      <c r="M75" s="58">
        <f>(((((M14+'[2]Payroll 2024'!K174)*M4)*3)*5.25))</f>
        <v>11924.71875</v>
      </c>
      <c r="N75" s="58">
        <f>(((((N14+'[2]Payroll 2024'!K175)*N4)*3)*5.25))</f>
        <v>12322.209375</v>
      </c>
      <c r="O75" s="58">
        <f>(((((O14+'[2]Payroll 2024'!K176)*O4)*3)*5.25))</f>
        <v>11924.71875</v>
      </c>
      <c r="P75" s="58">
        <f>(((((P14+'[2]Payroll 2024'!K177)*P4)*3)*5.25))</f>
        <v>12322.209375</v>
      </c>
      <c r="Q75" s="58">
        <f>SUM(E75:P75)</f>
        <v>142615.06875000001</v>
      </c>
      <c r="R75" s="89">
        <f t="shared" si="2"/>
        <v>11884.589062500001</v>
      </c>
      <c r="S75" s="15"/>
      <c r="T75" s="62">
        <f t="shared" si="20"/>
        <v>5.8966690544412607E-2</v>
      </c>
      <c r="U75" s="62">
        <f t="shared" si="9"/>
        <v>0.66794531399226476</v>
      </c>
    </row>
    <row r="76" spans="1:21" x14ac:dyDescent="0.25">
      <c r="A76" s="63" t="s">
        <v>91</v>
      </c>
      <c r="B76" s="15"/>
      <c r="C76" s="91">
        <f t="shared" ref="C76:D76" si="35">SUM(C75)</f>
        <v>85503.443999999989</v>
      </c>
      <c r="D76" s="92">
        <f t="shared" si="35"/>
        <v>7125.2869999999994</v>
      </c>
      <c r="E76" s="93">
        <f>SUM(E75)</f>
        <v>11833.959375</v>
      </c>
      <c r="F76" s="93">
        <f t="shared" ref="F76:Q76" si="36">SUM(F75)</f>
        <v>11070.478125000001</v>
      </c>
      <c r="G76" s="93">
        <f t="shared" si="36"/>
        <v>11833.959375</v>
      </c>
      <c r="H76" s="93">
        <f t="shared" si="36"/>
        <v>11452.21875</v>
      </c>
      <c r="I76" s="93">
        <f t="shared" si="36"/>
        <v>11833.959375</v>
      </c>
      <c r="J76" s="93">
        <f t="shared" si="36"/>
        <v>11452.21875</v>
      </c>
      <c r="K76" s="93">
        <f t="shared" si="36"/>
        <v>12322.209375</v>
      </c>
      <c r="L76" s="93">
        <f t="shared" si="36"/>
        <v>12322.209375</v>
      </c>
      <c r="M76" s="93">
        <f t="shared" si="36"/>
        <v>11924.71875</v>
      </c>
      <c r="N76" s="93">
        <f t="shared" si="36"/>
        <v>12322.209375</v>
      </c>
      <c r="O76" s="93">
        <f t="shared" si="36"/>
        <v>11924.71875</v>
      </c>
      <c r="P76" s="93">
        <f t="shared" si="36"/>
        <v>12322.209375</v>
      </c>
      <c r="Q76" s="93">
        <f t="shared" si="36"/>
        <v>142615.06875000001</v>
      </c>
      <c r="R76" s="94">
        <f t="shared" si="2"/>
        <v>11884.589062500001</v>
      </c>
      <c r="T76" s="96">
        <f t="shared" si="20"/>
        <v>5.8966690544412607E-2</v>
      </c>
      <c r="U76" s="96">
        <f t="shared" si="9"/>
        <v>0.66794531399226476</v>
      </c>
    </row>
    <row r="77" spans="1:21" x14ac:dyDescent="0.25">
      <c r="A77" s="15" t="s">
        <v>92</v>
      </c>
      <c r="B77" s="15" t="s">
        <v>48</v>
      </c>
      <c r="C77" s="114">
        <v>0</v>
      </c>
      <c r="D77" s="115"/>
      <c r="E77" s="59"/>
      <c r="F77" s="59"/>
      <c r="G77" s="59"/>
      <c r="H77" s="59"/>
      <c r="I77" s="59"/>
      <c r="J77" s="59"/>
      <c r="K77" s="59"/>
      <c r="L77" s="58"/>
      <c r="M77" s="58"/>
      <c r="N77" s="58"/>
      <c r="O77" s="59"/>
      <c r="P77" s="59"/>
      <c r="Q77" s="59"/>
      <c r="R77" s="60"/>
      <c r="T77" s="22"/>
      <c r="U77" s="22"/>
    </row>
    <row r="78" spans="1:21" x14ac:dyDescent="0.25">
      <c r="A78" s="25"/>
      <c r="B78" s="15" t="s">
        <v>93</v>
      </c>
      <c r="C78" s="56">
        <v>11950.955999999998</v>
      </c>
      <c r="D78" s="57">
        <f t="shared" ref="D78:D81" si="37">C78/12</f>
        <v>995.9129999999999</v>
      </c>
      <c r="E78" s="58">
        <v>1220</v>
      </c>
      <c r="F78" s="58">
        <v>1220</v>
      </c>
      <c r="G78" s="58">
        <v>1220</v>
      </c>
      <c r="H78" s="58">
        <v>1220</v>
      </c>
      <c r="I78" s="58">
        <v>1220</v>
      </c>
      <c r="J78" s="58">
        <v>1220</v>
      </c>
      <c r="K78" s="58">
        <v>1220</v>
      </c>
      <c r="L78" s="58">
        <v>1220</v>
      </c>
      <c r="M78" s="58">
        <v>1220</v>
      </c>
      <c r="N78" s="58">
        <v>1220</v>
      </c>
      <c r="O78" s="58">
        <v>1220</v>
      </c>
      <c r="P78" s="58">
        <v>1220</v>
      </c>
      <c r="Q78" s="58">
        <f>SUM(E78:P78)</f>
        <v>14640</v>
      </c>
      <c r="R78" s="89">
        <f t="shared" si="2"/>
        <v>1220</v>
      </c>
      <c r="S78" s="15"/>
      <c r="T78" s="62">
        <f t="shared" si="20"/>
        <v>6.0531636462868551E-3</v>
      </c>
      <c r="U78" s="62">
        <f t="shared" si="9"/>
        <v>0.22500660198230185</v>
      </c>
    </row>
    <row r="79" spans="1:21" x14ac:dyDescent="0.25">
      <c r="A79" s="25"/>
      <c r="B79" s="15" t="s">
        <v>94</v>
      </c>
      <c r="C79" s="56">
        <v>0</v>
      </c>
      <c r="D79" s="57">
        <f t="shared" si="37"/>
        <v>0</v>
      </c>
      <c r="E79" s="58">
        <v>0</v>
      </c>
      <c r="F79" s="58">
        <v>0</v>
      </c>
      <c r="G79" s="58">
        <v>0</v>
      </c>
      <c r="H79" s="58">
        <v>0</v>
      </c>
      <c r="I79" s="58">
        <v>0</v>
      </c>
      <c r="J79" s="58">
        <v>0</v>
      </c>
      <c r="K79" s="58">
        <v>0</v>
      </c>
      <c r="L79" s="58">
        <v>0</v>
      </c>
      <c r="M79" s="58">
        <v>0</v>
      </c>
      <c r="N79" s="58">
        <v>0</v>
      </c>
      <c r="O79" s="58">
        <v>0</v>
      </c>
      <c r="P79" s="58">
        <v>0</v>
      </c>
      <c r="Q79" s="58">
        <f>SUM(E79:P79)</f>
        <v>0</v>
      </c>
      <c r="R79" s="89">
        <f t="shared" si="2"/>
        <v>0</v>
      </c>
      <c r="S79" s="15"/>
      <c r="T79" s="62">
        <f t="shared" si="20"/>
        <v>0</v>
      </c>
      <c r="U79" s="62">
        <f t="shared" si="9"/>
        <v>0</v>
      </c>
    </row>
    <row r="80" spans="1:21" x14ac:dyDescent="0.25">
      <c r="A80" s="25"/>
      <c r="B80" s="15" t="s">
        <v>95</v>
      </c>
      <c r="C80" s="56">
        <v>3057.768</v>
      </c>
      <c r="D80" s="57">
        <f t="shared" si="37"/>
        <v>254.81399999999999</v>
      </c>
      <c r="E80" s="58">
        <v>300</v>
      </c>
      <c r="F80" s="58">
        <v>300</v>
      </c>
      <c r="G80" s="58">
        <v>300</v>
      </c>
      <c r="H80" s="58">
        <v>300</v>
      </c>
      <c r="I80" s="58">
        <v>300</v>
      </c>
      <c r="J80" s="58">
        <v>300</v>
      </c>
      <c r="K80" s="58">
        <v>420</v>
      </c>
      <c r="L80" s="58">
        <v>420</v>
      </c>
      <c r="M80" s="58">
        <v>420</v>
      </c>
      <c r="N80" s="58">
        <v>420</v>
      </c>
      <c r="O80" s="58">
        <v>420</v>
      </c>
      <c r="P80" s="58">
        <v>420</v>
      </c>
      <c r="Q80" s="58">
        <f>SUM(E80:P80)</f>
        <v>4320</v>
      </c>
      <c r="R80" s="89">
        <f t="shared" si="2"/>
        <v>360</v>
      </c>
      <c r="S80" s="15"/>
      <c r="T80" s="62">
        <f t="shared" si="20"/>
        <v>1.7861794366092361E-3</v>
      </c>
      <c r="U80" s="62">
        <f t="shared" si="9"/>
        <v>0.41279521533353741</v>
      </c>
    </row>
    <row r="81" spans="1:21" ht="23.25" x14ac:dyDescent="0.25">
      <c r="A81" s="25"/>
      <c r="B81" s="15" t="s">
        <v>96</v>
      </c>
      <c r="C81" s="56">
        <v>2176.2840000000001</v>
      </c>
      <c r="D81" s="57">
        <f t="shared" si="37"/>
        <v>181.357</v>
      </c>
      <c r="E81" s="58">
        <v>240</v>
      </c>
      <c r="F81" s="58">
        <v>240</v>
      </c>
      <c r="G81" s="58">
        <v>240</v>
      </c>
      <c r="H81" s="58">
        <v>240</v>
      </c>
      <c r="I81" s="58">
        <v>240</v>
      </c>
      <c r="J81" s="58">
        <v>240</v>
      </c>
      <c r="K81" s="58">
        <v>240</v>
      </c>
      <c r="L81" s="58">
        <v>240</v>
      </c>
      <c r="M81" s="58">
        <v>240</v>
      </c>
      <c r="N81" s="58">
        <v>240</v>
      </c>
      <c r="O81" s="58">
        <v>240</v>
      </c>
      <c r="P81" s="58">
        <v>240</v>
      </c>
      <c r="Q81" s="58">
        <f>SUM(E81:P81)</f>
        <v>2880</v>
      </c>
      <c r="R81" s="89">
        <f t="shared" si="2"/>
        <v>240</v>
      </c>
      <c r="S81" s="15"/>
      <c r="T81" s="62">
        <f t="shared" si="20"/>
        <v>1.1907862910728239E-3</v>
      </c>
      <c r="U81" s="62">
        <f t="shared" si="9"/>
        <v>0.32335669425497771</v>
      </c>
    </row>
    <row r="82" spans="1:21" x14ac:dyDescent="0.25">
      <c r="A82" s="63" t="s">
        <v>97</v>
      </c>
      <c r="B82" s="15" t="s">
        <v>48</v>
      </c>
      <c r="C82" s="91">
        <f t="shared" ref="C82:D82" si="38">SUM(C78:C81)</f>
        <v>17185.007999999998</v>
      </c>
      <c r="D82" s="92">
        <f t="shared" si="38"/>
        <v>1432.0839999999998</v>
      </c>
      <c r="E82" s="93">
        <f>SUM(E78:E81)</f>
        <v>1760</v>
      </c>
      <c r="F82" s="93">
        <f t="shared" ref="F82:Q82" si="39">SUM(F78:F81)</f>
        <v>1760</v>
      </c>
      <c r="G82" s="93">
        <f t="shared" si="39"/>
        <v>1760</v>
      </c>
      <c r="H82" s="93">
        <f t="shared" si="39"/>
        <v>1760</v>
      </c>
      <c r="I82" s="93">
        <f t="shared" si="39"/>
        <v>1760</v>
      </c>
      <c r="J82" s="93">
        <f t="shared" si="39"/>
        <v>1760</v>
      </c>
      <c r="K82" s="93">
        <f t="shared" si="39"/>
        <v>1880</v>
      </c>
      <c r="L82" s="93">
        <f t="shared" si="39"/>
        <v>1880</v>
      </c>
      <c r="M82" s="93">
        <f t="shared" si="39"/>
        <v>1880</v>
      </c>
      <c r="N82" s="93">
        <f t="shared" si="39"/>
        <v>1880</v>
      </c>
      <c r="O82" s="93">
        <f t="shared" si="39"/>
        <v>1880</v>
      </c>
      <c r="P82" s="93">
        <f t="shared" si="39"/>
        <v>1880</v>
      </c>
      <c r="Q82" s="93">
        <f t="shared" si="39"/>
        <v>21840</v>
      </c>
      <c r="R82" s="94">
        <f t="shared" si="2"/>
        <v>1820</v>
      </c>
      <c r="T82" s="96">
        <f t="shared" si="20"/>
        <v>9.0301293739689162E-3</v>
      </c>
      <c r="U82" s="96">
        <f t="shared" si="9"/>
        <v>0.27087517212677481</v>
      </c>
    </row>
    <row r="83" spans="1:21" x14ac:dyDescent="0.25">
      <c r="A83" s="15" t="s">
        <v>98</v>
      </c>
      <c r="B83" s="15" t="s">
        <v>48</v>
      </c>
      <c r="C83" s="97">
        <v>0</v>
      </c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105"/>
      <c r="R83" s="106"/>
      <c r="T83" s="55"/>
      <c r="U83" s="55"/>
    </row>
    <row r="84" spans="1:21" x14ac:dyDescent="0.25">
      <c r="A84" s="25"/>
      <c r="B84" s="15" t="s">
        <v>99</v>
      </c>
      <c r="C84" s="56">
        <v>4482.66</v>
      </c>
      <c r="D84" s="57">
        <f t="shared" ref="D84:D89" si="40">C84/12</f>
        <v>373.55500000000001</v>
      </c>
      <c r="E84" s="58">
        <v>600</v>
      </c>
      <c r="F84" s="58">
        <v>600</v>
      </c>
      <c r="G84" s="58">
        <v>600</v>
      </c>
      <c r="H84" s="58">
        <v>600</v>
      </c>
      <c r="I84" s="58">
        <v>600</v>
      </c>
      <c r="J84" s="58">
        <v>600</v>
      </c>
      <c r="K84" s="58">
        <v>600</v>
      </c>
      <c r="L84" s="58">
        <v>600</v>
      </c>
      <c r="M84" s="58">
        <v>600</v>
      </c>
      <c r="N84" s="58">
        <v>600</v>
      </c>
      <c r="O84" s="58">
        <v>600</v>
      </c>
      <c r="P84" s="58">
        <v>600</v>
      </c>
      <c r="Q84" s="58">
        <f t="shared" ref="Q84:Q89" si="41">SUM(E84:P84)</f>
        <v>7200</v>
      </c>
      <c r="R84" s="89">
        <f t="shared" si="2"/>
        <v>600</v>
      </c>
      <c r="S84" s="15"/>
      <c r="T84" s="62">
        <f t="shared" si="20"/>
        <v>2.9769657276820603E-3</v>
      </c>
      <c r="U84" s="62">
        <f t="shared" si="9"/>
        <v>0.60618918231585717</v>
      </c>
    </row>
    <row r="85" spans="1:21" x14ac:dyDescent="0.25">
      <c r="A85" s="25"/>
      <c r="B85" s="15" t="s">
        <v>100</v>
      </c>
      <c r="C85" s="56">
        <v>0</v>
      </c>
      <c r="D85" s="57">
        <f t="shared" si="40"/>
        <v>0</v>
      </c>
      <c r="E85" s="58">
        <v>0</v>
      </c>
      <c r="F85" s="58">
        <v>0</v>
      </c>
      <c r="G85" s="58">
        <v>0</v>
      </c>
      <c r="H85" s="58">
        <v>0</v>
      </c>
      <c r="I85" s="58">
        <v>0</v>
      </c>
      <c r="J85" s="58">
        <v>0</v>
      </c>
      <c r="K85" s="58">
        <v>0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8">
        <f t="shared" si="41"/>
        <v>0</v>
      </c>
      <c r="R85" s="89">
        <f t="shared" si="2"/>
        <v>0</v>
      </c>
      <c r="S85" s="15"/>
      <c r="T85" s="62">
        <f t="shared" si="20"/>
        <v>0</v>
      </c>
      <c r="U85" s="62">
        <f t="shared" si="9"/>
        <v>0</v>
      </c>
    </row>
    <row r="86" spans="1:21" x14ac:dyDescent="0.25">
      <c r="A86" s="25"/>
      <c r="B86" s="15" t="s">
        <v>101</v>
      </c>
      <c r="C86" s="56">
        <v>0</v>
      </c>
      <c r="D86" s="57">
        <f t="shared" si="40"/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58">
        <v>0</v>
      </c>
      <c r="P86" s="58">
        <v>0</v>
      </c>
      <c r="Q86" s="58">
        <f t="shared" si="41"/>
        <v>0</v>
      </c>
      <c r="R86" s="89">
        <f t="shared" si="2"/>
        <v>0</v>
      </c>
      <c r="S86" s="15"/>
      <c r="T86" s="62">
        <f t="shared" si="20"/>
        <v>0</v>
      </c>
      <c r="U86" s="62">
        <f t="shared" si="9"/>
        <v>0</v>
      </c>
    </row>
    <row r="87" spans="1:21" x14ac:dyDescent="0.25">
      <c r="A87" s="25"/>
      <c r="B87" s="15" t="s">
        <v>102</v>
      </c>
      <c r="C87" s="56">
        <v>829.12800000000016</v>
      </c>
      <c r="D87" s="57">
        <f t="shared" si="40"/>
        <v>69.094000000000008</v>
      </c>
      <c r="E87" s="58">
        <v>200</v>
      </c>
      <c r="F87" s="58">
        <v>200</v>
      </c>
      <c r="G87" s="58">
        <v>200</v>
      </c>
      <c r="H87" s="58">
        <v>100</v>
      </c>
      <c r="I87" s="58">
        <v>100</v>
      </c>
      <c r="J87" s="58">
        <v>100</v>
      </c>
      <c r="K87" s="58">
        <v>100</v>
      </c>
      <c r="L87" s="58">
        <v>100</v>
      </c>
      <c r="M87" s="58">
        <v>100</v>
      </c>
      <c r="N87" s="58">
        <v>100</v>
      </c>
      <c r="O87" s="58">
        <v>100</v>
      </c>
      <c r="P87" s="58">
        <v>100</v>
      </c>
      <c r="Q87" s="58">
        <f t="shared" si="41"/>
        <v>1500</v>
      </c>
      <c r="R87" s="89">
        <f t="shared" si="2"/>
        <v>125</v>
      </c>
      <c r="S87" s="15"/>
      <c r="T87" s="62">
        <f t="shared" si="20"/>
        <v>6.2020119326709582E-4</v>
      </c>
      <c r="U87" s="62">
        <f t="shared" si="9"/>
        <v>0.80912959157090303</v>
      </c>
    </row>
    <row r="88" spans="1:21" x14ac:dyDescent="0.25">
      <c r="A88" s="25"/>
      <c r="B88" s="15" t="s">
        <v>103</v>
      </c>
      <c r="C88" s="56">
        <v>0</v>
      </c>
      <c r="D88" s="57">
        <f t="shared" si="40"/>
        <v>0</v>
      </c>
      <c r="E88" s="58">
        <v>0</v>
      </c>
      <c r="F88" s="58">
        <v>0</v>
      </c>
      <c r="G88" s="58">
        <v>0</v>
      </c>
      <c r="H88" s="58">
        <v>0</v>
      </c>
      <c r="I88" s="58">
        <v>0</v>
      </c>
      <c r="J88" s="58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0</v>
      </c>
      <c r="Q88" s="58">
        <f t="shared" si="41"/>
        <v>0</v>
      </c>
      <c r="R88" s="89">
        <f t="shared" ref="R88:R137" si="42">AVERAGE(E88:P88)</f>
        <v>0</v>
      </c>
      <c r="S88" s="15"/>
      <c r="T88" s="62">
        <f t="shared" si="20"/>
        <v>0</v>
      </c>
      <c r="U88" s="62">
        <f t="shared" si="9"/>
        <v>0</v>
      </c>
    </row>
    <row r="89" spans="1:21" x14ac:dyDescent="0.25">
      <c r="A89" s="25"/>
      <c r="B89" s="15" t="s">
        <v>104</v>
      </c>
      <c r="C89" s="56">
        <v>390.15599999999995</v>
      </c>
      <c r="D89" s="57">
        <f t="shared" si="40"/>
        <v>32.512999999999998</v>
      </c>
      <c r="E89" s="58">
        <v>50</v>
      </c>
      <c r="F89" s="58">
        <v>50</v>
      </c>
      <c r="G89" s="58">
        <v>50</v>
      </c>
      <c r="H89" s="58">
        <v>50</v>
      </c>
      <c r="I89" s="58">
        <v>50</v>
      </c>
      <c r="J89" s="58">
        <v>50</v>
      </c>
      <c r="K89" s="58">
        <v>50</v>
      </c>
      <c r="L89" s="58">
        <v>50</v>
      </c>
      <c r="M89" s="58">
        <v>50</v>
      </c>
      <c r="N89" s="58">
        <v>50</v>
      </c>
      <c r="O89" s="58">
        <v>50</v>
      </c>
      <c r="P89" s="58">
        <v>50</v>
      </c>
      <c r="Q89" s="58">
        <f t="shared" si="41"/>
        <v>600</v>
      </c>
      <c r="R89" s="89">
        <f t="shared" si="42"/>
        <v>50</v>
      </c>
      <c r="S89" s="15"/>
      <c r="T89" s="62">
        <f t="shared" si="20"/>
        <v>2.4808047730683834E-4</v>
      </c>
      <c r="U89" s="62">
        <f t="shared" ref="U89:U136" si="43">IFERROR((Q89-C89)/C89,0)</f>
        <v>0.53784639990157801</v>
      </c>
    </row>
    <row r="90" spans="1:21" ht="22.5" x14ac:dyDescent="0.25">
      <c r="A90" s="63" t="s">
        <v>105</v>
      </c>
      <c r="B90" s="15" t="s">
        <v>48</v>
      </c>
      <c r="C90" s="91">
        <f t="shared" ref="C90:D90" si="44">SUM(C84:C89)</f>
        <v>5701.9440000000004</v>
      </c>
      <c r="D90" s="92">
        <f t="shared" si="44"/>
        <v>475.16199999999998</v>
      </c>
      <c r="E90" s="93">
        <f t="shared" ref="E90:Q90" si="45">SUM(E84:E89)</f>
        <v>850</v>
      </c>
      <c r="F90" s="93">
        <f t="shared" si="45"/>
        <v>850</v>
      </c>
      <c r="G90" s="93">
        <f t="shared" si="45"/>
        <v>850</v>
      </c>
      <c r="H90" s="93">
        <f t="shared" si="45"/>
        <v>750</v>
      </c>
      <c r="I90" s="93">
        <f t="shared" si="45"/>
        <v>750</v>
      </c>
      <c r="J90" s="93">
        <f t="shared" si="45"/>
        <v>750</v>
      </c>
      <c r="K90" s="93">
        <f t="shared" si="45"/>
        <v>750</v>
      </c>
      <c r="L90" s="93">
        <f t="shared" si="45"/>
        <v>750</v>
      </c>
      <c r="M90" s="93">
        <f t="shared" si="45"/>
        <v>750</v>
      </c>
      <c r="N90" s="93">
        <f t="shared" si="45"/>
        <v>750</v>
      </c>
      <c r="O90" s="93">
        <f t="shared" si="45"/>
        <v>750</v>
      </c>
      <c r="P90" s="93">
        <f t="shared" si="45"/>
        <v>750</v>
      </c>
      <c r="Q90" s="93">
        <f t="shared" si="45"/>
        <v>9300</v>
      </c>
      <c r="R90" s="94">
        <f>AVERAGE(E90:P90)</f>
        <v>775</v>
      </c>
      <c r="T90" s="96">
        <f t="shared" si="20"/>
        <v>3.8452473982559941E-3</v>
      </c>
      <c r="U90" s="96">
        <f t="shared" si="43"/>
        <v>0.63102268279029039</v>
      </c>
    </row>
    <row r="91" spans="1:21" x14ac:dyDescent="0.25">
      <c r="A91" s="15" t="s">
        <v>106</v>
      </c>
      <c r="B91" s="15"/>
      <c r="C91" s="64">
        <v>0</v>
      </c>
      <c r="D91" s="65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67"/>
      <c r="T91" s="69"/>
      <c r="U91" s="69"/>
    </row>
    <row r="92" spans="1:21" x14ac:dyDescent="0.25">
      <c r="A92" s="15"/>
      <c r="B92" s="15" t="s">
        <v>107</v>
      </c>
      <c r="C92" s="56">
        <v>14915.351999999999</v>
      </c>
      <c r="D92" s="57">
        <f t="shared" ref="D92:D94" si="46">C92/12</f>
        <v>1242.9459999999999</v>
      </c>
      <c r="E92" s="58">
        <v>1330</v>
      </c>
      <c r="F92" s="58">
        <v>1330</v>
      </c>
      <c r="G92" s="58">
        <v>1330</v>
      </c>
      <c r="H92" s="58">
        <v>1330</v>
      </c>
      <c r="I92" s="58">
        <v>1330</v>
      </c>
      <c r="J92" s="58">
        <v>1330</v>
      </c>
      <c r="K92" s="58">
        <v>1330</v>
      </c>
      <c r="L92" s="58">
        <v>1330</v>
      </c>
      <c r="M92" s="58">
        <v>1330</v>
      </c>
      <c r="N92" s="58">
        <v>1330</v>
      </c>
      <c r="O92" s="58">
        <v>1330</v>
      </c>
      <c r="P92" s="58">
        <v>1330</v>
      </c>
      <c r="Q92" s="58">
        <f>SUM(E92:P92)</f>
        <v>15960</v>
      </c>
      <c r="R92" s="89">
        <f>AVERAGE(E92:P92)</f>
        <v>1330</v>
      </c>
      <c r="S92" s="15"/>
      <c r="T92" s="62">
        <f t="shared" si="20"/>
        <v>6.5989406963618998E-3</v>
      </c>
      <c r="U92" s="62">
        <f t="shared" si="43"/>
        <v>7.0038440929855436E-2</v>
      </c>
    </row>
    <row r="93" spans="1:21" x14ac:dyDescent="0.25">
      <c r="A93" s="25"/>
      <c r="B93" s="15" t="s">
        <v>108</v>
      </c>
      <c r="C93" s="56">
        <v>0</v>
      </c>
      <c r="D93" s="57">
        <f t="shared" si="46"/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58">
        <v>0</v>
      </c>
      <c r="P93" s="58">
        <v>0</v>
      </c>
      <c r="Q93" s="58">
        <f>SUM(E93:P93)</f>
        <v>0</v>
      </c>
      <c r="R93" s="89">
        <f t="shared" si="42"/>
        <v>0</v>
      </c>
      <c r="S93" s="15"/>
      <c r="T93" s="62">
        <f t="shared" si="20"/>
        <v>0</v>
      </c>
      <c r="U93" s="62">
        <f t="shared" si="43"/>
        <v>0</v>
      </c>
    </row>
    <row r="94" spans="1:21" x14ac:dyDescent="0.25">
      <c r="A94" s="25"/>
      <c r="B94" s="15" t="s">
        <v>109</v>
      </c>
      <c r="C94" s="56">
        <v>6079.0439999999999</v>
      </c>
      <c r="D94" s="57">
        <f t="shared" si="46"/>
        <v>506.58699999999999</v>
      </c>
      <c r="E94" s="58">
        <v>500</v>
      </c>
      <c r="F94" s="58">
        <v>500</v>
      </c>
      <c r="G94" s="58">
        <v>500</v>
      </c>
      <c r="H94" s="58">
        <v>500</v>
      </c>
      <c r="I94" s="58">
        <v>500</v>
      </c>
      <c r="J94" s="58">
        <v>500</v>
      </c>
      <c r="K94" s="58">
        <v>500</v>
      </c>
      <c r="L94" s="58">
        <v>500</v>
      </c>
      <c r="M94" s="58">
        <v>500</v>
      </c>
      <c r="N94" s="58">
        <v>500</v>
      </c>
      <c r="O94" s="58">
        <v>500</v>
      </c>
      <c r="P94" s="58">
        <v>500</v>
      </c>
      <c r="Q94" s="58">
        <f>SUM(E94:P94)</f>
        <v>6000</v>
      </c>
      <c r="R94" s="89">
        <f t="shared" si="42"/>
        <v>500</v>
      </c>
      <c r="S94" s="15"/>
      <c r="T94" s="62">
        <f t="shared" si="20"/>
        <v>2.4808047730683833E-3</v>
      </c>
      <c r="U94" s="62">
        <f t="shared" si="43"/>
        <v>-1.3002702398600812E-2</v>
      </c>
    </row>
    <row r="95" spans="1:21" x14ac:dyDescent="0.25">
      <c r="A95" s="63" t="s">
        <v>110</v>
      </c>
      <c r="B95" s="15"/>
      <c r="C95" s="91">
        <f t="shared" ref="C95:Q95" si="47">SUM(C92:C94)</f>
        <v>20994.396000000001</v>
      </c>
      <c r="D95" s="92">
        <f t="shared" si="47"/>
        <v>1749.5329999999999</v>
      </c>
      <c r="E95" s="93">
        <f t="shared" si="47"/>
        <v>1830</v>
      </c>
      <c r="F95" s="93">
        <f t="shared" si="47"/>
        <v>1830</v>
      </c>
      <c r="G95" s="93">
        <f t="shared" si="47"/>
        <v>1830</v>
      </c>
      <c r="H95" s="93">
        <f t="shared" si="47"/>
        <v>1830</v>
      </c>
      <c r="I95" s="93">
        <f t="shared" si="47"/>
        <v>1830</v>
      </c>
      <c r="J95" s="93">
        <f t="shared" si="47"/>
        <v>1830</v>
      </c>
      <c r="K95" s="93">
        <f t="shared" si="47"/>
        <v>1830</v>
      </c>
      <c r="L95" s="93">
        <f t="shared" si="47"/>
        <v>1830</v>
      </c>
      <c r="M95" s="93">
        <f t="shared" si="47"/>
        <v>1830</v>
      </c>
      <c r="N95" s="93">
        <f t="shared" si="47"/>
        <v>1830</v>
      </c>
      <c r="O95" s="93">
        <f t="shared" si="47"/>
        <v>1830</v>
      </c>
      <c r="P95" s="93">
        <f t="shared" si="47"/>
        <v>1830</v>
      </c>
      <c r="Q95" s="93">
        <f t="shared" si="47"/>
        <v>21960</v>
      </c>
      <c r="R95" s="94">
        <f t="shared" si="42"/>
        <v>1830</v>
      </c>
      <c r="T95" s="96">
        <f t="shared" si="20"/>
        <v>9.079745469430283E-3</v>
      </c>
      <c r="U95" s="96">
        <f t="shared" si="43"/>
        <v>4.5993416528867959E-2</v>
      </c>
    </row>
    <row r="96" spans="1:21" x14ac:dyDescent="0.25">
      <c r="A96" s="15" t="s">
        <v>111</v>
      </c>
      <c r="B96" s="15" t="s">
        <v>48</v>
      </c>
      <c r="C96" s="114">
        <v>0</v>
      </c>
      <c r="D96" s="115"/>
      <c r="E96" s="59"/>
      <c r="F96" s="59"/>
      <c r="G96" s="59"/>
      <c r="H96" s="59"/>
      <c r="I96" s="59"/>
      <c r="J96" s="59"/>
      <c r="K96" s="59"/>
      <c r="L96" s="58"/>
      <c r="M96" s="58"/>
      <c r="N96" s="58"/>
      <c r="O96" s="59"/>
      <c r="P96" s="59"/>
      <c r="Q96" s="59"/>
      <c r="R96" s="60"/>
      <c r="T96" s="22"/>
      <c r="U96" s="22"/>
    </row>
    <row r="97" spans="1:21" x14ac:dyDescent="0.25">
      <c r="A97" s="25"/>
      <c r="B97" s="15" t="s">
        <v>112</v>
      </c>
      <c r="C97" s="56">
        <v>112.28399999999999</v>
      </c>
      <c r="D97" s="57">
        <f t="shared" ref="D97:D120" si="48">C97/12</f>
        <v>9.3569999999999993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58">
        <v>0</v>
      </c>
      <c r="P97" s="58">
        <v>0</v>
      </c>
      <c r="Q97" s="58">
        <f>SUM(E97:P97)</f>
        <v>0</v>
      </c>
      <c r="R97" s="89">
        <f t="shared" si="42"/>
        <v>0</v>
      </c>
      <c r="S97" s="15"/>
      <c r="T97" s="62">
        <f t="shared" si="20"/>
        <v>0</v>
      </c>
      <c r="U97" s="62">
        <f t="shared" si="43"/>
        <v>-1</v>
      </c>
    </row>
    <row r="98" spans="1:21" ht="23.25" x14ac:dyDescent="0.25">
      <c r="A98" s="25"/>
      <c r="B98" s="15" t="s">
        <v>113</v>
      </c>
      <c r="C98" s="56">
        <v>0</v>
      </c>
      <c r="D98" s="57">
        <f t="shared" si="48"/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58">
        <v>0</v>
      </c>
      <c r="P98" s="58">
        <v>0</v>
      </c>
      <c r="Q98" s="58">
        <f t="shared" ref="Q98:Q120" si="49">SUM(E98:P98)</f>
        <v>0</v>
      </c>
      <c r="R98" s="89">
        <f t="shared" si="42"/>
        <v>0</v>
      </c>
      <c r="S98" s="15"/>
      <c r="T98" s="62">
        <f t="shared" si="20"/>
        <v>0</v>
      </c>
      <c r="U98" s="62">
        <f t="shared" si="43"/>
        <v>0</v>
      </c>
    </row>
    <row r="99" spans="1:21" x14ac:dyDescent="0.25">
      <c r="A99" s="25"/>
      <c r="B99" s="15" t="s">
        <v>114</v>
      </c>
      <c r="C99" s="56">
        <v>17341.14</v>
      </c>
      <c r="D99" s="57">
        <f t="shared" si="48"/>
        <v>1445.095</v>
      </c>
      <c r="E99" s="58">
        <v>1600</v>
      </c>
      <c r="F99" s="58">
        <v>1600</v>
      </c>
      <c r="G99" s="58">
        <v>1600</v>
      </c>
      <c r="H99" s="58">
        <v>1600</v>
      </c>
      <c r="I99" s="58">
        <v>1600</v>
      </c>
      <c r="J99" s="58">
        <v>1600</v>
      </c>
      <c r="K99" s="58">
        <v>1750</v>
      </c>
      <c r="L99" s="58">
        <v>1750</v>
      </c>
      <c r="M99" s="58">
        <v>1750</v>
      </c>
      <c r="N99" s="58">
        <v>1750</v>
      </c>
      <c r="O99" s="58">
        <v>1750</v>
      </c>
      <c r="P99" s="58">
        <v>1750</v>
      </c>
      <c r="Q99" s="58">
        <f t="shared" si="49"/>
        <v>20100</v>
      </c>
      <c r="R99" s="89">
        <f t="shared" si="42"/>
        <v>1675</v>
      </c>
      <c r="S99" s="15"/>
      <c r="T99" s="62">
        <f t="shared" si="20"/>
        <v>8.310695989779085E-3</v>
      </c>
      <c r="U99" s="62">
        <f t="shared" si="43"/>
        <v>0.15909334680418938</v>
      </c>
    </row>
    <row r="100" spans="1:21" x14ac:dyDescent="0.25">
      <c r="A100" s="25"/>
      <c r="B100" s="15" t="s">
        <v>115</v>
      </c>
      <c r="C100" s="56">
        <v>0</v>
      </c>
      <c r="D100" s="57">
        <f t="shared" si="48"/>
        <v>0</v>
      </c>
      <c r="E100" s="58">
        <v>15</v>
      </c>
      <c r="F100" s="58">
        <v>15</v>
      </c>
      <c r="G100" s="58">
        <v>15</v>
      </c>
      <c r="H100" s="58">
        <v>15</v>
      </c>
      <c r="I100" s="58">
        <v>15</v>
      </c>
      <c r="J100" s="58">
        <v>15</v>
      </c>
      <c r="K100" s="58">
        <v>15</v>
      </c>
      <c r="L100" s="58">
        <v>15</v>
      </c>
      <c r="M100" s="58">
        <v>15</v>
      </c>
      <c r="N100" s="58">
        <v>15</v>
      </c>
      <c r="O100" s="58">
        <v>15</v>
      </c>
      <c r="P100" s="58">
        <v>15</v>
      </c>
      <c r="Q100" s="58">
        <f t="shared" si="49"/>
        <v>180</v>
      </c>
      <c r="R100" s="89">
        <f t="shared" si="42"/>
        <v>15</v>
      </c>
      <c r="S100" s="15"/>
      <c r="T100" s="62">
        <f t="shared" si="20"/>
        <v>7.4424143192051496E-5</v>
      </c>
      <c r="U100" s="62">
        <f t="shared" si="43"/>
        <v>0</v>
      </c>
    </row>
    <row r="101" spans="1:21" x14ac:dyDescent="0.25">
      <c r="A101" s="25"/>
      <c r="B101" s="15" t="s">
        <v>116</v>
      </c>
      <c r="C101" s="56">
        <v>5344.0439999999999</v>
      </c>
      <c r="D101" s="57">
        <f t="shared" si="48"/>
        <v>445.33699999999999</v>
      </c>
      <c r="E101" s="58">
        <v>440</v>
      </c>
      <c r="F101" s="58">
        <v>440</v>
      </c>
      <c r="G101" s="58">
        <v>440</v>
      </c>
      <c r="H101" s="58">
        <v>440</v>
      </c>
      <c r="I101" s="58">
        <v>460</v>
      </c>
      <c r="J101" s="58">
        <v>460</v>
      </c>
      <c r="K101" s="58">
        <v>460</v>
      </c>
      <c r="L101" s="58">
        <v>460</v>
      </c>
      <c r="M101" s="58">
        <v>460</v>
      </c>
      <c r="N101" s="58">
        <v>460</v>
      </c>
      <c r="O101" s="58">
        <v>460</v>
      </c>
      <c r="P101" s="58">
        <v>460</v>
      </c>
      <c r="Q101" s="58">
        <f t="shared" si="49"/>
        <v>5440</v>
      </c>
      <c r="R101" s="89">
        <f t="shared" si="42"/>
        <v>453.33333333333331</v>
      </c>
      <c r="S101" s="15"/>
      <c r="T101" s="62">
        <f t="shared" si="20"/>
        <v>2.2492629942486675E-3</v>
      </c>
      <c r="U101" s="62">
        <f t="shared" si="43"/>
        <v>1.7955690484584359E-2</v>
      </c>
    </row>
    <row r="102" spans="1:21" x14ac:dyDescent="0.25">
      <c r="A102" s="25"/>
      <c r="B102" s="15" t="s">
        <v>117</v>
      </c>
      <c r="C102" s="56">
        <v>0</v>
      </c>
      <c r="D102" s="57">
        <f t="shared" si="48"/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58">
        <v>0</v>
      </c>
      <c r="P102" s="58">
        <v>0</v>
      </c>
      <c r="Q102" s="58">
        <f t="shared" si="49"/>
        <v>0</v>
      </c>
      <c r="R102" s="89">
        <f t="shared" si="42"/>
        <v>0</v>
      </c>
      <c r="S102" s="15"/>
      <c r="T102" s="62">
        <f t="shared" si="20"/>
        <v>0</v>
      </c>
      <c r="U102" s="62">
        <f t="shared" si="43"/>
        <v>0</v>
      </c>
    </row>
    <row r="103" spans="1:21" ht="23.25" x14ac:dyDescent="0.25">
      <c r="A103" s="25"/>
      <c r="B103" s="15" t="s">
        <v>118</v>
      </c>
      <c r="C103" s="56">
        <v>5109.2999999999993</v>
      </c>
      <c r="D103" s="57">
        <f t="shared" si="48"/>
        <v>425.77499999999992</v>
      </c>
      <c r="E103" s="58">
        <v>600</v>
      </c>
      <c r="F103" s="58">
        <v>600</v>
      </c>
      <c r="G103" s="58">
        <v>600</v>
      </c>
      <c r="H103" s="58">
        <v>600</v>
      </c>
      <c r="I103" s="58">
        <v>600</v>
      </c>
      <c r="J103" s="58">
        <v>600</v>
      </c>
      <c r="K103" s="58">
        <v>600</v>
      </c>
      <c r="L103" s="58">
        <v>600</v>
      </c>
      <c r="M103" s="58">
        <v>600</v>
      </c>
      <c r="N103" s="58">
        <v>600</v>
      </c>
      <c r="O103" s="58">
        <v>600</v>
      </c>
      <c r="P103" s="58">
        <v>600</v>
      </c>
      <c r="Q103" s="58">
        <f t="shared" si="49"/>
        <v>7200</v>
      </c>
      <c r="R103" s="89">
        <f t="shared" si="42"/>
        <v>600</v>
      </c>
      <c r="S103" s="15"/>
      <c r="T103" s="62">
        <f t="shared" ref="T103:T135" si="50">Q103/$Q$34</f>
        <v>2.9769657276820603E-3</v>
      </c>
      <c r="U103" s="62">
        <f t="shared" si="43"/>
        <v>0.4091949973577596</v>
      </c>
    </row>
    <row r="104" spans="1:21" x14ac:dyDescent="0.25">
      <c r="A104" s="25"/>
      <c r="B104" s="15" t="s">
        <v>119</v>
      </c>
      <c r="C104" s="56">
        <v>22096.943999999996</v>
      </c>
      <c r="D104" s="57">
        <f t="shared" si="48"/>
        <v>1841.4119999999996</v>
      </c>
      <c r="E104" s="58">
        <f>(50*(E7+E8))+(25*(E9+E10))+(10*(E11+E12))+(15*E13)</f>
        <v>650</v>
      </c>
      <c r="F104" s="58">
        <f t="shared" ref="F104:P104" si="51">(50*(F7+F8))+(25*(F9+F10))+(10*(F11+F12))+(15*F13)</f>
        <v>650</v>
      </c>
      <c r="G104" s="58">
        <f t="shared" si="51"/>
        <v>650</v>
      </c>
      <c r="H104" s="58">
        <f t="shared" si="51"/>
        <v>650</v>
      </c>
      <c r="I104" s="58">
        <f t="shared" si="51"/>
        <v>650</v>
      </c>
      <c r="J104" s="58">
        <f t="shared" si="51"/>
        <v>650</v>
      </c>
      <c r="K104" s="58">
        <f t="shared" si="51"/>
        <v>700</v>
      </c>
      <c r="L104" s="58">
        <f>(50*(L7+L8))+(25*(L9+L10))+(10*(L11+L12))+(15*L13)</f>
        <v>700</v>
      </c>
      <c r="M104" s="58">
        <f t="shared" si="51"/>
        <v>700</v>
      </c>
      <c r="N104" s="58">
        <f t="shared" si="51"/>
        <v>700</v>
      </c>
      <c r="O104" s="58">
        <f t="shared" si="51"/>
        <v>700</v>
      </c>
      <c r="P104" s="58">
        <f t="shared" si="51"/>
        <v>700</v>
      </c>
      <c r="Q104" s="58">
        <f t="shared" si="49"/>
        <v>8100</v>
      </c>
      <c r="R104" s="89">
        <f t="shared" si="42"/>
        <v>675</v>
      </c>
      <c r="S104" s="15"/>
      <c r="T104" s="62">
        <f t="shared" si="50"/>
        <v>3.3490864436423176E-3</v>
      </c>
      <c r="U104" s="62">
        <f t="shared" si="43"/>
        <v>-0.6334334738776547</v>
      </c>
    </row>
    <row r="105" spans="1:21" x14ac:dyDescent="0.25">
      <c r="A105" s="25"/>
      <c r="B105" s="15" t="s">
        <v>120</v>
      </c>
      <c r="C105" s="56">
        <v>2246.94</v>
      </c>
      <c r="D105" s="57">
        <f t="shared" si="48"/>
        <v>187.245</v>
      </c>
      <c r="E105" s="58">
        <v>200</v>
      </c>
      <c r="F105" s="58">
        <v>200</v>
      </c>
      <c r="G105" s="58">
        <v>200</v>
      </c>
      <c r="H105" s="58">
        <v>200</v>
      </c>
      <c r="I105" s="58">
        <v>200</v>
      </c>
      <c r="J105" s="58">
        <v>200</v>
      </c>
      <c r="K105" s="58">
        <v>200</v>
      </c>
      <c r="L105" s="58">
        <v>200</v>
      </c>
      <c r="M105" s="58">
        <v>200</v>
      </c>
      <c r="N105" s="58">
        <v>200</v>
      </c>
      <c r="O105" s="58">
        <v>200</v>
      </c>
      <c r="P105" s="58">
        <v>200</v>
      </c>
      <c r="Q105" s="58">
        <f t="shared" si="49"/>
        <v>2400</v>
      </c>
      <c r="R105" s="89">
        <f t="shared" si="42"/>
        <v>200</v>
      </c>
      <c r="S105" s="15"/>
      <c r="T105" s="62">
        <f t="shared" si="50"/>
        <v>9.9232190922735335E-4</v>
      </c>
      <c r="U105" s="62">
        <f t="shared" si="43"/>
        <v>6.8119308926807093E-2</v>
      </c>
    </row>
    <row r="106" spans="1:21" x14ac:dyDescent="0.25">
      <c r="A106" s="25"/>
      <c r="B106" s="15" t="s">
        <v>121</v>
      </c>
      <c r="C106" s="56">
        <v>0</v>
      </c>
      <c r="D106" s="57">
        <f t="shared" si="48"/>
        <v>0</v>
      </c>
      <c r="E106" s="58">
        <v>10</v>
      </c>
      <c r="F106" s="58">
        <v>10</v>
      </c>
      <c r="G106" s="58">
        <v>10</v>
      </c>
      <c r="H106" s="58">
        <v>10</v>
      </c>
      <c r="I106" s="58">
        <v>10</v>
      </c>
      <c r="J106" s="58">
        <v>10</v>
      </c>
      <c r="K106" s="58">
        <v>10</v>
      </c>
      <c r="L106" s="58">
        <v>10</v>
      </c>
      <c r="M106" s="58">
        <v>10</v>
      </c>
      <c r="N106" s="58">
        <v>10</v>
      </c>
      <c r="O106" s="58">
        <v>10</v>
      </c>
      <c r="P106" s="58">
        <v>10</v>
      </c>
      <c r="Q106" s="58">
        <f t="shared" si="49"/>
        <v>120</v>
      </c>
      <c r="R106" s="89">
        <f t="shared" si="42"/>
        <v>10</v>
      </c>
      <c r="S106" s="15"/>
      <c r="T106" s="62">
        <f t="shared" si="50"/>
        <v>4.9616095461367666E-5</v>
      </c>
      <c r="U106" s="62">
        <f t="shared" si="43"/>
        <v>0</v>
      </c>
    </row>
    <row r="107" spans="1:21" x14ac:dyDescent="0.25">
      <c r="A107" s="25"/>
      <c r="B107" s="15" t="s">
        <v>122</v>
      </c>
      <c r="C107" s="56">
        <v>0</v>
      </c>
      <c r="D107" s="57">
        <f t="shared" si="48"/>
        <v>0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58">
        <v>0</v>
      </c>
      <c r="P107" s="58">
        <v>0</v>
      </c>
      <c r="Q107" s="58">
        <f t="shared" si="49"/>
        <v>0</v>
      </c>
      <c r="R107" s="89">
        <f t="shared" si="42"/>
        <v>0</v>
      </c>
      <c r="S107" s="15"/>
      <c r="T107" s="62">
        <f t="shared" si="50"/>
        <v>0</v>
      </c>
      <c r="U107" s="62">
        <f t="shared" si="43"/>
        <v>0</v>
      </c>
    </row>
    <row r="108" spans="1:21" x14ac:dyDescent="0.25">
      <c r="A108" s="25"/>
      <c r="B108" s="15" t="s">
        <v>123</v>
      </c>
      <c r="C108" s="56">
        <v>28699.199999999997</v>
      </c>
      <c r="D108" s="57">
        <f t="shared" si="48"/>
        <v>2391.6</v>
      </c>
      <c r="E108" s="58">
        <v>2391.6</v>
      </c>
      <c r="F108" s="58">
        <v>2391.6</v>
      </c>
      <c r="G108" s="58">
        <v>2391.6</v>
      </c>
      <c r="H108" s="58">
        <v>2391.6</v>
      </c>
      <c r="I108" s="58">
        <v>2391.6</v>
      </c>
      <c r="J108" s="58">
        <v>2391.6</v>
      </c>
      <c r="K108" s="58">
        <v>2391.6</v>
      </c>
      <c r="L108" s="58">
        <v>2391.6</v>
      </c>
      <c r="M108" s="58">
        <v>2391.6</v>
      </c>
      <c r="N108" s="58">
        <v>2391.6</v>
      </c>
      <c r="O108" s="58">
        <v>2391.6</v>
      </c>
      <c r="P108" s="58">
        <v>2391.6</v>
      </c>
      <c r="Q108" s="58">
        <f t="shared" si="49"/>
        <v>28699.199999999993</v>
      </c>
      <c r="R108" s="89">
        <f t="shared" si="42"/>
        <v>2391.5999999999995</v>
      </c>
      <c r="S108" s="15"/>
      <c r="T108" s="62">
        <f t="shared" si="50"/>
        <v>1.1866185390540688E-2</v>
      </c>
      <c r="U108" s="62">
        <f t="shared" si="43"/>
        <v>-1.2676237689871891E-16</v>
      </c>
    </row>
    <row r="109" spans="1:21" ht="15.75" thickBot="1" x14ac:dyDescent="0.3">
      <c r="A109" s="186"/>
      <c r="B109" s="187" t="s">
        <v>124</v>
      </c>
      <c r="C109" s="56">
        <v>15330</v>
      </c>
      <c r="D109" s="57">
        <f t="shared" si="48"/>
        <v>1277.5</v>
      </c>
      <c r="E109" s="58">
        <v>7000</v>
      </c>
      <c r="F109" s="58">
        <v>7000</v>
      </c>
      <c r="G109" s="58">
        <v>7000</v>
      </c>
      <c r="H109" s="58">
        <v>7000</v>
      </c>
      <c r="I109" s="58">
        <v>7000</v>
      </c>
      <c r="J109" s="58">
        <v>7000</v>
      </c>
      <c r="K109" s="58">
        <v>7000</v>
      </c>
      <c r="L109" s="58">
        <v>7000</v>
      </c>
      <c r="M109" s="58">
        <v>7000</v>
      </c>
      <c r="N109" s="58">
        <v>7000</v>
      </c>
      <c r="O109" s="58">
        <v>7000</v>
      </c>
      <c r="P109" s="58">
        <v>7000</v>
      </c>
      <c r="Q109" s="58">
        <f t="shared" si="49"/>
        <v>84000</v>
      </c>
      <c r="R109" s="89">
        <f t="shared" si="42"/>
        <v>7000</v>
      </c>
      <c r="S109" s="15"/>
      <c r="T109" s="62">
        <f t="shared" si="50"/>
        <v>3.4731266822957366E-2</v>
      </c>
      <c r="U109" s="62">
        <f t="shared" si="43"/>
        <v>4.4794520547945202</v>
      </c>
    </row>
    <row r="110" spans="1:21" x14ac:dyDescent="0.25">
      <c r="A110" s="25"/>
      <c r="B110" s="15" t="s">
        <v>125</v>
      </c>
      <c r="C110" s="56">
        <v>0</v>
      </c>
      <c r="D110" s="57">
        <f t="shared" si="48"/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8">
        <v>0</v>
      </c>
      <c r="Q110" s="58">
        <f t="shared" si="49"/>
        <v>0</v>
      </c>
      <c r="R110" s="89">
        <f t="shared" si="42"/>
        <v>0</v>
      </c>
      <c r="S110" s="15"/>
      <c r="T110" s="62">
        <f t="shared" si="50"/>
        <v>0</v>
      </c>
      <c r="U110" s="62">
        <f t="shared" si="43"/>
        <v>0</v>
      </c>
    </row>
    <row r="111" spans="1:21" x14ac:dyDescent="0.25">
      <c r="A111" s="25"/>
      <c r="B111" s="15" t="s">
        <v>126</v>
      </c>
      <c r="C111" s="56">
        <v>235.20000000000002</v>
      </c>
      <c r="D111" s="57">
        <f t="shared" si="48"/>
        <v>19.600000000000001</v>
      </c>
      <c r="E111" s="58">
        <v>25</v>
      </c>
      <c r="F111" s="58">
        <v>25</v>
      </c>
      <c r="G111" s="58">
        <v>25</v>
      </c>
      <c r="H111" s="58">
        <v>25</v>
      </c>
      <c r="I111" s="58">
        <v>25</v>
      </c>
      <c r="J111" s="58">
        <v>25</v>
      </c>
      <c r="K111" s="58">
        <v>25</v>
      </c>
      <c r="L111" s="58">
        <v>25</v>
      </c>
      <c r="M111" s="58">
        <v>25</v>
      </c>
      <c r="N111" s="58">
        <v>25</v>
      </c>
      <c r="O111" s="58">
        <v>25</v>
      </c>
      <c r="P111" s="58">
        <v>25</v>
      </c>
      <c r="Q111" s="58">
        <f t="shared" si="49"/>
        <v>300</v>
      </c>
      <c r="R111" s="89">
        <f t="shared" si="42"/>
        <v>25</v>
      </c>
      <c r="S111" s="15"/>
      <c r="T111" s="62">
        <f t="shared" si="50"/>
        <v>1.2404023865341917E-4</v>
      </c>
      <c r="U111" s="62">
        <f t="shared" si="43"/>
        <v>0.27551020408163257</v>
      </c>
    </row>
    <row r="112" spans="1:21" x14ac:dyDescent="0.25">
      <c r="A112" s="25"/>
      <c r="B112" s="15" t="s">
        <v>127</v>
      </c>
      <c r="C112" s="56">
        <v>4200</v>
      </c>
      <c r="D112" s="57">
        <f t="shared" si="48"/>
        <v>350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58">
        <v>0</v>
      </c>
      <c r="P112" s="58">
        <v>0</v>
      </c>
      <c r="Q112" s="58">
        <f t="shared" si="49"/>
        <v>0</v>
      </c>
      <c r="R112" s="89">
        <f t="shared" si="42"/>
        <v>0</v>
      </c>
      <c r="S112" s="15"/>
      <c r="T112" s="62">
        <f t="shared" si="50"/>
        <v>0</v>
      </c>
      <c r="U112" s="62">
        <f t="shared" si="43"/>
        <v>-1</v>
      </c>
    </row>
    <row r="113" spans="1:21" x14ac:dyDescent="0.25">
      <c r="A113" s="25"/>
      <c r="B113" s="15" t="s">
        <v>128</v>
      </c>
      <c r="C113" s="56">
        <v>0</v>
      </c>
      <c r="D113" s="57">
        <f t="shared" si="48"/>
        <v>0</v>
      </c>
      <c r="E113" s="58">
        <v>0</v>
      </c>
      <c r="F113" s="58">
        <v>0</v>
      </c>
      <c r="G113" s="58">
        <v>0</v>
      </c>
      <c r="H113" s="58">
        <v>0</v>
      </c>
      <c r="I113" s="58">
        <v>0</v>
      </c>
      <c r="J113" s="58">
        <v>0</v>
      </c>
      <c r="K113" s="58">
        <v>0</v>
      </c>
      <c r="L113" s="58">
        <v>0</v>
      </c>
      <c r="M113" s="58">
        <v>0</v>
      </c>
      <c r="N113" s="58">
        <v>0</v>
      </c>
      <c r="O113" s="58">
        <v>0</v>
      </c>
      <c r="P113" s="58">
        <v>0</v>
      </c>
      <c r="Q113" s="58">
        <f t="shared" si="49"/>
        <v>0</v>
      </c>
      <c r="R113" s="89">
        <f t="shared" si="42"/>
        <v>0</v>
      </c>
      <c r="S113" s="15"/>
      <c r="T113" s="62">
        <f t="shared" si="50"/>
        <v>0</v>
      </c>
      <c r="U113" s="62">
        <f t="shared" si="43"/>
        <v>0</v>
      </c>
    </row>
    <row r="114" spans="1:21" x14ac:dyDescent="0.25">
      <c r="A114" s="25"/>
      <c r="B114" s="15" t="s">
        <v>129</v>
      </c>
      <c r="C114" s="56">
        <v>0</v>
      </c>
      <c r="D114" s="57">
        <f t="shared" si="48"/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58">
        <v>0</v>
      </c>
      <c r="P114" s="58">
        <v>0</v>
      </c>
      <c r="Q114" s="58">
        <f t="shared" si="49"/>
        <v>0</v>
      </c>
      <c r="R114" s="89">
        <f t="shared" si="42"/>
        <v>0</v>
      </c>
      <c r="S114" s="15"/>
      <c r="T114" s="62">
        <f t="shared" si="50"/>
        <v>0</v>
      </c>
      <c r="U114" s="62">
        <f t="shared" si="43"/>
        <v>0</v>
      </c>
    </row>
    <row r="115" spans="1:21" x14ac:dyDescent="0.25">
      <c r="A115" s="25"/>
      <c r="B115" s="15" t="s">
        <v>130</v>
      </c>
      <c r="C115" s="56">
        <v>0</v>
      </c>
      <c r="D115" s="57">
        <f t="shared" si="48"/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58">
        <v>0</v>
      </c>
      <c r="P115" s="58">
        <v>0</v>
      </c>
      <c r="Q115" s="58">
        <f t="shared" si="49"/>
        <v>0</v>
      </c>
      <c r="R115" s="89">
        <f t="shared" si="42"/>
        <v>0</v>
      </c>
      <c r="S115" s="15"/>
      <c r="T115" s="62">
        <f t="shared" si="50"/>
        <v>0</v>
      </c>
      <c r="U115" s="62">
        <f t="shared" si="43"/>
        <v>0</v>
      </c>
    </row>
    <row r="116" spans="1:21" x14ac:dyDescent="0.25">
      <c r="A116" s="25"/>
      <c r="B116" s="15" t="s">
        <v>131</v>
      </c>
      <c r="C116" s="56">
        <v>0</v>
      </c>
      <c r="D116" s="57">
        <f t="shared" si="48"/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58">
        <v>0</v>
      </c>
      <c r="P116" s="58">
        <v>0</v>
      </c>
      <c r="Q116" s="58">
        <f t="shared" si="49"/>
        <v>0</v>
      </c>
      <c r="R116" s="89">
        <f t="shared" si="42"/>
        <v>0</v>
      </c>
      <c r="S116" s="15"/>
      <c r="T116" s="62">
        <f t="shared" si="50"/>
        <v>0</v>
      </c>
      <c r="U116" s="62">
        <f t="shared" si="43"/>
        <v>0</v>
      </c>
    </row>
    <row r="117" spans="1:21" ht="23.25" x14ac:dyDescent="0.25">
      <c r="A117" s="25"/>
      <c r="B117" s="15" t="s">
        <v>132</v>
      </c>
      <c r="C117" s="56">
        <v>0</v>
      </c>
      <c r="D117" s="57">
        <f t="shared" si="48"/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58">
        <v>0</v>
      </c>
      <c r="P117" s="58">
        <v>0</v>
      </c>
      <c r="Q117" s="58">
        <f t="shared" si="49"/>
        <v>0</v>
      </c>
      <c r="R117" s="89">
        <f t="shared" si="42"/>
        <v>0</v>
      </c>
      <c r="S117" s="15"/>
      <c r="T117" s="62">
        <f t="shared" si="50"/>
        <v>0</v>
      </c>
      <c r="U117" s="62">
        <f t="shared" si="43"/>
        <v>0</v>
      </c>
    </row>
    <row r="118" spans="1:21" ht="23.25" x14ac:dyDescent="0.25">
      <c r="A118" s="25"/>
      <c r="B118" s="15" t="s">
        <v>133</v>
      </c>
      <c r="C118" s="56">
        <v>0</v>
      </c>
      <c r="D118" s="57">
        <f t="shared" si="48"/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58">
        <v>0</v>
      </c>
      <c r="P118" s="58">
        <v>0</v>
      </c>
      <c r="Q118" s="58">
        <f t="shared" si="49"/>
        <v>0</v>
      </c>
      <c r="R118" s="89">
        <f t="shared" si="42"/>
        <v>0</v>
      </c>
      <c r="S118" s="15"/>
      <c r="T118" s="62">
        <f t="shared" si="50"/>
        <v>0</v>
      </c>
      <c r="U118" s="62">
        <f t="shared" si="43"/>
        <v>0</v>
      </c>
    </row>
    <row r="119" spans="1:21" x14ac:dyDescent="0.25">
      <c r="A119" s="25"/>
      <c r="B119" s="15" t="s">
        <v>134</v>
      </c>
      <c r="C119" s="56">
        <v>0</v>
      </c>
      <c r="D119" s="57">
        <f t="shared" si="48"/>
        <v>0</v>
      </c>
      <c r="E119" s="58">
        <v>0</v>
      </c>
      <c r="F119" s="58">
        <v>0</v>
      </c>
      <c r="G119" s="58">
        <v>0</v>
      </c>
      <c r="H119" s="58">
        <v>0</v>
      </c>
      <c r="I119" s="58">
        <v>0</v>
      </c>
      <c r="J119" s="58">
        <v>0</v>
      </c>
      <c r="K119" s="58">
        <v>0</v>
      </c>
      <c r="L119" s="58">
        <v>0</v>
      </c>
      <c r="M119" s="58">
        <v>0</v>
      </c>
      <c r="N119" s="58">
        <v>0</v>
      </c>
      <c r="O119" s="58">
        <v>0</v>
      </c>
      <c r="P119" s="58">
        <v>0</v>
      </c>
      <c r="Q119" s="58">
        <f t="shared" si="49"/>
        <v>0</v>
      </c>
      <c r="R119" s="89">
        <f t="shared" si="42"/>
        <v>0</v>
      </c>
      <c r="S119" s="15"/>
      <c r="T119" s="62">
        <f t="shared" si="50"/>
        <v>0</v>
      </c>
      <c r="U119" s="62">
        <f t="shared" si="43"/>
        <v>0</v>
      </c>
    </row>
    <row r="120" spans="1:21" x14ac:dyDescent="0.25">
      <c r="A120" s="25"/>
      <c r="B120" s="15" t="s">
        <v>135</v>
      </c>
      <c r="C120" s="56">
        <v>0</v>
      </c>
      <c r="D120" s="57">
        <f t="shared" si="48"/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58">
        <v>0</v>
      </c>
      <c r="P120" s="58">
        <v>0</v>
      </c>
      <c r="Q120" s="58">
        <f t="shared" si="49"/>
        <v>0</v>
      </c>
      <c r="R120" s="89">
        <f t="shared" si="42"/>
        <v>0</v>
      </c>
      <c r="S120" s="15"/>
      <c r="T120" s="62">
        <f t="shared" si="50"/>
        <v>0</v>
      </c>
      <c r="U120" s="62">
        <f t="shared" si="43"/>
        <v>0</v>
      </c>
    </row>
    <row r="121" spans="1:21" x14ac:dyDescent="0.25">
      <c r="A121" s="63" t="s">
        <v>136</v>
      </c>
      <c r="B121" s="15" t="s">
        <v>48</v>
      </c>
      <c r="C121" s="91">
        <f t="shared" ref="C121:D121" si="52">SUM(C97:C120)</f>
        <v>100715.052</v>
      </c>
      <c r="D121" s="92">
        <f t="shared" si="52"/>
        <v>8392.9210000000003</v>
      </c>
      <c r="E121" s="93">
        <f t="shared" ref="E121:Q121" si="53">SUM(E97:E120)</f>
        <v>12931.6</v>
      </c>
      <c r="F121" s="93">
        <f t="shared" si="53"/>
        <v>12931.6</v>
      </c>
      <c r="G121" s="93">
        <f t="shared" si="53"/>
        <v>12931.6</v>
      </c>
      <c r="H121" s="93">
        <f t="shared" si="53"/>
        <v>12931.6</v>
      </c>
      <c r="I121" s="93">
        <f t="shared" si="53"/>
        <v>12951.6</v>
      </c>
      <c r="J121" s="93">
        <f t="shared" si="53"/>
        <v>12951.6</v>
      </c>
      <c r="K121" s="93">
        <f t="shared" si="53"/>
        <v>13151.6</v>
      </c>
      <c r="L121" s="93">
        <f t="shared" si="53"/>
        <v>13151.6</v>
      </c>
      <c r="M121" s="93">
        <f t="shared" si="53"/>
        <v>13151.6</v>
      </c>
      <c r="N121" s="93">
        <f t="shared" si="53"/>
        <v>13151.6</v>
      </c>
      <c r="O121" s="93">
        <f t="shared" si="53"/>
        <v>13151.6</v>
      </c>
      <c r="P121" s="93">
        <f t="shared" si="53"/>
        <v>13151.6</v>
      </c>
      <c r="Q121" s="93">
        <f t="shared" si="53"/>
        <v>156539.20000000001</v>
      </c>
      <c r="R121" s="94">
        <f>AVERAGE(E121:P121)</f>
        <v>13044.933333333336</v>
      </c>
      <c r="T121" s="96">
        <f t="shared" si="50"/>
        <v>6.4723865755384385E-2</v>
      </c>
      <c r="U121" s="96">
        <f t="shared" si="43"/>
        <v>0.55427810333653027</v>
      </c>
    </row>
    <row r="122" spans="1:21" x14ac:dyDescent="0.25">
      <c r="A122" s="15" t="s">
        <v>137</v>
      </c>
      <c r="B122" s="15" t="s">
        <v>48</v>
      </c>
      <c r="C122" s="114">
        <v>0</v>
      </c>
      <c r="D122" s="115"/>
      <c r="E122" s="59"/>
      <c r="F122" s="59"/>
      <c r="G122" s="59"/>
      <c r="H122" s="59"/>
      <c r="I122" s="59"/>
      <c r="J122" s="59"/>
      <c r="K122" s="59"/>
      <c r="L122" s="58"/>
      <c r="M122" s="58"/>
      <c r="N122" s="58"/>
      <c r="O122" s="59"/>
      <c r="P122" s="59"/>
      <c r="Q122" s="59"/>
      <c r="R122" s="60"/>
      <c r="T122" s="22"/>
      <c r="U122" s="22"/>
    </row>
    <row r="123" spans="1:21" ht="23.25" x14ac:dyDescent="0.25">
      <c r="A123" s="25"/>
      <c r="B123" s="15" t="s">
        <v>138</v>
      </c>
      <c r="C123" s="56">
        <v>336.13200000000006</v>
      </c>
      <c r="D123" s="57">
        <f>C123/12</f>
        <v>28.011000000000006</v>
      </c>
      <c r="E123" s="58">
        <v>50</v>
      </c>
      <c r="F123" s="58">
        <v>50</v>
      </c>
      <c r="G123" s="58">
        <v>50</v>
      </c>
      <c r="H123" s="58">
        <v>50</v>
      </c>
      <c r="I123" s="58">
        <v>50</v>
      </c>
      <c r="J123" s="58">
        <v>50</v>
      </c>
      <c r="K123" s="58">
        <v>50</v>
      </c>
      <c r="L123" s="58">
        <v>50</v>
      </c>
      <c r="M123" s="58">
        <v>50</v>
      </c>
      <c r="N123" s="58">
        <v>50</v>
      </c>
      <c r="O123" s="58">
        <v>50</v>
      </c>
      <c r="P123" s="58">
        <v>50</v>
      </c>
      <c r="Q123" s="58">
        <f>SUM(E123:P123)</f>
        <v>600</v>
      </c>
      <c r="R123" s="89">
        <f t="shared" si="42"/>
        <v>50</v>
      </c>
      <c r="S123" s="15"/>
      <c r="T123" s="62">
        <f t="shared" si="50"/>
        <v>2.4808047730683834E-4</v>
      </c>
      <c r="U123" s="62">
        <f t="shared" si="43"/>
        <v>0.78501303059512306</v>
      </c>
    </row>
    <row r="124" spans="1:21" x14ac:dyDescent="0.25">
      <c r="A124" s="63" t="s">
        <v>139</v>
      </c>
      <c r="B124" s="15" t="s">
        <v>48</v>
      </c>
      <c r="C124" s="91">
        <f t="shared" ref="C124:Q124" si="54">SUM(C123:C123)</f>
        <v>336.13200000000006</v>
      </c>
      <c r="D124" s="92">
        <f t="shared" si="54"/>
        <v>28.011000000000006</v>
      </c>
      <c r="E124" s="93">
        <f t="shared" si="54"/>
        <v>50</v>
      </c>
      <c r="F124" s="93">
        <f t="shared" si="54"/>
        <v>50</v>
      </c>
      <c r="G124" s="93">
        <f t="shared" si="54"/>
        <v>50</v>
      </c>
      <c r="H124" s="93">
        <f t="shared" si="54"/>
        <v>50</v>
      </c>
      <c r="I124" s="93">
        <f t="shared" si="54"/>
        <v>50</v>
      </c>
      <c r="J124" s="93">
        <f t="shared" si="54"/>
        <v>50</v>
      </c>
      <c r="K124" s="93">
        <f t="shared" si="54"/>
        <v>50</v>
      </c>
      <c r="L124" s="93">
        <f t="shared" si="54"/>
        <v>50</v>
      </c>
      <c r="M124" s="93">
        <f t="shared" si="54"/>
        <v>50</v>
      </c>
      <c r="N124" s="93">
        <f t="shared" si="54"/>
        <v>50</v>
      </c>
      <c r="O124" s="93">
        <f t="shared" si="54"/>
        <v>50</v>
      </c>
      <c r="P124" s="93">
        <f t="shared" si="54"/>
        <v>50</v>
      </c>
      <c r="Q124" s="93">
        <f t="shared" si="54"/>
        <v>600</v>
      </c>
      <c r="R124" s="94">
        <f t="shared" si="42"/>
        <v>50</v>
      </c>
      <c r="T124" s="96">
        <f t="shared" si="50"/>
        <v>2.4808047730683834E-4</v>
      </c>
      <c r="U124" s="96">
        <f t="shared" si="43"/>
        <v>0.78501303059512306</v>
      </c>
    </row>
    <row r="125" spans="1:21" x14ac:dyDescent="0.25">
      <c r="A125" s="15" t="s">
        <v>140</v>
      </c>
      <c r="B125" s="15"/>
      <c r="C125" s="137">
        <v>0</v>
      </c>
      <c r="D125" s="138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40"/>
      <c r="T125" s="141"/>
      <c r="U125" s="141"/>
    </row>
    <row r="126" spans="1:21" x14ac:dyDescent="0.25">
      <c r="A126" s="63"/>
      <c r="B126" s="15" t="s">
        <v>141</v>
      </c>
      <c r="C126" s="56">
        <v>40621.86</v>
      </c>
      <c r="D126" s="57">
        <f>C126/12</f>
        <v>3385.1550000000002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58">
        <v>0</v>
      </c>
      <c r="P126" s="58">
        <v>0</v>
      </c>
      <c r="Q126" s="58">
        <f>SUM(E126:P126)</f>
        <v>0</v>
      </c>
      <c r="R126" s="89">
        <f t="shared" si="42"/>
        <v>0</v>
      </c>
      <c r="S126" s="15"/>
      <c r="T126" s="62">
        <f t="shared" si="50"/>
        <v>0</v>
      </c>
      <c r="U126" s="62">
        <f t="shared" si="43"/>
        <v>-1</v>
      </c>
    </row>
    <row r="127" spans="1:21" ht="15.75" thickBot="1" x14ac:dyDescent="0.3">
      <c r="A127" s="63" t="s">
        <v>142</v>
      </c>
      <c r="B127" s="15"/>
      <c r="C127" s="137">
        <f t="shared" ref="C127:Q127" si="55">SUM(C126:C126)</f>
        <v>40621.86</v>
      </c>
      <c r="D127" s="138">
        <f t="shared" si="55"/>
        <v>3385.1550000000002</v>
      </c>
      <c r="E127" s="139">
        <f t="shared" si="55"/>
        <v>0</v>
      </c>
      <c r="F127" s="139">
        <f t="shared" si="55"/>
        <v>0</v>
      </c>
      <c r="G127" s="139">
        <f t="shared" si="55"/>
        <v>0</v>
      </c>
      <c r="H127" s="139">
        <f t="shared" si="55"/>
        <v>0</v>
      </c>
      <c r="I127" s="139">
        <f t="shared" si="55"/>
        <v>0</v>
      </c>
      <c r="J127" s="139">
        <f t="shared" si="55"/>
        <v>0</v>
      </c>
      <c r="K127" s="139">
        <f t="shared" si="55"/>
        <v>0</v>
      </c>
      <c r="L127" s="139">
        <f t="shared" si="55"/>
        <v>0</v>
      </c>
      <c r="M127" s="139">
        <f t="shared" si="55"/>
        <v>0</v>
      </c>
      <c r="N127" s="139">
        <f t="shared" si="55"/>
        <v>0</v>
      </c>
      <c r="O127" s="139">
        <f t="shared" si="55"/>
        <v>0</v>
      </c>
      <c r="P127" s="139">
        <f t="shared" si="55"/>
        <v>0</v>
      </c>
      <c r="Q127" s="139">
        <f t="shared" si="55"/>
        <v>0</v>
      </c>
      <c r="R127" s="140">
        <f t="shared" si="42"/>
        <v>0</v>
      </c>
      <c r="T127" s="141">
        <f t="shared" si="50"/>
        <v>0</v>
      </c>
      <c r="U127" s="141">
        <f t="shared" si="43"/>
        <v>-1</v>
      </c>
    </row>
    <row r="128" spans="1:21" s="142" customFormat="1" ht="15.75" thickBot="1" x14ac:dyDescent="0.3">
      <c r="A128" s="63" t="s">
        <v>143</v>
      </c>
      <c r="B128" s="142" t="s">
        <v>48</v>
      </c>
      <c r="C128" s="143">
        <f>C124+C121+C90+C82+C73+C62+C48+C95+C76+C127+C134</f>
        <v>1635720.0520000001</v>
      </c>
      <c r="D128" s="144">
        <f t="shared" ref="D128:P128" si="56">D124+D121+D90+D82+D73+D62+D48+D95+D76+D127+D134</f>
        <v>136310.00433333335</v>
      </c>
      <c r="E128" s="145">
        <f t="shared" si="56"/>
        <v>160108.02781675878</v>
      </c>
      <c r="F128" s="146">
        <f t="shared" si="56"/>
        <v>152023.66730155968</v>
      </c>
      <c r="G128" s="146">
        <f t="shared" si="56"/>
        <v>153228.33351955967</v>
      </c>
      <c r="H128" s="146">
        <f t="shared" si="56"/>
        <v>156892.91547287206</v>
      </c>
      <c r="I128" s="146">
        <f>I124+I121+I90+I82+I73+I62+I48+I95+I76+I127+I134</f>
        <v>161440.97867618443</v>
      </c>
      <c r="J128" s="146">
        <f t="shared" si="56"/>
        <v>148879.33346700703</v>
      </c>
      <c r="K128" s="146">
        <f t="shared" si="56"/>
        <v>162702.82864691806</v>
      </c>
      <c r="L128" s="146">
        <f t="shared" si="56"/>
        <v>160471.42952722774</v>
      </c>
      <c r="M128" s="146">
        <f t="shared" si="56"/>
        <v>156106.54638621738</v>
      </c>
      <c r="N128" s="146">
        <f t="shared" si="56"/>
        <v>165480.11009123808</v>
      </c>
      <c r="O128" s="146">
        <f t="shared" si="56"/>
        <v>156639.46288221737</v>
      </c>
      <c r="P128" s="146">
        <f t="shared" si="56"/>
        <v>161258.53179922773</v>
      </c>
      <c r="Q128" s="147">
        <f t="shared" ref="Q128" si="57">Q124+Q121+Q90+Q82+Q73+Q62+Q48+Q95+Q76+Q127</f>
        <v>1895232.1655869882</v>
      </c>
      <c r="R128" s="148">
        <f t="shared" si="42"/>
        <v>157936.01379891569</v>
      </c>
      <c r="T128" s="76">
        <f t="shared" si="50"/>
        <v>0.78361683374348823</v>
      </c>
      <c r="U128" s="76">
        <f t="shared" si="43"/>
        <v>0.15865313460557126</v>
      </c>
    </row>
    <row r="129" spans="1:21" ht="15.75" thickBot="1" x14ac:dyDescent="0.3">
      <c r="A129" s="78" t="s">
        <v>144</v>
      </c>
      <c r="B129" t="s">
        <v>48</v>
      </c>
      <c r="C129" s="149">
        <f>C34-C128+C102+C134</f>
        <v>156990.14799999981</v>
      </c>
      <c r="D129" s="150">
        <f t="shared" ref="D129:P129" si="58">D34-D128+D102+D134</f>
        <v>13082.512333333318</v>
      </c>
      <c r="E129" s="151">
        <f t="shared" si="58"/>
        <v>34204.472183241218</v>
      </c>
      <c r="F129" s="152">
        <f t="shared" si="58"/>
        <v>30748.832698440325</v>
      </c>
      <c r="G129" s="152">
        <f t="shared" si="58"/>
        <v>41084.166480440326</v>
      </c>
      <c r="H129" s="152">
        <f t="shared" si="58"/>
        <v>31649.58452712794</v>
      </c>
      <c r="I129" s="152">
        <f>I34-I128+I102+I134</f>
        <v>32871.52132381557</v>
      </c>
      <c r="J129" s="152">
        <f t="shared" si="58"/>
        <v>39663.166532992967</v>
      </c>
      <c r="K129" s="152">
        <f t="shared" si="58"/>
        <v>52069.67135308194</v>
      </c>
      <c r="L129" s="152">
        <f t="shared" si="58"/>
        <v>54301.070472772262</v>
      </c>
      <c r="M129" s="152">
        <f t="shared" si="58"/>
        <v>52235.953613782622</v>
      </c>
      <c r="N129" s="152">
        <f t="shared" si="58"/>
        <v>49292.389908761921</v>
      </c>
      <c r="O129" s="152">
        <f t="shared" si="58"/>
        <v>51703.037117782631</v>
      </c>
      <c r="P129" s="152">
        <f t="shared" si="58"/>
        <v>53513.968200772273</v>
      </c>
      <c r="Q129" s="153">
        <f t="shared" ref="Q129" si="59">Q34-Q128+Q102</f>
        <v>523337.83441301179</v>
      </c>
      <c r="R129" s="154">
        <f>AVERAGE(E129:P129)</f>
        <v>43611.486201084335</v>
      </c>
      <c r="T129" s="31">
        <f t="shared" si="50"/>
        <v>0.21638316625651183</v>
      </c>
      <c r="U129" s="31">
        <f t="shared" si="43"/>
        <v>2.3335711895310296</v>
      </c>
    </row>
    <row r="130" spans="1:21" x14ac:dyDescent="0.25">
      <c r="A130" s="78" t="s">
        <v>145</v>
      </c>
      <c r="B130" t="s">
        <v>48</v>
      </c>
      <c r="C130" s="155">
        <f t="shared" ref="C130:Q130" si="60">IFERROR(C129/C34,0)</f>
        <v>8.7571403342269052E-2</v>
      </c>
      <c r="D130" s="156">
        <f t="shared" si="60"/>
        <v>8.7571403342269052E-2</v>
      </c>
      <c r="E130" s="157">
        <f t="shared" si="60"/>
        <v>0.17602816176643921</v>
      </c>
      <c r="F130" s="158">
        <f t="shared" si="60"/>
        <v>0.16823555348009314</v>
      </c>
      <c r="G130" s="158">
        <f t="shared" si="60"/>
        <v>0.2114334717552413</v>
      </c>
      <c r="H130" s="158">
        <f t="shared" si="60"/>
        <v>0.16786445775953932</v>
      </c>
      <c r="I130" s="158">
        <f t="shared" si="60"/>
        <v>0.16916833103282378</v>
      </c>
      <c r="J130" s="158">
        <f t="shared" si="60"/>
        <v>0.21036724628660894</v>
      </c>
      <c r="K130" s="158">
        <f t="shared" si="60"/>
        <v>0.24244105438583591</v>
      </c>
      <c r="L130" s="158">
        <f t="shared" si="60"/>
        <v>0.25283064858290638</v>
      </c>
      <c r="M130" s="158">
        <f t="shared" si="60"/>
        <v>0.25072154559815024</v>
      </c>
      <c r="N130" s="158">
        <f t="shared" si="60"/>
        <v>0.22950978318342397</v>
      </c>
      <c r="O130" s="158">
        <f t="shared" si="60"/>
        <v>0.24816365896436221</v>
      </c>
      <c r="P130" s="158">
        <f t="shared" si="60"/>
        <v>0.24916582989336286</v>
      </c>
      <c r="Q130" s="159">
        <f t="shared" si="60"/>
        <v>0.21638316625651183</v>
      </c>
      <c r="R130" s="160">
        <f t="shared" si="42"/>
        <v>0.21466081189073227</v>
      </c>
      <c r="T130" s="31"/>
      <c r="U130" s="31">
        <f>IFERROR((Q130-C130)/C130,0)</f>
        <v>1.4709340948983947</v>
      </c>
    </row>
    <row r="131" spans="1:21" x14ac:dyDescent="0.25">
      <c r="A131" s="78" t="s">
        <v>146</v>
      </c>
      <c r="C131" s="161" t="s">
        <v>1</v>
      </c>
      <c r="D131" s="162" t="s">
        <v>1</v>
      </c>
      <c r="E131" s="163" t="s">
        <v>1</v>
      </c>
      <c r="F131" s="164" t="s">
        <v>1</v>
      </c>
      <c r="G131" s="164" t="s">
        <v>1</v>
      </c>
      <c r="H131" s="164" t="s">
        <v>1</v>
      </c>
      <c r="I131" s="164" t="s">
        <v>1</v>
      </c>
      <c r="J131" s="164" t="s">
        <v>1</v>
      </c>
      <c r="K131" s="164" t="s">
        <v>1</v>
      </c>
      <c r="L131" s="164" t="s">
        <v>1</v>
      </c>
      <c r="M131" s="164" t="s">
        <v>1</v>
      </c>
      <c r="N131" s="164" t="s">
        <v>1</v>
      </c>
      <c r="O131" s="164" t="s">
        <v>1</v>
      </c>
      <c r="P131" s="164" t="s">
        <v>1</v>
      </c>
      <c r="Q131" s="165"/>
      <c r="R131" s="166"/>
      <c r="T131" s="55"/>
      <c r="U131" s="55"/>
    </row>
    <row r="132" spans="1:21" x14ac:dyDescent="0.25">
      <c r="A132" s="78"/>
      <c r="B132" s="15" t="s">
        <v>147</v>
      </c>
      <c r="C132" s="167">
        <v>0</v>
      </c>
      <c r="D132" s="168">
        <v>0</v>
      </c>
      <c r="E132" s="169">
        <v>0</v>
      </c>
      <c r="F132" s="169">
        <v>0</v>
      </c>
      <c r="G132" s="169">
        <v>0</v>
      </c>
      <c r="H132" s="169">
        <v>0</v>
      </c>
      <c r="I132" s="169">
        <v>0</v>
      </c>
      <c r="J132" s="169">
        <v>0</v>
      </c>
      <c r="K132" s="169">
        <v>0</v>
      </c>
      <c r="L132" s="169">
        <v>0</v>
      </c>
      <c r="M132" s="169">
        <v>0</v>
      </c>
      <c r="N132" s="169">
        <v>0</v>
      </c>
      <c r="O132" s="169">
        <v>0</v>
      </c>
      <c r="P132" s="169">
        <v>0</v>
      </c>
      <c r="Q132" s="170">
        <f>SUM(E132:P132)</f>
        <v>0</v>
      </c>
      <c r="R132" s="171">
        <f t="shared" ref="R132:R133" si="61">AVERAGE(E132:P132)</f>
        <v>0</v>
      </c>
      <c r="S132" s="15"/>
      <c r="T132" s="62">
        <f t="shared" si="50"/>
        <v>0</v>
      </c>
      <c r="U132" s="62">
        <f t="shared" si="43"/>
        <v>0</v>
      </c>
    </row>
    <row r="133" spans="1:21" x14ac:dyDescent="0.25">
      <c r="A133" s="78"/>
      <c r="B133" s="15" t="s">
        <v>148</v>
      </c>
      <c r="C133" s="167">
        <v>0</v>
      </c>
      <c r="D133" s="168">
        <v>0</v>
      </c>
      <c r="E133" s="169">
        <v>0</v>
      </c>
      <c r="F133" s="169">
        <v>0</v>
      </c>
      <c r="G133" s="169">
        <v>0</v>
      </c>
      <c r="H133" s="169">
        <v>0</v>
      </c>
      <c r="I133" s="169">
        <v>0</v>
      </c>
      <c r="J133" s="169">
        <v>0</v>
      </c>
      <c r="K133" s="169">
        <v>0</v>
      </c>
      <c r="L133" s="169">
        <v>0</v>
      </c>
      <c r="M133" s="169">
        <v>0</v>
      </c>
      <c r="N133" s="169">
        <v>0</v>
      </c>
      <c r="O133" s="169">
        <v>0</v>
      </c>
      <c r="P133" s="169">
        <v>0</v>
      </c>
      <c r="Q133" s="170">
        <f>SUM(E133:P133)</f>
        <v>0</v>
      </c>
      <c r="R133" s="171">
        <f t="shared" si="61"/>
        <v>0</v>
      </c>
      <c r="S133" s="15"/>
      <c r="T133" s="62">
        <f t="shared" si="50"/>
        <v>0</v>
      </c>
      <c r="U133" s="62">
        <f t="shared" si="43"/>
        <v>0</v>
      </c>
    </row>
    <row r="134" spans="1:21" ht="23.25" thickBot="1" x14ac:dyDescent="0.3">
      <c r="A134" s="63" t="s">
        <v>149</v>
      </c>
      <c r="C134" s="172">
        <f>SUM(C132:C133)</f>
        <v>0</v>
      </c>
      <c r="D134" s="173">
        <f t="shared" ref="D134:Q134" si="62">SUM(D132:D133)</f>
        <v>0</v>
      </c>
      <c r="E134" s="174">
        <f t="shared" si="62"/>
        <v>0</v>
      </c>
      <c r="F134" s="175">
        <f t="shared" si="62"/>
        <v>0</v>
      </c>
      <c r="G134" s="175">
        <f t="shared" si="62"/>
        <v>0</v>
      </c>
      <c r="H134" s="175">
        <f t="shared" si="62"/>
        <v>0</v>
      </c>
      <c r="I134" s="175">
        <f>SUM(I132:I133)</f>
        <v>0</v>
      </c>
      <c r="J134" s="175">
        <f t="shared" si="62"/>
        <v>0</v>
      </c>
      <c r="K134" s="175">
        <f t="shared" si="62"/>
        <v>0</v>
      </c>
      <c r="L134" s="175">
        <f t="shared" si="62"/>
        <v>0</v>
      </c>
      <c r="M134" s="175">
        <f t="shared" si="62"/>
        <v>0</v>
      </c>
      <c r="N134" s="175">
        <f t="shared" si="62"/>
        <v>0</v>
      </c>
      <c r="O134" s="175">
        <f t="shared" si="62"/>
        <v>0</v>
      </c>
      <c r="P134" s="175">
        <f t="shared" si="62"/>
        <v>0</v>
      </c>
      <c r="Q134" s="176">
        <f t="shared" si="62"/>
        <v>0</v>
      </c>
      <c r="R134" s="177">
        <f>AVERAGE(E134:P134)</f>
        <v>0</v>
      </c>
      <c r="T134" s="141">
        <f t="shared" si="50"/>
        <v>0</v>
      </c>
      <c r="U134" s="141">
        <f t="shared" si="43"/>
        <v>0</v>
      </c>
    </row>
    <row r="135" spans="1:21" ht="23.25" thickBot="1" x14ac:dyDescent="0.3">
      <c r="A135" s="63" t="s">
        <v>150</v>
      </c>
      <c r="C135" s="143">
        <f>C134+C128</f>
        <v>1635720.0520000001</v>
      </c>
      <c r="D135" s="144">
        <f t="shared" ref="D135:P135" si="63">D134+D128</f>
        <v>136310.00433333335</v>
      </c>
      <c r="E135" s="145">
        <f t="shared" si="63"/>
        <v>160108.02781675878</v>
      </c>
      <c r="F135" s="146">
        <f t="shared" si="63"/>
        <v>152023.66730155968</v>
      </c>
      <c r="G135" s="146">
        <f t="shared" si="63"/>
        <v>153228.33351955967</v>
      </c>
      <c r="H135" s="146">
        <f t="shared" si="63"/>
        <v>156892.91547287206</v>
      </c>
      <c r="I135" s="146">
        <f>I134+I128</f>
        <v>161440.97867618443</v>
      </c>
      <c r="J135" s="146">
        <f t="shared" si="63"/>
        <v>148879.33346700703</v>
      </c>
      <c r="K135" s="146">
        <f t="shared" si="63"/>
        <v>162702.82864691806</v>
      </c>
      <c r="L135" s="146">
        <f t="shared" si="63"/>
        <v>160471.42952722774</v>
      </c>
      <c r="M135" s="146">
        <f t="shared" si="63"/>
        <v>156106.54638621738</v>
      </c>
      <c r="N135" s="146">
        <f t="shared" si="63"/>
        <v>165480.11009123808</v>
      </c>
      <c r="O135" s="146">
        <f t="shared" si="63"/>
        <v>156639.46288221737</v>
      </c>
      <c r="P135" s="146">
        <f t="shared" si="63"/>
        <v>161258.53179922773</v>
      </c>
      <c r="Q135" s="147">
        <f>Q134+Q128</f>
        <v>1895232.1655869882</v>
      </c>
      <c r="R135" s="148">
        <f t="shared" si="42"/>
        <v>157936.01379891569</v>
      </c>
      <c r="T135" s="76">
        <f t="shared" si="50"/>
        <v>0.78361683374348823</v>
      </c>
      <c r="U135" s="76">
        <f t="shared" si="43"/>
        <v>0.15865313460557126</v>
      </c>
    </row>
    <row r="136" spans="1:21" ht="15.75" thickBot="1" x14ac:dyDescent="0.3">
      <c r="A136" s="78" t="s">
        <v>151</v>
      </c>
      <c r="C136" s="149">
        <f>C34-C135</f>
        <v>156990.14799999981</v>
      </c>
      <c r="D136" s="150">
        <f t="shared" ref="D136:Q136" si="64">D34-D135</f>
        <v>13082.512333333318</v>
      </c>
      <c r="E136" s="151">
        <f t="shared" si="64"/>
        <v>34204.472183241218</v>
      </c>
      <c r="F136" s="152">
        <f t="shared" si="64"/>
        <v>30748.832698440325</v>
      </c>
      <c r="G136" s="152">
        <f t="shared" si="64"/>
        <v>41084.166480440326</v>
      </c>
      <c r="H136" s="152">
        <f t="shared" si="64"/>
        <v>31649.58452712794</v>
      </c>
      <c r="I136" s="152">
        <f t="shared" si="64"/>
        <v>32871.52132381557</v>
      </c>
      <c r="J136" s="152">
        <f t="shared" si="64"/>
        <v>39663.166532992967</v>
      </c>
      <c r="K136" s="152">
        <f t="shared" si="64"/>
        <v>52069.67135308194</v>
      </c>
      <c r="L136" s="152">
        <f t="shared" si="64"/>
        <v>54301.070472772262</v>
      </c>
      <c r="M136" s="152">
        <f t="shared" si="64"/>
        <v>52235.953613782622</v>
      </c>
      <c r="N136" s="152">
        <f t="shared" si="64"/>
        <v>49292.389908761921</v>
      </c>
      <c r="O136" s="152">
        <f t="shared" si="64"/>
        <v>51703.037117782631</v>
      </c>
      <c r="P136" s="152">
        <f t="shared" si="64"/>
        <v>53513.968200772273</v>
      </c>
      <c r="Q136" s="153">
        <f t="shared" si="64"/>
        <v>523337.83441301179</v>
      </c>
      <c r="R136" s="154">
        <f>AVERAGE(E136:P136)</f>
        <v>43611.486201084335</v>
      </c>
      <c r="T136" s="31">
        <f>Q136/$Q$34</f>
        <v>0.21638316625651183</v>
      </c>
      <c r="U136" s="31">
        <f t="shared" si="43"/>
        <v>2.3335711895310296</v>
      </c>
    </row>
    <row r="137" spans="1:21" ht="15.75" thickBot="1" x14ac:dyDescent="0.3">
      <c r="A137" s="78" t="s">
        <v>152</v>
      </c>
      <c r="C137" s="178">
        <f t="shared" ref="C137:Q137" si="65">IFERROR(C136/C34,0)</f>
        <v>8.7571403342269052E-2</v>
      </c>
      <c r="D137" s="179">
        <f t="shared" si="65"/>
        <v>8.7571403342269052E-2</v>
      </c>
      <c r="E137" s="157">
        <f t="shared" si="65"/>
        <v>0.17602816176643921</v>
      </c>
      <c r="F137" s="158">
        <f t="shared" si="65"/>
        <v>0.16823555348009314</v>
      </c>
      <c r="G137" s="158">
        <f t="shared" si="65"/>
        <v>0.2114334717552413</v>
      </c>
      <c r="H137" s="158">
        <f t="shared" si="65"/>
        <v>0.16786445775953932</v>
      </c>
      <c r="I137" s="158">
        <f t="shared" si="65"/>
        <v>0.16916833103282378</v>
      </c>
      <c r="J137" s="158">
        <f t="shared" si="65"/>
        <v>0.21036724628660894</v>
      </c>
      <c r="K137" s="158">
        <f t="shared" si="65"/>
        <v>0.24244105438583591</v>
      </c>
      <c r="L137" s="158">
        <f t="shared" si="65"/>
        <v>0.25283064858290638</v>
      </c>
      <c r="M137" s="158">
        <f t="shared" si="65"/>
        <v>0.25072154559815024</v>
      </c>
      <c r="N137" s="158">
        <f t="shared" si="65"/>
        <v>0.22950978318342397</v>
      </c>
      <c r="O137" s="158">
        <f t="shared" si="65"/>
        <v>0.24816365896436221</v>
      </c>
      <c r="P137" s="158">
        <f t="shared" si="65"/>
        <v>0.24916582989336286</v>
      </c>
      <c r="Q137" s="159">
        <f t="shared" si="65"/>
        <v>0.21638316625651183</v>
      </c>
      <c r="R137" s="180">
        <f t="shared" si="42"/>
        <v>0.21466081189073227</v>
      </c>
      <c r="T137" s="181"/>
      <c r="U137" s="181">
        <f>IFERROR((Q137-C137)/C137,0)</f>
        <v>1.4709340948983947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5137-BF9D-4A41-AFFE-238021F9DBC3}">
  <dimension ref="A1:V139"/>
  <sheetViews>
    <sheetView topLeftCell="B1" workbookViewId="0">
      <selection activeCell="S17" sqref="S17"/>
    </sheetView>
  </sheetViews>
  <sheetFormatPr defaultColWidth="9.140625" defaultRowHeight="12.75" x14ac:dyDescent="0.2"/>
  <cols>
    <col min="1" max="1" width="39.28515625" style="188" hidden="1" customWidth="1"/>
    <col min="2" max="2" width="43.140625" style="188" bestFit="1" customWidth="1"/>
    <col min="3" max="3" width="13.140625" style="188" bestFit="1" customWidth="1"/>
    <col min="4" max="4" width="10.140625" style="188" bestFit="1" customWidth="1"/>
    <col min="5" max="6" width="10" style="188" bestFit="1" customWidth="1"/>
    <col min="7" max="16" width="10.5703125" style="188" bestFit="1" customWidth="1"/>
    <col min="17" max="17" width="12.5703125" style="188" bestFit="1" customWidth="1"/>
    <col min="18" max="18" width="10.140625" style="188" bestFit="1" customWidth="1"/>
    <col min="19" max="19" width="58" style="188" bestFit="1" customWidth="1"/>
    <col min="20" max="20" width="8.140625" style="188" bestFit="1" customWidth="1"/>
    <col min="21" max="21" width="13.5703125" style="188" bestFit="1" customWidth="1"/>
    <col min="22" max="22" width="9.5703125" style="188" bestFit="1" customWidth="1"/>
    <col min="23" max="16384" width="9.140625" style="188"/>
  </cols>
  <sheetData>
    <row r="1" spans="1:21" ht="18" x14ac:dyDescent="0.25">
      <c r="A1" s="401" t="s">
        <v>368</v>
      </c>
      <c r="B1" s="401"/>
      <c r="C1" s="401"/>
      <c r="D1" s="401"/>
      <c r="E1" s="401"/>
      <c r="F1" s="401"/>
      <c r="G1" s="401"/>
      <c r="H1" s="401"/>
      <c r="I1" s="401"/>
      <c r="J1" s="401"/>
      <c r="K1" s="401"/>
      <c r="L1" s="401"/>
      <c r="M1" s="401"/>
      <c r="N1" s="401"/>
      <c r="O1" s="401"/>
      <c r="P1" s="401"/>
      <c r="Q1" s="401"/>
    </row>
    <row r="2" spans="1:21" ht="18" x14ac:dyDescent="0.25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21" ht="18" x14ac:dyDescent="0.25">
      <c r="A3" s="401" t="s">
        <v>2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</row>
    <row r="4" spans="1:21" x14ac:dyDescent="0.2">
      <c r="E4" s="189">
        <v>31</v>
      </c>
      <c r="F4" s="189">
        <v>29</v>
      </c>
      <c r="G4" s="189">
        <v>31</v>
      </c>
      <c r="H4" s="189">
        <v>30</v>
      </c>
      <c r="I4" s="189">
        <v>31</v>
      </c>
      <c r="J4" s="189">
        <v>30</v>
      </c>
      <c r="K4" s="189">
        <v>31</v>
      </c>
      <c r="L4" s="189">
        <v>31</v>
      </c>
      <c r="M4" s="189">
        <v>30</v>
      </c>
      <c r="N4" s="189">
        <v>31</v>
      </c>
      <c r="O4" s="189">
        <v>30</v>
      </c>
      <c r="P4" s="189">
        <v>31</v>
      </c>
    </row>
    <row r="5" spans="1:21" s="192" customFormat="1" ht="13.5" thickBot="1" x14ac:dyDescent="0.25">
      <c r="A5" s="190"/>
      <c r="B5" s="190"/>
      <c r="C5" s="190"/>
      <c r="D5" s="190"/>
      <c r="E5" s="190">
        <v>2</v>
      </c>
      <c r="F5" s="190">
        <v>3</v>
      </c>
      <c r="G5" s="190">
        <v>4</v>
      </c>
      <c r="H5" s="190">
        <v>5</v>
      </c>
      <c r="I5" s="190">
        <v>6</v>
      </c>
      <c r="J5" s="190">
        <v>7</v>
      </c>
      <c r="K5" s="190">
        <v>8</v>
      </c>
      <c r="L5" s="190">
        <v>9</v>
      </c>
      <c r="M5" s="190">
        <v>10</v>
      </c>
      <c r="N5" s="190">
        <v>11</v>
      </c>
      <c r="O5" s="191">
        <v>12</v>
      </c>
      <c r="P5" s="191">
        <v>13</v>
      </c>
      <c r="Q5" s="190"/>
    </row>
    <row r="6" spans="1:21" ht="42" customHeight="1" x14ac:dyDescent="0.2">
      <c r="A6" s="193"/>
      <c r="B6" s="193"/>
      <c r="C6" s="194" t="s">
        <v>3</v>
      </c>
      <c r="D6" s="195" t="s">
        <v>4</v>
      </c>
      <c r="E6" s="196" t="s">
        <v>5</v>
      </c>
      <c r="F6" s="196" t="s">
        <v>6</v>
      </c>
      <c r="G6" s="196" t="s">
        <v>7</v>
      </c>
      <c r="H6" s="196" t="s">
        <v>8</v>
      </c>
      <c r="I6" s="196" t="s">
        <v>9</v>
      </c>
      <c r="J6" s="196" t="s">
        <v>10</v>
      </c>
      <c r="K6" s="196" t="s">
        <v>11</v>
      </c>
      <c r="L6" s="196" t="s">
        <v>12</v>
      </c>
      <c r="M6" s="196" t="s">
        <v>13</v>
      </c>
      <c r="N6" s="196" t="s">
        <v>14</v>
      </c>
      <c r="O6" s="196" t="s">
        <v>15</v>
      </c>
      <c r="P6" s="196" t="s">
        <v>16</v>
      </c>
      <c r="Q6" s="197" t="s">
        <v>17</v>
      </c>
      <c r="R6" s="198" t="s">
        <v>18</v>
      </c>
      <c r="S6" s="199"/>
      <c r="T6" s="200" t="s">
        <v>19</v>
      </c>
      <c r="U6" s="201" t="s">
        <v>20</v>
      </c>
    </row>
    <row r="7" spans="1:21" x14ac:dyDescent="0.2">
      <c r="A7" s="202" t="s">
        <v>21</v>
      </c>
      <c r="B7" s="202" t="s">
        <v>22</v>
      </c>
      <c r="C7" s="203">
        <v>0</v>
      </c>
      <c r="D7" s="204">
        <f>C7/10</f>
        <v>0</v>
      </c>
      <c r="E7" s="205">
        <v>0</v>
      </c>
      <c r="F7" s="205">
        <v>0</v>
      </c>
      <c r="G7" s="205">
        <v>0</v>
      </c>
      <c r="H7" s="205">
        <v>0</v>
      </c>
      <c r="I7" s="205">
        <v>0</v>
      </c>
      <c r="J7" s="205">
        <v>0</v>
      </c>
      <c r="K7" s="205">
        <f>J7*1.1</f>
        <v>0</v>
      </c>
      <c r="L7" s="205">
        <f>J7*1.1</f>
        <v>0</v>
      </c>
      <c r="M7" s="205">
        <f>J7*1.1</f>
        <v>0</v>
      </c>
      <c r="N7" s="205">
        <f>M7*1.1</f>
        <v>0</v>
      </c>
      <c r="O7" s="205">
        <f>M7*1.1</f>
        <v>0</v>
      </c>
      <c r="P7" s="205">
        <f>M7*1.1</f>
        <v>0</v>
      </c>
      <c r="Q7" s="206">
        <f t="shared" ref="Q7:Q13" si="0">SUM(E7:P7)</f>
        <v>0</v>
      </c>
      <c r="R7" s="207">
        <f>AVERAGE(E7:P7)</f>
        <v>0</v>
      </c>
      <c r="S7" s="202"/>
      <c r="T7" s="208"/>
      <c r="U7" s="209">
        <f>IFERROR((Q7-C7)/C7,0)</f>
        <v>0</v>
      </c>
    </row>
    <row r="8" spans="1:21" x14ac:dyDescent="0.2">
      <c r="A8" s="210"/>
      <c r="B8" s="202" t="s">
        <v>23</v>
      </c>
      <c r="C8" s="203">
        <v>0</v>
      </c>
      <c r="D8" s="204">
        <f t="shared" ref="D8" si="1">C8/9</f>
        <v>0</v>
      </c>
      <c r="E8" s="205">
        <v>0</v>
      </c>
      <c r="F8" s="205">
        <v>0</v>
      </c>
      <c r="G8" s="205">
        <v>0</v>
      </c>
      <c r="H8" s="205">
        <v>0</v>
      </c>
      <c r="I8" s="205">
        <v>0</v>
      </c>
      <c r="J8" s="205">
        <v>0</v>
      </c>
      <c r="K8" s="205">
        <f>J8*1.1</f>
        <v>0</v>
      </c>
      <c r="L8" s="205">
        <f>J8*1.1</f>
        <v>0</v>
      </c>
      <c r="M8" s="205">
        <f>J8*1.1</f>
        <v>0</v>
      </c>
      <c r="N8" s="205">
        <f>M8*1.1</f>
        <v>0</v>
      </c>
      <c r="O8" s="205">
        <f>M8*1.1</f>
        <v>0</v>
      </c>
      <c r="P8" s="205">
        <f>M8*1.1</f>
        <v>0</v>
      </c>
      <c r="Q8" s="206">
        <f t="shared" si="0"/>
        <v>0</v>
      </c>
      <c r="R8" s="207">
        <f t="shared" ref="R8:R87" si="2">AVERAGE(E8:P8)</f>
        <v>0</v>
      </c>
      <c r="S8" s="202"/>
      <c r="T8" s="208"/>
      <c r="U8" s="209">
        <f t="shared" ref="U8:U13" si="3">IFERROR((Q8-C8)/C8,0)</f>
        <v>0</v>
      </c>
    </row>
    <row r="9" spans="1:21" x14ac:dyDescent="0.2">
      <c r="A9" s="210"/>
      <c r="B9" s="202" t="s">
        <v>24</v>
      </c>
      <c r="C9" s="203">
        <v>41.91</v>
      </c>
      <c r="D9" s="204">
        <f>C9/10</f>
        <v>4.1909999999999998</v>
      </c>
      <c r="E9" s="205">
        <v>5</v>
      </c>
      <c r="F9" s="205">
        <v>5</v>
      </c>
      <c r="G9" s="205">
        <v>6</v>
      </c>
      <c r="H9" s="205">
        <v>6</v>
      </c>
      <c r="I9" s="205">
        <v>6</v>
      </c>
      <c r="J9" s="205">
        <v>6</v>
      </c>
      <c r="K9" s="205">
        <v>6</v>
      </c>
      <c r="L9" s="205">
        <v>6</v>
      </c>
      <c r="M9" s="205">
        <v>6</v>
      </c>
      <c r="N9" s="205">
        <v>6</v>
      </c>
      <c r="O9" s="205">
        <v>6</v>
      </c>
      <c r="P9" s="205">
        <v>6</v>
      </c>
      <c r="Q9" s="206">
        <f t="shared" si="0"/>
        <v>70</v>
      </c>
      <c r="R9" s="207">
        <f t="shared" si="2"/>
        <v>5.833333333333333</v>
      </c>
      <c r="S9" s="202"/>
      <c r="T9" s="208"/>
      <c r="U9" s="209">
        <f>IFERROR((Q9-C9)/C9,0)</f>
        <v>0.67024576473395381</v>
      </c>
    </row>
    <row r="10" spans="1:21" x14ac:dyDescent="0.2">
      <c r="A10" s="202"/>
      <c r="B10" s="202" t="s">
        <v>25</v>
      </c>
      <c r="C10" s="203">
        <v>182.26</v>
      </c>
      <c r="D10" s="204">
        <f t="shared" ref="D10:D13" si="4">C10/10</f>
        <v>18.225999999999999</v>
      </c>
      <c r="E10" s="205">
        <v>20</v>
      </c>
      <c r="F10" s="205">
        <v>20</v>
      </c>
      <c r="G10" s="205">
        <v>20</v>
      </c>
      <c r="H10" s="205">
        <v>20</v>
      </c>
      <c r="I10" s="205">
        <v>20</v>
      </c>
      <c r="J10" s="205">
        <v>20</v>
      </c>
      <c r="K10" s="205">
        <v>20</v>
      </c>
      <c r="L10" s="205">
        <v>20</v>
      </c>
      <c r="M10" s="205">
        <v>20</v>
      </c>
      <c r="N10" s="205">
        <v>20</v>
      </c>
      <c r="O10" s="205">
        <v>20</v>
      </c>
      <c r="P10" s="205">
        <v>20</v>
      </c>
      <c r="Q10" s="206">
        <f t="shared" si="0"/>
        <v>240</v>
      </c>
      <c r="R10" s="207">
        <f t="shared" si="2"/>
        <v>20</v>
      </c>
      <c r="S10" s="202"/>
      <c r="T10" s="208"/>
      <c r="U10" s="209">
        <f t="shared" si="3"/>
        <v>0.31680017557335682</v>
      </c>
    </row>
    <row r="11" spans="1:21" x14ac:dyDescent="0.2">
      <c r="A11" s="202"/>
      <c r="B11" s="202" t="s">
        <v>26</v>
      </c>
      <c r="C11" s="203">
        <v>0</v>
      </c>
      <c r="D11" s="204">
        <f t="shared" si="4"/>
        <v>0</v>
      </c>
      <c r="E11" s="205">
        <v>0</v>
      </c>
      <c r="F11" s="205">
        <v>0</v>
      </c>
      <c r="G11" s="205">
        <v>0</v>
      </c>
      <c r="H11" s="205">
        <v>0</v>
      </c>
      <c r="I11" s="205">
        <v>0</v>
      </c>
      <c r="J11" s="205">
        <v>0</v>
      </c>
      <c r="K11" s="205">
        <v>0</v>
      </c>
      <c r="L11" s="205">
        <v>0</v>
      </c>
      <c r="M11" s="205">
        <v>0</v>
      </c>
      <c r="N11" s="205">
        <v>0</v>
      </c>
      <c r="O11" s="205">
        <v>0</v>
      </c>
      <c r="P11" s="205">
        <v>0</v>
      </c>
      <c r="Q11" s="206">
        <f t="shared" si="0"/>
        <v>0</v>
      </c>
      <c r="R11" s="207">
        <f t="shared" si="2"/>
        <v>0</v>
      </c>
      <c r="S11" s="202"/>
      <c r="T11" s="208"/>
      <c r="U11" s="209">
        <f t="shared" si="3"/>
        <v>0</v>
      </c>
    </row>
    <row r="12" spans="1:21" x14ac:dyDescent="0.2">
      <c r="A12" s="202"/>
      <c r="B12" s="202" t="s">
        <v>27</v>
      </c>
      <c r="C12" s="203">
        <v>53.25</v>
      </c>
      <c r="D12" s="204">
        <f t="shared" si="4"/>
        <v>5.3250000000000002</v>
      </c>
      <c r="E12" s="205">
        <v>4.5</v>
      </c>
      <c r="F12" s="205">
        <v>4.5</v>
      </c>
      <c r="G12" s="205">
        <v>4.5</v>
      </c>
      <c r="H12" s="205">
        <v>4.5</v>
      </c>
      <c r="I12" s="205">
        <v>4.5</v>
      </c>
      <c r="J12" s="205">
        <v>4.5</v>
      </c>
      <c r="K12" s="205">
        <v>4.5</v>
      </c>
      <c r="L12" s="205">
        <v>4.5</v>
      </c>
      <c r="M12" s="205">
        <v>4.5</v>
      </c>
      <c r="N12" s="205">
        <v>4.5</v>
      </c>
      <c r="O12" s="205">
        <v>4.5</v>
      </c>
      <c r="P12" s="205">
        <v>4.5</v>
      </c>
      <c r="Q12" s="206">
        <f>SUM(E12:P12)</f>
        <v>54</v>
      </c>
      <c r="R12" s="207">
        <f>AVERAGE(E12:P12)</f>
        <v>4.5</v>
      </c>
      <c r="S12" s="202"/>
      <c r="T12" s="208"/>
      <c r="U12" s="209">
        <f t="shared" si="3"/>
        <v>1.4084507042253521E-2</v>
      </c>
    </row>
    <row r="13" spans="1:21" x14ac:dyDescent="0.2">
      <c r="A13" s="202"/>
      <c r="B13" s="202" t="s">
        <v>28</v>
      </c>
      <c r="C13" s="203">
        <v>281</v>
      </c>
      <c r="D13" s="204">
        <f t="shared" si="4"/>
        <v>28.1</v>
      </c>
      <c r="E13" s="205">
        <v>29</v>
      </c>
      <c r="F13" s="205">
        <v>29</v>
      </c>
      <c r="G13" s="205">
        <v>30</v>
      </c>
      <c r="H13" s="205">
        <v>30</v>
      </c>
      <c r="I13" s="205">
        <v>30</v>
      </c>
      <c r="J13" s="205">
        <v>30</v>
      </c>
      <c r="K13" s="205">
        <v>30</v>
      </c>
      <c r="L13" s="205">
        <v>30</v>
      </c>
      <c r="M13" s="205">
        <v>30</v>
      </c>
      <c r="N13" s="205">
        <v>30</v>
      </c>
      <c r="O13" s="205">
        <v>30</v>
      </c>
      <c r="P13" s="205">
        <v>30</v>
      </c>
      <c r="Q13" s="206">
        <f t="shared" si="0"/>
        <v>358</v>
      </c>
      <c r="R13" s="207">
        <f t="shared" si="2"/>
        <v>29.833333333333332</v>
      </c>
      <c r="S13" s="202"/>
      <c r="T13" s="208"/>
      <c r="U13" s="209">
        <f t="shared" si="3"/>
        <v>0.27402135231316727</v>
      </c>
    </row>
    <row r="14" spans="1:21" x14ac:dyDescent="0.2">
      <c r="A14" s="210"/>
      <c r="B14" s="202" t="s">
        <v>29</v>
      </c>
      <c r="C14" s="211">
        <f t="shared" ref="C14" si="5">SUM(C7:C13)</f>
        <v>558.41999999999996</v>
      </c>
      <c r="D14" s="212">
        <f>SUM(D7:D13)</f>
        <v>55.841999999999999</v>
      </c>
      <c r="E14" s="213">
        <f>SUM(E7:E13)</f>
        <v>58.5</v>
      </c>
      <c r="F14" s="213">
        <f>SUM(F7:F13)</f>
        <v>58.5</v>
      </c>
      <c r="G14" s="213">
        <f t="shared" ref="G14:Q14" si="6">SUM(G7:G13)</f>
        <v>60.5</v>
      </c>
      <c r="H14" s="213">
        <f t="shared" si="6"/>
        <v>60.5</v>
      </c>
      <c r="I14" s="213">
        <f t="shared" si="6"/>
        <v>60.5</v>
      </c>
      <c r="J14" s="213">
        <f t="shared" si="6"/>
        <v>60.5</v>
      </c>
      <c r="K14" s="213">
        <f t="shared" si="6"/>
        <v>60.5</v>
      </c>
      <c r="L14" s="213">
        <f t="shared" si="6"/>
        <v>60.5</v>
      </c>
      <c r="M14" s="213">
        <f t="shared" si="6"/>
        <v>60.5</v>
      </c>
      <c r="N14" s="213">
        <f t="shared" si="6"/>
        <v>60.5</v>
      </c>
      <c r="O14" s="213">
        <f t="shared" si="6"/>
        <v>60.5</v>
      </c>
      <c r="P14" s="213">
        <f t="shared" si="6"/>
        <v>60.5</v>
      </c>
      <c r="Q14" s="213">
        <f t="shared" si="6"/>
        <v>722</v>
      </c>
      <c r="R14" s="214">
        <f>AVERAGE(E14:P14)</f>
        <v>60.166666666666664</v>
      </c>
      <c r="T14" s="215"/>
      <c r="U14" s="216">
        <f>IFERROR((Q14-C14)/C14,0)</f>
        <v>0.2929336341821569</v>
      </c>
    </row>
    <row r="15" spans="1:21" x14ac:dyDescent="0.2">
      <c r="A15" s="193"/>
      <c r="B15" s="193"/>
      <c r="C15" s="217"/>
      <c r="D15" s="218"/>
      <c r="E15" s="219"/>
      <c r="F15" s="219"/>
      <c r="G15" s="219"/>
      <c r="H15" s="219"/>
      <c r="I15" s="219"/>
      <c r="J15" s="219"/>
      <c r="K15" s="219"/>
      <c r="L15" s="220"/>
      <c r="M15" s="219"/>
      <c r="N15" s="219"/>
      <c r="O15" s="219"/>
      <c r="P15" s="219"/>
      <c r="Q15" s="221"/>
      <c r="R15" s="222"/>
      <c r="T15" s="223"/>
      <c r="U15" s="223"/>
    </row>
    <row r="16" spans="1:21" s="228" customFormat="1" x14ac:dyDescent="0.2">
      <c r="A16" s="202" t="s">
        <v>30</v>
      </c>
      <c r="B16" s="202" t="s">
        <v>31</v>
      </c>
      <c r="C16" s="224"/>
      <c r="D16" s="225"/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f>AVERAGE(E16:E16)</f>
        <v>0</v>
      </c>
      <c r="R16" s="227">
        <f t="shared" si="2"/>
        <v>0</v>
      </c>
      <c r="S16" s="202"/>
      <c r="T16" s="208"/>
      <c r="U16" s="209" t="str">
        <f t="shared" ref="U16:U21" si="7">IFERROR((Q16-C16)/C16,"")</f>
        <v/>
      </c>
    </row>
    <row r="17" spans="1:22" s="228" customFormat="1" x14ac:dyDescent="0.2">
      <c r="B17" s="202" t="s">
        <v>32</v>
      </c>
      <c r="C17" s="224"/>
      <c r="D17" s="225"/>
      <c r="E17" s="226">
        <v>0</v>
      </c>
      <c r="F17" s="226">
        <v>0</v>
      </c>
      <c r="G17" s="226">
        <v>0</v>
      </c>
      <c r="H17" s="226">
        <v>0</v>
      </c>
      <c r="I17" s="226">
        <v>0</v>
      </c>
      <c r="J17" s="226">
        <v>0</v>
      </c>
      <c r="K17" s="226">
        <v>0</v>
      </c>
      <c r="L17" s="226">
        <v>0</v>
      </c>
      <c r="M17" s="226">
        <v>0</v>
      </c>
      <c r="N17" s="226">
        <v>0</v>
      </c>
      <c r="O17" s="226">
        <v>0</v>
      </c>
      <c r="P17" s="226">
        <v>0</v>
      </c>
      <c r="Q17" s="226">
        <f>AVERAGE(E17:P17)</f>
        <v>0</v>
      </c>
      <c r="R17" s="227">
        <f t="shared" si="2"/>
        <v>0</v>
      </c>
      <c r="S17" s="202"/>
      <c r="T17" s="208"/>
      <c r="U17" s="209" t="str">
        <f t="shared" si="7"/>
        <v/>
      </c>
    </row>
    <row r="18" spans="1:22" s="228" customFormat="1" x14ac:dyDescent="0.2">
      <c r="B18" s="202" t="s">
        <v>33</v>
      </c>
      <c r="C18" s="224"/>
      <c r="D18" s="225"/>
      <c r="E18" s="226">
        <v>300</v>
      </c>
      <c r="F18" s="226">
        <v>300</v>
      </c>
      <c r="G18" s="226">
        <v>300</v>
      </c>
      <c r="H18" s="226">
        <v>300</v>
      </c>
      <c r="I18" s="226">
        <v>300</v>
      </c>
      <c r="J18" s="226">
        <v>300</v>
      </c>
      <c r="K18" s="226">
        <v>300</v>
      </c>
      <c r="L18" s="226">
        <v>300</v>
      </c>
      <c r="M18" s="226">
        <v>300</v>
      </c>
      <c r="N18" s="226">
        <v>300</v>
      </c>
      <c r="O18" s="226">
        <v>300</v>
      </c>
      <c r="P18" s="226">
        <v>300</v>
      </c>
      <c r="Q18" s="226">
        <f>AVERAGE(E18:P18)</f>
        <v>300</v>
      </c>
      <c r="R18" s="227">
        <f t="shared" si="2"/>
        <v>300</v>
      </c>
      <c r="S18" s="202"/>
      <c r="T18" s="208"/>
      <c r="U18" s="209" t="str">
        <f t="shared" si="7"/>
        <v/>
      </c>
    </row>
    <row r="19" spans="1:22" s="228" customFormat="1" x14ac:dyDescent="0.2">
      <c r="B19" s="202" t="s">
        <v>34</v>
      </c>
      <c r="C19" s="224"/>
      <c r="D19" s="225"/>
      <c r="E19" s="226">
        <v>165</v>
      </c>
      <c r="F19" s="226">
        <v>165</v>
      </c>
      <c r="G19" s="226">
        <v>165</v>
      </c>
      <c r="H19" s="226">
        <v>165</v>
      </c>
      <c r="I19" s="226">
        <v>165</v>
      </c>
      <c r="J19" s="226">
        <v>165</v>
      </c>
      <c r="K19" s="226">
        <v>165</v>
      </c>
      <c r="L19" s="226">
        <v>165</v>
      </c>
      <c r="M19" s="226">
        <v>165</v>
      </c>
      <c r="N19" s="226">
        <v>165</v>
      </c>
      <c r="O19" s="226">
        <v>165</v>
      </c>
      <c r="P19" s="226">
        <v>165</v>
      </c>
      <c r="Q19" s="226">
        <f>AVERAGE(E19:P19)</f>
        <v>165</v>
      </c>
      <c r="R19" s="227">
        <f t="shared" si="2"/>
        <v>165</v>
      </c>
      <c r="S19" s="202"/>
      <c r="T19" s="208"/>
      <c r="U19" s="209" t="str">
        <f t="shared" si="7"/>
        <v/>
      </c>
    </row>
    <row r="20" spans="1:22" s="228" customFormat="1" x14ac:dyDescent="0.2">
      <c r="B20" s="202" t="s">
        <v>35</v>
      </c>
      <c r="C20" s="224"/>
      <c r="D20" s="225"/>
      <c r="E20" s="226">
        <v>0</v>
      </c>
      <c r="F20" s="226">
        <v>0</v>
      </c>
      <c r="G20" s="226">
        <v>0</v>
      </c>
      <c r="H20" s="226">
        <v>0</v>
      </c>
      <c r="I20" s="226">
        <v>0</v>
      </c>
      <c r="J20" s="226">
        <v>0</v>
      </c>
      <c r="K20" s="226">
        <v>0</v>
      </c>
      <c r="L20" s="226">
        <v>0</v>
      </c>
      <c r="M20" s="226">
        <v>0</v>
      </c>
      <c r="N20" s="226">
        <v>0</v>
      </c>
      <c r="O20" s="226">
        <v>0</v>
      </c>
      <c r="P20" s="226">
        <v>0</v>
      </c>
      <c r="Q20" s="226">
        <f>AVERAGE(E20:P20)</f>
        <v>0</v>
      </c>
      <c r="R20" s="227">
        <f t="shared" si="2"/>
        <v>0</v>
      </c>
      <c r="S20" s="202"/>
      <c r="T20" s="208"/>
      <c r="U20" s="209" t="str">
        <f t="shared" si="7"/>
        <v/>
      </c>
    </row>
    <row r="21" spans="1:22" s="228" customFormat="1" x14ac:dyDescent="0.2">
      <c r="B21" s="202" t="s">
        <v>36</v>
      </c>
      <c r="C21" s="224"/>
      <c r="D21" s="225"/>
      <c r="E21" s="226">
        <v>700</v>
      </c>
      <c r="F21" s="226">
        <v>700</v>
      </c>
      <c r="G21" s="226">
        <v>700</v>
      </c>
      <c r="H21" s="226">
        <v>700</v>
      </c>
      <c r="I21" s="226">
        <v>700</v>
      </c>
      <c r="J21" s="226">
        <v>700</v>
      </c>
      <c r="K21" s="226">
        <v>700</v>
      </c>
      <c r="L21" s="226">
        <v>700</v>
      </c>
      <c r="M21" s="226">
        <v>700</v>
      </c>
      <c r="N21" s="226">
        <v>700</v>
      </c>
      <c r="O21" s="226">
        <v>700</v>
      </c>
      <c r="P21" s="226">
        <v>700</v>
      </c>
      <c r="Q21" s="226">
        <f>AVERAGE(E21:P21)</f>
        <v>700</v>
      </c>
      <c r="R21" s="227">
        <f t="shared" si="2"/>
        <v>700</v>
      </c>
      <c r="S21" s="202"/>
      <c r="T21" s="208"/>
      <c r="U21" s="209" t="str">
        <f t="shared" si="7"/>
        <v/>
      </c>
    </row>
    <row r="22" spans="1:22" s="228" customFormat="1" x14ac:dyDescent="0.2">
      <c r="B22" s="202"/>
      <c r="C22" s="229"/>
      <c r="D22" s="230"/>
      <c r="E22" s="226"/>
      <c r="R22" s="231"/>
      <c r="S22" s="232"/>
      <c r="T22" s="233"/>
      <c r="U22" s="233"/>
    </row>
    <row r="23" spans="1:22" x14ac:dyDescent="0.2">
      <c r="A23" s="202" t="s">
        <v>37</v>
      </c>
      <c r="C23" s="234"/>
      <c r="D23" s="235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36"/>
      <c r="P23" s="236"/>
      <c r="Q23" s="236"/>
      <c r="R23" s="237"/>
      <c r="T23" s="238"/>
      <c r="U23" s="238"/>
    </row>
    <row r="24" spans="1:22" x14ac:dyDescent="0.2">
      <c r="A24" s="210"/>
      <c r="B24" s="202" t="s">
        <v>38</v>
      </c>
      <c r="C24" s="239">
        <v>0</v>
      </c>
      <c r="D24" s="240">
        <f t="shared" ref="D24:D28" si="8">C24/12</f>
        <v>0</v>
      </c>
      <c r="E24" s="241">
        <f t="shared" ref="E24:P24" si="9">((E7*E16)+(E8*E17))*E4</f>
        <v>0</v>
      </c>
      <c r="F24" s="241">
        <f t="shared" si="9"/>
        <v>0</v>
      </c>
      <c r="G24" s="241">
        <f t="shared" si="9"/>
        <v>0</v>
      </c>
      <c r="H24" s="241">
        <f t="shared" si="9"/>
        <v>0</v>
      </c>
      <c r="I24" s="241">
        <f t="shared" si="9"/>
        <v>0</v>
      </c>
      <c r="J24" s="241">
        <f t="shared" si="9"/>
        <v>0</v>
      </c>
      <c r="K24" s="241">
        <f t="shared" si="9"/>
        <v>0</v>
      </c>
      <c r="L24" s="241">
        <f t="shared" si="9"/>
        <v>0</v>
      </c>
      <c r="M24" s="241">
        <f t="shared" si="9"/>
        <v>0</v>
      </c>
      <c r="N24" s="241">
        <f t="shared" si="9"/>
        <v>0</v>
      </c>
      <c r="O24" s="241">
        <f t="shared" si="9"/>
        <v>0</v>
      </c>
      <c r="P24" s="241">
        <f t="shared" si="9"/>
        <v>0</v>
      </c>
      <c r="Q24" s="242">
        <f>SUM(E24:P24)</f>
        <v>0</v>
      </c>
      <c r="R24" s="243">
        <f t="shared" si="2"/>
        <v>0</v>
      </c>
      <c r="S24" s="202"/>
      <c r="T24" s="244"/>
      <c r="U24" s="245">
        <f t="shared" ref="U24:U88" si="10">IFERROR((Q24-C24)/C24,0)</f>
        <v>0</v>
      </c>
      <c r="V24" s="202"/>
    </row>
    <row r="25" spans="1:22" x14ac:dyDescent="0.2">
      <c r="A25" s="210"/>
      <c r="B25" s="202" t="s">
        <v>39</v>
      </c>
      <c r="C25" s="239">
        <v>826212.59</v>
      </c>
      <c r="D25" s="240">
        <f>C25/12</f>
        <v>68851.049166666664</v>
      </c>
      <c r="E25" s="241">
        <f>(((E9*E18)*21.75)+(((E10*E19)*13.08)+(((E11*E20)*4.33))))</f>
        <v>75789</v>
      </c>
      <c r="F25" s="241">
        <f t="shared" ref="F25:P25" si="11">(((F9*F18)*21.75)+(((F10*F19)*13.08)+(((F11*F20)*4.33))))</f>
        <v>75789</v>
      </c>
      <c r="G25" s="241">
        <f t="shared" si="11"/>
        <v>82314</v>
      </c>
      <c r="H25" s="241">
        <f t="shared" si="11"/>
        <v>82314</v>
      </c>
      <c r="I25" s="241">
        <f t="shared" si="11"/>
        <v>82314</v>
      </c>
      <c r="J25" s="241">
        <f t="shared" si="11"/>
        <v>82314</v>
      </c>
      <c r="K25" s="241">
        <f t="shared" si="11"/>
        <v>82314</v>
      </c>
      <c r="L25" s="241">
        <f t="shared" si="11"/>
        <v>82314</v>
      </c>
      <c r="M25" s="241">
        <f t="shared" si="11"/>
        <v>82314</v>
      </c>
      <c r="N25" s="241">
        <f t="shared" si="11"/>
        <v>82314</v>
      </c>
      <c r="O25" s="241">
        <f t="shared" si="11"/>
        <v>82314</v>
      </c>
      <c r="P25" s="241">
        <f t="shared" si="11"/>
        <v>82314</v>
      </c>
      <c r="Q25" s="242">
        <f>SUM(E25:P25)</f>
        <v>974718</v>
      </c>
      <c r="R25" s="243">
        <f t="shared" si="2"/>
        <v>81226.5</v>
      </c>
      <c r="S25" s="202"/>
      <c r="T25" s="244"/>
      <c r="U25" s="245">
        <f t="shared" si="10"/>
        <v>0.17974237114929467</v>
      </c>
      <c r="V25" s="202"/>
    </row>
    <row r="26" spans="1:22" x14ac:dyDescent="0.2">
      <c r="A26" s="210"/>
      <c r="B26" s="202" t="s">
        <v>40</v>
      </c>
      <c r="C26" s="239">
        <v>0</v>
      </c>
      <c r="D26" s="240">
        <f t="shared" si="8"/>
        <v>0</v>
      </c>
      <c r="E26" s="241">
        <v>0</v>
      </c>
      <c r="F26" s="241">
        <v>0</v>
      </c>
      <c r="G26" s="241">
        <v>0</v>
      </c>
      <c r="H26" s="241">
        <v>0</v>
      </c>
      <c r="I26" s="241">
        <v>0</v>
      </c>
      <c r="J26" s="241">
        <v>0</v>
      </c>
      <c r="K26" s="241">
        <v>0</v>
      </c>
      <c r="L26" s="241">
        <v>0</v>
      </c>
      <c r="M26" s="241">
        <v>0</v>
      </c>
      <c r="N26" s="241">
        <v>0</v>
      </c>
      <c r="O26" s="241">
        <v>0</v>
      </c>
      <c r="P26" s="241">
        <v>0</v>
      </c>
      <c r="Q26" s="242">
        <f>SUM(E26:P26)</f>
        <v>0</v>
      </c>
      <c r="R26" s="243">
        <f>AVERAGE(E26:P26)</f>
        <v>0</v>
      </c>
      <c r="S26" s="202"/>
      <c r="T26" s="244"/>
      <c r="U26" s="245">
        <f t="shared" si="10"/>
        <v>0</v>
      </c>
      <c r="V26" s="202"/>
    </row>
    <row r="27" spans="1:22" x14ac:dyDescent="0.2">
      <c r="A27" s="210"/>
      <c r="B27" s="202" t="s">
        <v>41</v>
      </c>
      <c r="C27" s="239">
        <v>222393.68</v>
      </c>
      <c r="D27" s="240">
        <f t="shared" si="8"/>
        <v>18532.806666666667</v>
      </c>
      <c r="E27" s="241">
        <f>E13*E21*1</f>
        <v>20300</v>
      </c>
      <c r="F27" s="241">
        <f t="shared" ref="F27:P27" si="12">F13*F21*1</f>
        <v>20300</v>
      </c>
      <c r="G27" s="241">
        <f t="shared" si="12"/>
        <v>21000</v>
      </c>
      <c r="H27" s="241">
        <f t="shared" si="12"/>
        <v>21000</v>
      </c>
      <c r="I27" s="241">
        <f t="shared" si="12"/>
        <v>21000</v>
      </c>
      <c r="J27" s="241">
        <f t="shared" si="12"/>
        <v>21000</v>
      </c>
      <c r="K27" s="241">
        <f t="shared" si="12"/>
        <v>21000</v>
      </c>
      <c r="L27" s="241">
        <f t="shared" si="12"/>
        <v>21000</v>
      </c>
      <c r="M27" s="241">
        <f t="shared" si="12"/>
        <v>21000</v>
      </c>
      <c r="N27" s="241">
        <f t="shared" si="12"/>
        <v>21000</v>
      </c>
      <c r="O27" s="241">
        <f t="shared" si="12"/>
        <v>21000</v>
      </c>
      <c r="P27" s="241">
        <f t="shared" si="12"/>
        <v>21000</v>
      </c>
      <c r="Q27" s="242">
        <f>SUM(E27:P27)</f>
        <v>250600</v>
      </c>
      <c r="R27" s="243">
        <f t="shared" si="2"/>
        <v>20883.333333333332</v>
      </c>
      <c r="S27" s="202"/>
      <c r="T27" s="244"/>
      <c r="U27" s="245">
        <f t="shared" si="10"/>
        <v>0.12683058259569249</v>
      </c>
      <c r="V27" s="202"/>
    </row>
    <row r="28" spans="1:22" x14ac:dyDescent="0.2">
      <c r="A28" s="210"/>
      <c r="B28" s="202" t="s">
        <v>42</v>
      </c>
      <c r="C28" s="239">
        <v>0</v>
      </c>
      <c r="D28" s="240">
        <f t="shared" si="8"/>
        <v>0</v>
      </c>
      <c r="E28" s="241">
        <v>0</v>
      </c>
      <c r="F28" s="241">
        <v>0</v>
      </c>
      <c r="G28" s="241">
        <v>0</v>
      </c>
      <c r="H28" s="241">
        <v>0</v>
      </c>
      <c r="I28" s="241">
        <v>0</v>
      </c>
      <c r="J28" s="241">
        <v>0</v>
      </c>
      <c r="K28" s="241">
        <v>0</v>
      </c>
      <c r="L28" s="241">
        <v>0</v>
      </c>
      <c r="M28" s="241">
        <v>0</v>
      </c>
      <c r="N28" s="241">
        <v>0</v>
      </c>
      <c r="O28" s="241">
        <v>0</v>
      </c>
      <c r="P28" s="241">
        <v>0</v>
      </c>
      <c r="Q28" s="242">
        <f>SUM(E28:P28)</f>
        <v>0</v>
      </c>
      <c r="R28" s="243">
        <f t="shared" si="2"/>
        <v>0</v>
      </c>
      <c r="S28" s="202"/>
      <c r="T28" s="244"/>
      <c r="U28" s="245">
        <f t="shared" si="10"/>
        <v>0</v>
      </c>
      <c r="V28" s="202"/>
    </row>
    <row r="29" spans="1:22" x14ac:dyDescent="0.2">
      <c r="A29" s="246" t="s">
        <v>43</v>
      </c>
      <c r="B29" s="202"/>
      <c r="C29" s="247">
        <f>SUM(C24:C28)</f>
        <v>1048606.27</v>
      </c>
      <c r="D29" s="248">
        <f>SUM(D24:D28)</f>
        <v>87383.855833333335</v>
      </c>
      <c r="E29" s="249">
        <f t="shared" ref="E29:Q29" si="13">SUM(E24:E28)</f>
        <v>96089</v>
      </c>
      <c r="F29" s="249">
        <f t="shared" si="13"/>
        <v>96089</v>
      </c>
      <c r="G29" s="249">
        <f t="shared" si="13"/>
        <v>103314</v>
      </c>
      <c r="H29" s="249">
        <f t="shared" si="13"/>
        <v>103314</v>
      </c>
      <c r="I29" s="249">
        <f t="shared" si="13"/>
        <v>103314</v>
      </c>
      <c r="J29" s="249">
        <f t="shared" si="13"/>
        <v>103314</v>
      </c>
      <c r="K29" s="249">
        <f t="shared" si="13"/>
        <v>103314</v>
      </c>
      <c r="L29" s="249">
        <f t="shared" si="13"/>
        <v>103314</v>
      </c>
      <c r="M29" s="249">
        <f t="shared" si="13"/>
        <v>103314</v>
      </c>
      <c r="N29" s="249">
        <f t="shared" si="13"/>
        <v>103314</v>
      </c>
      <c r="O29" s="249">
        <f t="shared" si="13"/>
        <v>103314</v>
      </c>
      <c r="P29" s="249">
        <f t="shared" si="13"/>
        <v>103314</v>
      </c>
      <c r="Q29" s="249">
        <f t="shared" si="13"/>
        <v>1225318</v>
      </c>
      <c r="R29" s="250">
        <f>AVERAGE(E29:P29)</f>
        <v>102109.83333333333</v>
      </c>
      <c r="T29" s="251"/>
      <c r="U29" s="252">
        <f t="shared" si="10"/>
        <v>0.16852057350372315</v>
      </c>
    </row>
    <row r="30" spans="1:22" x14ac:dyDescent="0.2">
      <c r="A30" s="202" t="s">
        <v>44</v>
      </c>
      <c r="B30" s="202"/>
      <c r="C30" s="247"/>
      <c r="D30" s="248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50"/>
      <c r="T30" s="252"/>
      <c r="U30" s="252"/>
    </row>
    <row r="31" spans="1:22" x14ac:dyDescent="0.2">
      <c r="A31" s="246"/>
      <c r="B31" s="202" t="s">
        <v>45</v>
      </c>
      <c r="C31" s="239">
        <v>0</v>
      </c>
      <c r="D31" s="240">
        <f>C31/12</f>
        <v>0</v>
      </c>
      <c r="E31" s="241">
        <v>0</v>
      </c>
      <c r="F31" s="241">
        <v>0</v>
      </c>
      <c r="G31" s="241">
        <v>0</v>
      </c>
      <c r="H31" s="241">
        <v>0</v>
      </c>
      <c r="I31" s="241">
        <v>0</v>
      </c>
      <c r="J31" s="241">
        <v>0</v>
      </c>
      <c r="K31" s="241">
        <v>0</v>
      </c>
      <c r="L31" s="241">
        <v>0</v>
      </c>
      <c r="M31" s="241">
        <v>0</v>
      </c>
      <c r="N31" s="241">
        <v>0</v>
      </c>
      <c r="O31" s="241">
        <v>0</v>
      </c>
      <c r="P31" s="241">
        <v>0</v>
      </c>
      <c r="Q31" s="242">
        <f>SUM(E31:P31)</f>
        <v>0</v>
      </c>
      <c r="R31" s="243">
        <f>AVERAGE(E31:P31)</f>
        <v>0</v>
      </c>
      <c r="S31" s="202"/>
      <c r="T31" s="244"/>
      <c r="U31" s="245">
        <f t="shared" si="10"/>
        <v>0</v>
      </c>
    </row>
    <row r="32" spans="1:22" x14ac:dyDescent="0.2">
      <c r="A32" s="246" t="s">
        <v>46</v>
      </c>
      <c r="B32" s="202"/>
      <c r="C32" s="247">
        <f t="shared" ref="C32:D32" si="14">SUM(C31)</f>
        <v>0</v>
      </c>
      <c r="D32" s="248">
        <f t="shared" si="14"/>
        <v>0</v>
      </c>
      <c r="E32" s="249">
        <f>SUM(E31)</f>
        <v>0</v>
      </c>
      <c r="F32" s="249">
        <f>SUM(F31)</f>
        <v>0</v>
      </c>
      <c r="G32" s="249">
        <f t="shared" ref="G32:P32" si="15">SUM(G31)</f>
        <v>0</v>
      </c>
      <c r="H32" s="249">
        <f t="shared" si="15"/>
        <v>0</v>
      </c>
      <c r="I32" s="249">
        <f t="shared" si="15"/>
        <v>0</v>
      </c>
      <c r="J32" s="249">
        <f t="shared" si="15"/>
        <v>0</v>
      </c>
      <c r="K32" s="249">
        <f t="shared" si="15"/>
        <v>0</v>
      </c>
      <c r="L32" s="249">
        <f t="shared" si="15"/>
        <v>0</v>
      </c>
      <c r="M32" s="249">
        <f t="shared" si="15"/>
        <v>0</v>
      </c>
      <c r="N32" s="249">
        <f t="shared" si="15"/>
        <v>0</v>
      </c>
      <c r="O32" s="249">
        <f t="shared" si="15"/>
        <v>0</v>
      </c>
      <c r="P32" s="249">
        <f t="shared" si="15"/>
        <v>0</v>
      </c>
      <c r="Q32" s="249">
        <f>SUM(Q31)</f>
        <v>0</v>
      </c>
      <c r="R32" s="250">
        <f>AVERAGE(E32:P32)</f>
        <v>0</v>
      </c>
      <c r="T32" s="251"/>
      <c r="U32" s="252">
        <f t="shared" si="10"/>
        <v>0</v>
      </c>
    </row>
    <row r="33" spans="1:22" x14ac:dyDescent="0.2">
      <c r="A33" s="246" t="s">
        <v>47</v>
      </c>
      <c r="B33" s="188" t="s">
        <v>48</v>
      </c>
      <c r="C33" s="253">
        <f t="shared" ref="C33:D33" si="16">C29+C32</f>
        <v>1048606.27</v>
      </c>
      <c r="D33" s="254">
        <f t="shared" si="16"/>
        <v>87383.855833333335</v>
      </c>
      <c r="E33" s="255">
        <f>E29+E32</f>
        <v>96089</v>
      </c>
      <c r="F33" s="255">
        <f>F29+F32</f>
        <v>96089</v>
      </c>
      <c r="G33" s="255">
        <f t="shared" ref="G33:Q33" si="17">G29+G32</f>
        <v>103314</v>
      </c>
      <c r="H33" s="255">
        <f t="shared" si="17"/>
        <v>103314</v>
      </c>
      <c r="I33" s="255">
        <f t="shared" si="17"/>
        <v>103314</v>
      </c>
      <c r="J33" s="255">
        <f t="shared" si="17"/>
        <v>103314</v>
      </c>
      <c r="K33" s="255">
        <f t="shared" si="17"/>
        <v>103314</v>
      </c>
      <c r="L33" s="255">
        <f t="shared" si="17"/>
        <v>103314</v>
      </c>
      <c r="M33" s="255">
        <f t="shared" si="17"/>
        <v>103314</v>
      </c>
      <c r="N33" s="255">
        <f t="shared" si="17"/>
        <v>103314</v>
      </c>
      <c r="O33" s="255">
        <f t="shared" si="17"/>
        <v>103314</v>
      </c>
      <c r="P33" s="255">
        <f t="shared" si="17"/>
        <v>103314</v>
      </c>
      <c r="Q33" s="255">
        <f t="shared" si="17"/>
        <v>1225318</v>
      </c>
      <c r="R33" s="256">
        <f>AVERAGE(E33:P33)</f>
        <v>102109.83333333333</v>
      </c>
      <c r="T33" s="215"/>
      <c r="U33" s="216">
        <f t="shared" si="10"/>
        <v>0.16852057350372315</v>
      </c>
      <c r="V33" s="257"/>
    </row>
    <row r="34" spans="1:22" x14ac:dyDescent="0.2">
      <c r="A34" s="246" t="s">
        <v>49</v>
      </c>
      <c r="B34" s="188" t="s">
        <v>48</v>
      </c>
      <c r="C34" s="253">
        <f t="shared" ref="C34:D34" si="18">C33</f>
        <v>1048606.27</v>
      </c>
      <c r="D34" s="254">
        <f t="shared" si="18"/>
        <v>87383.855833333335</v>
      </c>
      <c r="E34" s="255">
        <f>E33</f>
        <v>96089</v>
      </c>
      <c r="F34" s="255">
        <f t="shared" ref="F34:Q34" si="19">F33</f>
        <v>96089</v>
      </c>
      <c r="G34" s="255">
        <f t="shared" si="19"/>
        <v>103314</v>
      </c>
      <c r="H34" s="255">
        <f t="shared" si="19"/>
        <v>103314</v>
      </c>
      <c r="I34" s="255">
        <f t="shared" si="19"/>
        <v>103314</v>
      </c>
      <c r="J34" s="255">
        <f t="shared" si="19"/>
        <v>103314</v>
      </c>
      <c r="K34" s="255">
        <f t="shared" si="19"/>
        <v>103314</v>
      </c>
      <c r="L34" s="255">
        <f t="shared" si="19"/>
        <v>103314</v>
      </c>
      <c r="M34" s="255">
        <f t="shared" si="19"/>
        <v>103314</v>
      </c>
      <c r="N34" s="255">
        <f t="shared" si="19"/>
        <v>103314</v>
      </c>
      <c r="O34" s="255">
        <f t="shared" si="19"/>
        <v>103314</v>
      </c>
      <c r="P34" s="255">
        <f t="shared" si="19"/>
        <v>103314</v>
      </c>
      <c r="Q34" s="255">
        <f t="shared" si="19"/>
        <v>1225318</v>
      </c>
      <c r="R34" s="256">
        <f t="shared" si="2"/>
        <v>102109.83333333333</v>
      </c>
      <c r="T34" s="215"/>
      <c r="U34" s="216">
        <f t="shared" si="10"/>
        <v>0.16852057350372315</v>
      </c>
    </row>
    <row r="35" spans="1:22" x14ac:dyDescent="0.2">
      <c r="A35" s="202" t="s">
        <v>50</v>
      </c>
      <c r="B35" s="188" t="s">
        <v>48</v>
      </c>
      <c r="C35" s="258"/>
      <c r="D35" s="259"/>
      <c r="E35" s="260"/>
      <c r="F35" s="261"/>
      <c r="G35" s="261"/>
      <c r="H35" s="261"/>
      <c r="I35" s="261"/>
      <c r="J35" s="261"/>
      <c r="K35" s="261"/>
      <c r="L35" s="261"/>
      <c r="M35" s="261"/>
      <c r="N35" s="261"/>
      <c r="O35" s="260"/>
      <c r="P35" s="260"/>
      <c r="Q35" s="260"/>
      <c r="R35" s="262"/>
      <c r="T35" s="238"/>
      <c r="U35" s="238"/>
    </row>
    <row r="36" spans="1:22" x14ac:dyDescent="0.2">
      <c r="A36" s="202" t="s">
        <v>51</v>
      </c>
      <c r="B36" s="188" t="s">
        <v>48</v>
      </c>
      <c r="C36" s="258"/>
      <c r="D36" s="259"/>
      <c r="E36" s="260"/>
      <c r="F36" s="261"/>
      <c r="G36" s="261"/>
      <c r="H36" s="261"/>
      <c r="I36" s="261"/>
      <c r="J36" s="261"/>
      <c r="K36" s="261"/>
      <c r="L36" s="261"/>
      <c r="M36" s="261"/>
      <c r="N36" s="261"/>
      <c r="O36" s="260"/>
      <c r="P36" s="260"/>
      <c r="Q36" s="260"/>
      <c r="R36" s="262"/>
      <c r="T36" s="238"/>
      <c r="U36" s="238"/>
    </row>
    <row r="37" spans="1:22" x14ac:dyDescent="0.2">
      <c r="A37" s="263"/>
      <c r="B37" s="202" t="s">
        <v>52</v>
      </c>
      <c r="C37" s="239">
        <f>21792*12</f>
        <v>261504</v>
      </c>
      <c r="D37" s="240">
        <f>C37/12</f>
        <v>21792</v>
      </c>
      <c r="E37" s="241">
        <f>'[2]Payroll 2024'!W153</f>
        <v>22933.65992366412</v>
      </c>
      <c r="F37" s="241">
        <f>'[2]Payroll 2024'!X153</f>
        <v>21098.188625954197</v>
      </c>
      <c r="G37" s="241">
        <f>'[2]Payroll 2024'!Y153</f>
        <v>21226.708625954197</v>
      </c>
      <c r="H37" s="241">
        <f>'[2]Payroll 2024'!Z153</f>
        <v>22237.504274809158</v>
      </c>
      <c r="I37" s="241">
        <f>'[2]Payroll 2024'!AA153</f>
        <v>23521.001723664118</v>
      </c>
      <c r="J37" s="241">
        <f>'[2]Payroll 2024'!AB153</f>
        <v>20453.044977099235</v>
      </c>
      <c r="K37" s="241">
        <f>'[2]Payroll 2024'!AC153</f>
        <v>21669.141799999998</v>
      </c>
      <c r="L37" s="241">
        <f>'[2]Payroll 2024'!AD153</f>
        <v>20727.0052</v>
      </c>
      <c r="M37" s="241">
        <f>'[2]Payroll 2024'!AE153</f>
        <v>19784.868600000002</v>
      </c>
      <c r="N37" s="241">
        <f>'[2]Payroll 2024'!AF153</f>
        <v>21785.061799999996</v>
      </c>
      <c r="O37" s="241">
        <f>'[2]Payroll 2024'!AG153</f>
        <v>19890.708600000002</v>
      </c>
      <c r="P37" s="241">
        <f>'[2]Payroll 2024'!AH153</f>
        <v>20837.885200000001</v>
      </c>
      <c r="Q37" s="241">
        <f>SUM(E37:P37)</f>
        <v>256164.77935114503</v>
      </c>
      <c r="R37" s="264">
        <f>AVERAGE(E37:P37)</f>
        <v>21347.064945928752</v>
      </c>
      <c r="S37" s="202"/>
      <c r="T37" s="245">
        <f>Q37/$Q$34</f>
        <v>0.2090598353661213</v>
      </c>
      <c r="U37" s="245">
        <f t="shared" si="10"/>
        <v>-2.041735747390086E-2</v>
      </c>
    </row>
    <row r="38" spans="1:22" x14ac:dyDescent="0.2">
      <c r="A38" s="210"/>
      <c r="B38" s="202" t="s">
        <v>53</v>
      </c>
      <c r="C38" s="239">
        <v>0</v>
      </c>
      <c r="D38" s="240">
        <f t="shared" ref="D38:D47" si="20">C38/12</f>
        <v>0</v>
      </c>
      <c r="E38" s="241">
        <f>'[2]Payroll 2024'!W154</f>
        <v>0</v>
      </c>
      <c r="F38" s="241">
        <f>'[2]Payroll 2024'!X154</f>
        <v>0</v>
      </c>
      <c r="G38" s="241">
        <f>'[2]Payroll 2024'!Y154</f>
        <v>0</v>
      </c>
      <c r="H38" s="241">
        <f>'[2]Payroll 2024'!Z154</f>
        <v>0</v>
      </c>
      <c r="I38" s="241">
        <f>'[2]Payroll 2024'!AA154</f>
        <v>0</v>
      </c>
      <c r="J38" s="241">
        <f>'[2]Payroll 2024'!AB154</f>
        <v>0</v>
      </c>
      <c r="K38" s="241">
        <f>'[2]Payroll 2024'!AC154</f>
        <v>0</v>
      </c>
      <c r="L38" s="241">
        <f>'[2]Payroll 2024'!AD154</f>
        <v>0</v>
      </c>
      <c r="M38" s="241">
        <f>'[2]Payroll 2024'!AE154</f>
        <v>0</v>
      </c>
      <c r="N38" s="241">
        <f>'[2]Payroll 2024'!AF154</f>
        <v>0</v>
      </c>
      <c r="O38" s="241">
        <f>'[2]Payroll 2024'!AG154</f>
        <v>0</v>
      </c>
      <c r="P38" s="241">
        <f>'[2]Payroll 2024'!AH154</f>
        <v>0</v>
      </c>
      <c r="Q38" s="241">
        <f t="shared" ref="Q38:Q47" si="21">SUM(E38:P38)</f>
        <v>0</v>
      </c>
      <c r="R38" s="264">
        <f t="shared" si="2"/>
        <v>0</v>
      </c>
      <c r="S38" s="202"/>
      <c r="T38" s="245">
        <f t="shared" ref="T38:T102" si="22">Q38/$Q$34</f>
        <v>0</v>
      </c>
      <c r="U38" s="245">
        <f t="shared" si="10"/>
        <v>0</v>
      </c>
    </row>
    <row r="39" spans="1:22" x14ac:dyDescent="0.2">
      <c r="A39" s="210"/>
      <c r="B39" s="202" t="s">
        <v>54</v>
      </c>
      <c r="C39" s="239">
        <v>53888.987999999998</v>
      </c>
      <c r="D39" s="240">
        <f t="shared" si="20"/>
        <v>4490.7489999999998</v>
      </c>
      <c r="E39" s="241">
        <f>'[2]Payroll 2024'!W152</f>
        <v>4876</v>
      </c>
      <c r="F39" s="241">
        <f>'[2]Payroll 2024'!X152</f>
        <v>4452</v>
      </c>
      <c r="G39" s="241">
        <f>'[2]Payroll 2024'!Y152</f>
        <v>4452</v>
      </c>
      <c r="H39" s="241">
        <f>'[2]Payroll 2024'!Z152</f>
        <v>4664</v>
      </c>
      <c r="I39" s="241">
        <f>'[2]Payroll 2024'!AA152</f>
        <v>4876</v>
      </c>
      <c r="J39" s="241">
        <f>'[2]Payroll 2024'!AB152</f>
        <v>4240</v>
      </c>
      <c r="K39" s="241">
        <f>'[2]Payroll 2024'!AC152</f>
        <v>4876</v>
      </c>
      <c r="L39" s="241">
        <f>'[2]Payroll 2024'!AD152</f>
        <v>4664</v>
      </c>
      <c r="M39" s="241">
        <f>'[2]Payroll 2024'!AE152</f>
        <v>4652.34</v>
      </c>
      <c r="N39" s="241">
        <f>'[2]Payroll 2024'!AF152</f>
        <v>5095.42</v>
      </c>
      <c r="O39" s="241">
        <f>'[2]Payroll 2024'!AG152</f>
        <v>4652.34</v>
      </c>
      <c r="P39" s="241">
        <f>'[2]Payroll 2024'!AH152</f>
        <v>4873.88</v>
      </c>
      <c r="Q39" s="241">
        <f t="shared" si="21"/>
        <v>56373.979999999989</v>
      </c>
      <c r="R39" s="264">
        <f t="shared" si="2"/>
        <v>4697.831666666666</v>
      </c>
      <c r="S39" s="202"/>
      <c r="T39" s="245">
        <f t="shared" si="22"/>
        <v>4.6007632304430349E-2</v>
      </c>
      <c r="U39" s="245">
        <f t="shared" si="10"/>
        <v>4.6113168798048151E-2</v>
      </c>
    </row>
    <row r="40" spans="1:22" x14ac:dyDescent="0.2">
      <c r="A40" s="210"/>
      <c r="B40" s="202" t="s">
        <v>55</v>
      </c>
      <c r="C40" s="239">
        <v>17157</v>
      </c>
      <c r="D40" s="240">
        <f t="shared" si="20"/>
        <v>1429.75</v>
      </c>
      <c r="E40" s="241">
        <f>5.9%*SUM(E37:E39)</f>
        <v>1640.7699354961831</v>
      </c>
      <c r="F40" s="241">
        <f t="shared" ref="F40:P40" si="23">5.9%*SUM(F37:F39)</f>
        <v>1507.4611289312977</v>
      </c>
      <c r="G40" s="241">
        <f t="shared" si="23"/>
        <v>1515.0438089312977</v>
      </c>
      <c r="H40" s="241">
        <f t="shared" si="23"/>
        <v>1587.1887522137404</v>
      </c>
      <c r="I40" s="241">
        <f t="shared" si="23"/>
        <v>1675.423101696183</v>
      </c>
      <c r="J40" s="241">
        <f t="shared" si="23"/>
        <v>1456.8896536488548</v>
      </c>
      <c r="K40" s="241">
        <f t="shared" si="23"/>
        <v>1566.1633661999999</v>
      </c>
      <c r="L40" s="241">
        <f t="shared" si="23"/>
        <v>1498.0693068</v>
      </c>
      <c r="M40" s="241">
        <f t="shared" si="23"/>
        <v>1441.7953074000002</v>
      </c>
      <c r="N40" s="241">
        <f t="shared" si="23"/>
        <v>1585.9484261999999</v>
      </c>
      <c r="O40" s="241">
        <f t="shared" si="23"/>
        <v>1448.0398674000003</v>
      </c>
      <c r="P40" s="241">
        <f t="shared" si="23"/>
        <v>1516.9941468000002</v>
      </c>
      <c r="Q40" s="241">
        <f t="shared" si="21"/>
        <v>18439.786801717557</v>
      </c>
      <c r="R40" s="264">
        <f t="shared" si="2"/>
        <v>1536.6489001431298</v>
      </c>
      <c r="S40" s="202"/>
      <c r="T40" s="245">
        <f t="shared" si="22"/>
        <v>1.5048980592562549E-2</v>
      </c>
      <c r="U40" s="245">
        <f t="shared" si="10"/>
        <v>7.476754687401975E-2</v>
      </c>
    </row>
    <row r="41" spans="1:22" x14ac:dyDescent="0.2">
      <c r="A41" s="210"/>
      <c r="B41" s="202" t="s">
        <v>56</v>
      </c>
      <c r="C41" s="239">
        <v>4856.3159999999998</v>
      </c>
      <c r="D41" s="240">
        <f t="shared" si="20"/>
        <v>404.69299999999998</v>
      </c>
      <c r="E41" s="241">
        <f>1.75%*SUM(E37:E39)</f>
        <v>486.66904866412216</v>
      </c>
      <c r="F41" s="241">
        <f t="shared" ref="F41:P41" si="24">1.75%*SUM(F37:F39)</f>
        <v>447.12830095419849</v>
      </c>
      <c r="G41" s="241">
        <f t="shared" si="24"/>
        <v>449.37740095419849</v>
      </c>
      <c r="H41" s="241">
        <f t="shared" si="24"/>
        <v>470.77632480916031</v>
      </c>
      <c r="I41" s="241">
        <f t="shared" si="24"/>
        <v>496.9475301641221</v>
      </c>
      <c r="J41" s="241">
        <f t="shared" si="24"/>
        <v>432.12828709923667</v>
      </c>
      <c r="K41" s="241">
        <f t="shared" si="24"/>
        <v>464.53998150000001</v>
      </c>
      <c r="L41" s="241">
        <f t="shared" si="24"/>
        <v>444.34259100000003</v>
      </c>
      <c r="M41" s="241">
        <f t="shared" si="24"/>
        <v>427.65115050000009</v>
      </c>
      <c r="N41" s="241">
        <f t="shared" si="24"/>
        <v>470.40843149999995</v>
      </c>
      <c r="O41" s="241">
        <f t="shared" si="24"/>
        <v>429.50335050000007</v>
      </c>
      <c r="P41" s="241">
        <f t="shared" si="24"/>
        <v>449.95589100000007</v>
      </c>
      <c r="Q41" s="241">
        <f t="shared" si="21"/>
        <v>5469.4282886450383</v>
      </c>
      <c r="R41" s="264">
        <f t="shared" si="2"/>
        <v>455.78569072041984</v>
      </c>
      <c r="S41" s="202"/>
      <c r="T41" s="245">
        <f t="shared" si="22"/>
        <v>4.4636806842346544E-3</v>
      </c>
      <c r="U41" s="245">
        <f t="shared" si="10"/>
        <v>0.12625049289318044</v>
      </c>
    </row>
    <row r="42" spans="1:22" x14ac:dyDescent="0.2">
      <c r="A42" s="210"/>
      <c r="B42" s="202" t="s">
        <v>57</v>
      </c>
      <c r="C42" s="265">
        <v>0</v>
      </c>
      <c r="D42" s="240">
        <f t="shared" si="20"/>
        <v>0</v>
      </c>
      <c r="E42" s="241">
        <v>0</v>
      </c>
      <c r="F42" s="241">
        <v>0</v>
      </c>
      <c r="G42" s="241">
        <v>0</v>
      </c>
      <c r="H42" s="241">
        <v>0</v>
      </c>
      <c r="I42" s="241">
        <v>0</v>
      </c>
      <c r="J42" s="241">
        <v>0</v>
      </c>
      <c r="K42" s="241">
        <v>0</v>
      </c>
      <c r="L42" s="241">
        <v>0</v>
      </c>
      <c r="M42" s="241">
        <v>0</v>
      </c>
      <c r="N42" s="241">
        <v>0</v>
      </c>
      <c r="O42" s="241">
        <v>0</v>
      </c>
      <c r="P42" s="241">
        <v>0</v>
      </c>
      <c r="Q42" s="241">
        <f t="shared" si="21"/>
        <v>0</v>
      </c>
      <c r="R42" s="264">
        <f t="shared" si="2"/>
        <v>0</v>
      </c>
      <c r="S42" s="202"/>
      <c r="T42" s="245">
        <f t="shared" si="22"/>
        <v>0</v>
      </c>
      <c r="U42" s="245">
        <f>IFERROR((Q42-C43)/C43,0)</f>
        <v>-1</v>
      </c>
    </row>
    <row r="43" spans="1:22" x14ac:dyDescent="0.2">
      <c r="A43" s="210"/>
      <c r="B43" s="202" t="s">
        <v>58</v>
      </c>
      <c r="C43" s="239">
        <v>21816</v>
      </c>
      <c r="D43" s="240">
        <f t="shared" si="20"/>
        <v>1818</v>
      </c>
      <c r="E43" s="241">
        <f>0.0786*E37</f>
        <v>1802.5856699999999</v>
      </c>
      <c r="F43" s="241">
        <f t="shared" ref="F43:P45" si="25">0.0786*F37</f>
        <v>1658.317626</v>
      </c>
      <c r="G43" s="241">
        <f t="shared" si="25"/>
        <v>1668.419298</v>
      </c>
      <c r="H43" s="241">
        <f t="shared" si="25"/>
        <v>1747.8678359999999</v>
      </c>
      <c r="I43" s="241">
        <f t="shared" si="25"/>
        <v>1848.7507354799998</v>
      </c>
      <c r="J43" s="241">
        <f t="shared" si="25"/>
        <v>1607.6093351999998</v>
      </c>
      <c r="K43" s="241">
        <f t="shared" si="25"/>
        <v>1703.19454548</v>
      </c>
      <c r="L43" s="241">
        <f t="shared" si="25"/>
        <v>1629.14260872</v>
      </c>
      <c r="M43" s="241">
        <f t="shared" si="25"/>
        <v>1555.0906719600002</v>
      </c>
      <c r="N43" s="241">
        <f t="shared" si="25"/>
        <v>1712.3058574799998</v>
      </c>
      <c r="O43" s="241">
        <f t="shared" si="25"/>
        <v>1563.4096959600001</v>
      </c>
      <c r="P43" s="241">
        <f t="shared" si="25"/>
        <v>1637.8577767200002</v>
      </c>
      <c r="Q43" s="241">
        <f t="shared" si="21"/>
        <v>20134.551657</v>
      </c>
      <c r="R43" s="264">
        <f t="shared" si="2"/>
        <v>1677.8793047500001</v>
      </c>
      <c r="S43" s="202"/>
      <c r="T43" s="245">
        <f t="shared" si="22"/>
        <v>1.6432103059777135E-2</v>
      </c>
      <c r="U43" s="245">
        <f>IFERROR((Q43-C44)/C44,0)</f>
        <v>0</v>
      </c>
    </row>
    <row r="44" spans="1:22" x14ac:dyDescent="0.2">
      <c r="A44" s="210"/>
      <c r="B44" s="202" t="s">
        <v>59</v>
      </c>
      <c r="C44" s="239">
        <v>0</v>
      </c>
      <c r="D44" s="240">
        <f t="shared" si="20"/>
        <v>0</v>
      </c>
      <c r="E44" s="241">
        <f>0.0786*E38</f>
        <v>0</v>
      </c>
      <c r="F44" s="241">
        <f t="shared" si="25"/>
        <v>0</v>
      </c>
      <c r="G44" s="241">
        <f t="shared" si="25"/>
        <v>0</v>
      </c>
      <c r="H44" s="241">
        <f t="shared" si="25"/>
        <v>0</v>
      </c>
      <c r="I44" s="241">
        <f t="shared" si="25"/>
        <v>0</v>
      </c>
      <c r="J44" s="241">
        <f t="shared" si="25"/>
        <v>0</v>
      </c>
      <c r="K44" s="241">
        <f t="shared" si="25"/>
        <v>0</v>
      </c>
      <c r="L44" s="241">
        <f t="shared" si="25"/>
        <v>0</v>
      </c>
      <c r="M44" s="241">
        <f t="shared" si="25"/>
        <v>0</v>
      </c>
      <c r="N44" s="241">
        <f t="shared" si="25"/>
        <v>0</v>
      </c>
      <c r="O44" s="241">
        <f t="shared" si="25"/>
        <v>0</v>
      </c>
      <c r="P44" s="241">
        <f t="shared" si="25"/>
        <v>0</v>
      </c>
      <c r="Q44" s="241">
        <f t="shared" ref="Q44:Q46" si="26">SUM(E44:P44)</f>
        <v>0</v>
      </c>
      <c r="R44" s="264">
        <f t="shared" si="2"/>
        <v>0</v>
      </c>
      <c r="S44" s="202"/>
      <c r="T44" s="245">
        <f t="shared" si="22"/>
        <v>0</v>
      </c>
      <c r="U44" s="245">
        <f>IFERROR((Q44-C45)/C45,0)</f>
        <v>-1</v>
      </c>
    </row>
    <row r="45" spans="1:22" x14ac:dyDescent="0.2">
      <c r="A45" s="210"/>
      <c r="B45" s="202" t="s">
        <v>60</v>
      </c>
      <c r="C45" s="239">
        <v>4044.576</v>
      </c>
      <c r="D45" s="240">
        <f t="shared" si="20"/>
        <v>337.048</v>
      </c>
      <c r="E45" s="241">
        <f>0.0786*E39</f>
        <v>383.25360000000001</v>
      </c>
      <c r="F45" s="241">
        <f t="shared" si="25"/>
        <v>349.92720000000003</v>
      </c>
      <c r="G45" s="241">
        <f t="shared" si="25"/>
        <v>349.92720000000003</v>
      </c>
      <c r="H45" s="241">
        <f t="shared" si="25"/>
        <v>366.59039999999999</v>
      </c>
      <c r="I45" s="241">
        <f t="shared" si="25"/>
        <v>383.25360000000001</v>
      </c>
      <c r="J45" s="241">
        <f t="shared" si="25"/>
        <v>333.26400000000001</v>
      </c>
      <c r="K45" s="241">
        <f t="shared" si="25"/>
        <v>383.25360000000001</v>
      </c>
      <c r="L45" s="241">
        <f t="shared" si="25"/>
        <v>366.59039999999999</v>
      </c>
      <c r="M45" s="241">
        <f t="shared" si="25"/>
        <v>365.673924</v>
      </c>
      <c r="N45" s="241">
        <f t="shared" si="25"/>
        <v>400.50001200000003</v>
      </c>
      <c r="O45" s="241">
        <f t="shared" si="25"/>
        <v>365.673924</v>
      </c>
      <c r="P45" s="241">
        <f t="shared" si="25"/>
        <v>383.08696800000001</v>
      </c>
      <c r="Q45" s="241">
        <f t="shared" si="26"/>
        <v>4430.9948280000008</v>
      </c>
      <c r="R45" s="264">
        <f t="shared" si="2"/>
        <v>369.24956900000006</v>
      </c>
      <c r="S45" s="202"/>
      <c r="T45" s="245">
        <f t="shared" si="22"/>
        <v>3.6161998991282268E-3</v>
      </c>
      <c r="U45" s="245">
        <f>IFERROR((Q45-C46)/C46,0)</f>
        <v>0</v>
      </c>
    </row>
    <row r="46" spans="1:22" x14ac:dyDescent="0.2">
      <c r="A46" s="210"/>
      <c r="B46" s="202" t="s">
        <v>61</v>
      </c>
      <c r="C46" s="239">
        <v>0</v>
      </c>
      <c r="D46" s="240">
        <f t="shared" si="20"/>
        <v>0</v>
      </c>
      <c r="E46" s="241">
        <v>0</v>
      </c>
      <c r="F46" s="241">
        <v>0</v>
      </c>
      <c r="G46" s="241">
        <v>0</v>
      </c>
      <c r="H46" s="241">
        <v>0</v>
      </c>
      <c r="I46" s="241">
        <v>0</v>
      </c>
      <c r="J46" s="241">
        <v>0</v>
      </c>
      <c r="K46" s="241">
        <v>0</v>
      </c>
      <c r="L46" s="241">
        <v>0</v>
      </c>
      <c r="M46" s="241">
        <v>0</v>
      </c>
      <c r="N46" s="241">
        <v>0</v>
      </c>
      <c r="O46" s="241">
        <v>0</v>
      </c>
      <c r="P46" s="241">
        <v>0</v>
      </c>
      <c r="Q46" s="241">
        <f t="shared" si="26"/>
        <v>0</v>
      </c>
      <c r="R46" s="264">
        <f t="shared" si="2"/>
        <v>0</v>
      </c>
      <c r="S46" s="202"/>
      <c r="T46" s="245">
        <f t="shared" si="22"/>
        <v>0</v>
      </c>
      <c r="U46" s="245">
        <f>IFERROR((Q46-C47)/C47,0)</f>
        <v>-1</v>
      </c>
    </row>
    <row r="47" spans="1:22" x14ac:dyDescent="0.2">
      <c r="A47" s="210"/>
      <c r="B47" s="202" t="s">
        <v>62</v>
      </c>
      <c r="C47" s="239">
        <v>3600</v>
      </c>
      <c r="D47" s="240">
        <f t="shared" si="20"/>
        <v>300</v>
      </c>
      <c r="E47" s="241">
        <f>0.8%*SUM(E37:E39)</f>
        <v>222.47727938931297</v>
      </c>
      <c r="F47" s="241">
        <f t="shared" ref="F47:P47" si="27">0.8%*SUM(F37:F39)</f>
        <v>204.40150900763359</v>
      </c>
      <c r="G47" s="241">
        <f t="shared" si="27"/>
        <v>205.42966900763358</v>
      </c>
      <c r="H47" s="241">
        <f t="shared" si="27"/>
        <v>215.21203419847328</v>
      </c>
      <c r="I47" s="241">
        <f t="shared" si="27"/>
        <v>227.17601378931295</v>
      </c>
      <c r="J47" s="241">
        <f t="shared" si="27"/>
        <v>197.54435981679387</v>
      </c>
      <c r="K47" s="241">
        <f t="shared" si="27"/>
        <v>212.3611344</v>
      </c>
      <c r="L47" s="241">
        <f t="shared" si="27"/>
        <v>203.12804159999999</v>
      </c>
      <c r="M47" s="241">
        <f t="shared" si="27"/>
        <v>195.49766880000001</v>
      </c>
      <c r="N47" s="241">
        <f t="shared" si="27"/>
        <v>215.04385439999996</v>
      </c>
      <c r="O47" s="241">
        <f t="shared" si="27"/>
        <v>196.34438880000002</v>
      </c>
      <c r="P47" s="241">
        <f t="shared" si="27"/>
        <v>205.69412160000002</v>
      </c>
      <c r="Q47" s="241">
        <f t="shared" si="21"/>
        <v>2500.3100748091606</v>
      </c>
      <c r="R47" s="264">
        <f t="shared" si="2"/>
        <v>208.35917290076338</v>
      </c>
      <c r="S47" s="202"/>
      <c r="T47" s="245">
        <f t="shared" si="22"/>
        <v>2.0405397413644135E-3</v>
      </c>
      <c r="U47" s="245">
        <f>IFERROR((Q47-#REF!)/#REF!,0)</f>
        <v>0</v>
      </c>
    </row>
    <row r="48" spans="1:22" x14ac:dyDescent="0.2">
      <c r="A48" s="246" t="s">
        <v>63</v>
      </c>
      <c r="B48" s="188" t="s">
        <v>48</v>
      </c>
      <c r="C48" s="266">
        <f>SUM(C37:C47)</f>
        <v>366866.88</v>
      </c>
      <c r="D48" s="267">
        <f t="shared" ref="D48:Q48" si="28">SUM(D37:D47)</f>
        <v>30572.239999999998</v>
      </c>
      <c r="E48" s="268">
        <f t="shared" si="28"/>
        <v>32345.415457213741</v>
      </c>
      <c r="F48" s="268">
        <f t="shared" si="28"/>
        <v>29717.424390847322</v>
      </c>
      <c r="G48" s="268">
        <f t="shared" si="28"/>
        <v>29866.906002847329</v>
      </c>
      <c r="H48" s="268">
        <f t="shared" si="28"/>
        <v>31289.139622030536</v>
      </c>
      <c r="I48" s="268">
        <f t="shared" si="28"/>
        <v>33028.552704793736</v>
      </c>
      <c r="J48" s="268">
        <f t="shared" si="28"/>
        <v>28720.480612864118</v>
      </c>
      <c r="K48" s="268">
        <f t="shared" si="28"/>
        <v>30874.654427579993</v>
      </c>
      <c r="L48" s="268">
        <f t="shared" si="28"/>
        <v>29532.278148120004</v>
      </c>
      <c r="M48" s="268">
        <f t="shared" si="28"/>
        <v>28422.91732266</v>
      </c>
      <c r="N48" s="268">
        <f t="shared" si="28"/>
        <v>31264.688381579992</v>
      </c>
      <c r="O48" s="268">
        <f t="shared" si="28"/>
        <v>28546.019826659998</v>
      </c>
      <c r="P48" s="268">
        <f t="shared" si="28"/>
        <v>29905.354104120004</v>
      </c>
      <c r="Q48" s="268">
        <f t="shared" si="28"/>
        <v>363513.83100131678</v>
      </c>
      <c r="R48" s="269">
        <f t="shared" si="2"/>
        <v>30292.819250109726</v>
      </c>
      <c r="S48" s="270"/>
      <c r="T48" s="271">
        <f t="shared" si="22"/>
        <v>0.29666897164761863</v>
      </c>
      <c r="U48" s="271">
        <f t="shared" si="10"/>
        <v>-9.1396884850527393E-3</v>
      </c>
    </row>
    <row r="49" spans="1:21" x14ac:dyDescent="0.2">
      <c r="A49" s="202" t="s">
        <v>64</v>
      </c>
      <c r="B49" s="188" t="s">
        <v>48</v>
      </c>
      <c r="C49" s="272"/>
      <c r="D49" s="273"/>
      <c r="E49" s="274"/>
      <c r="F49" s="275"/>
      <c r="G49" s="275"/>
      <c r="H49" s="275"/>
      <c r="I49" s="275"/>
      <c r="J49" s="275"/>
      <c r="K49" s="275"/>
      <c r="L49" s="275"/>
      <c r="M49" s="275"/>
      <c r="N49" s="275"/>
      <c r="O49" s="274"/>
      <c r="P49" s="274"/>
      <c r="Q49" s="276">
        <f>Q48/Q34</f>
        <v>0.29666897164761863</v>
      </c>
      <c r="R49" s="277"/>
      <c r="T49" s="238"/>
      <c r="U49" s="238"/>
    </row>
    <row r="50" spans="1:21" x14ac:dyDescent="0.2">
      <c r="A50" s="210"/>
      <c r="B50" s="202" t="s">
        <v>65</v>
      </c>
      <c r="C50" s="239">
        <v>12791.315999999999</v>
      </c>
      <c r="D50" s="240">
        <f t="shared" ref="D50:D61" si="29">C50/12</f>
        <v>1065.943</v>
      </c>
      <c r="E50" s="241">
        <v>650</v>
      </c>
      <c r="F50" s="241">
        <v>650</v>
      </c>
      <c r="G50" s="241">
        <v>650</v>
      </c>
      <c r="H50" s="241">
        <v>650</v>
      </c>
      <c r="I50" s="241">
        <v>650</v>
      </c>
      <c r="J50" s="241">
        <v>650</v>
      </c>
      <c r="K50" s="241">
        <v>650</v>
      </c>
      <c r="L50" s="241">
        <v>650</v>
      </c>
      <c r="M50" s="241">
        <v>650</v>
      </c>
      <c r="N50" s="241">
        <v>650</v>
      </c>
      <c r="O50" s="241">
        <v>650</v>
      </c>
      <c r="P50" s="241">
        <v>650</v>
      </c>
      <c r="Q50" s="241">
        <f t="shared" ref="Q50:Q61" si="30">SUM(E50:P50)</f>
        <v>7800</v>
      </c>
      <c r="R50" s="264">
        <f t="shared" si="2"/>
        <v>650</v>
      </c>
      <c r="S50" s="202"/>
      <c r="T50" s="245">
        <f t="shared" si="22"/>
        <v>6.3656944564594664E-3</v>
      </c>
      <c r="U50" s="245">
        <f t="shared" si="10"/>
        <v>-0.3902112964764532</v>
      </c>
    </row>
    <row r="51" spans="1:21" x14ac:dyDescent="0.2">
      <c r="A51" s="210" t="s">
        <v>1</v>
      </c>
      <c r="B51" s="202" t="s">
        <v>66</v>
      </c>
      <c r="C51" s="239">
        <v>1200</v>
      </c>
      <c r="D51" s="240">
        <f t="shared" si="29"/>
        <v>100</v>
      </c>
      <c r="E51" s="241">
        <v>100</v>
      </c>
      <c r="F51" s="241">
        <v>100</v>
      </c>
      <c r="G51" s="241">
        <v>100</v>
      </c>
      <c r="H51" s="241">
        <v>100</v>
      </c>
      <c r="I51" s="241">
        <v>100</v>
      </c>
      <c r="J51" s="241">
        <v>100</v>
      </c>
      <c r="K51" s="241">
        <v>100</v>
      </c>
      <c r="L51" s="241">
        <v>100</v>
      </c>
      <c r="M51" s="241">
        <v>100</v>
      </c>
      <c r="N51" s="241">
        <v>100</v>
      </c>
      <c r="O51" s="241">
        <v>100</v>
      </c>
      <c r="P51" s="241">
        <v>100</v>
      </c>
      <c r="Q51" s="241">
        <f t="shared" si="30"/>
        <v>1200</v>
      </c>
      <c r="R51" s="264">
        <f t="shared" si="2"/>
        <v>100</v>
      </c>
      <c r="S51" s="202"/>
      <c r="T51" s="245">
        <f t="shared" si="22"/>
        <v>9.7933760868607164E-4</v>
      </c>
      <c r="U51" s="245">
        <f t="shared" si="10"/>
        <v>0</v>
      </c>
    </row>
    <row r="52" spans="1:21" x14ac:dyDescent="0.2">
      <c r="A52" s="210"/>
      <c r="B52" s="202" t="s">
        <v>67</v>
      </c>
      <c r="C52" s="239">
        <v>0</v>
      </c>
      <c r="D52" s="240">
        <f t="shared" si="29"/>
        <v>0</v>
      </c>
      <c r="E52" s="241">
        <v>0</v>
      </c>
      <c r="F52" s="241">
        <v>0</v>
      </c>
      <c r="G52" s="241">
        <v>0</v>
      </c>
      <c r="H52" s="241">
        <v>0</v>
      </c>
      <c r="I52" s="241">
        <v>0</v>
      </c>
      <c r="J52" s="241">
        <v>0</v>
      </c>
      <c r="K52" s="241">
        <v>0</v>
      </c>
      <c r="L52" s="241">
        <v>0</v>
      </c>
      <c r="M52" s="241">
        <v>0</v>
      </c>
      <c r="N52" s="241">
        <v>0</v>
      </c>
      <c r="O52" s="241">
        <v>0</v>
      </c>
      <c r="P52" s="241">
        <v>0</v>
      </c>
      <c r="Q52" s="241">
        <f t="shared" si="30"/>
        <v>0</v>
      </c>
      <c r="R52" s="264">
        <f t="shared" si="2"/>
        <v>0</v>
      </c>
      <c r="S52" s="202"/>
      <c r="T52" s="245">
        <f t="shared" si="22"/>
        <v>0</v>
      </c>
      <c r="U52" s="245">
        <f t="shared" si="10"/>
        <v>0</v>
      </c>
    </row>
    <row r="53" spans="1:21" x14ac:dyDescent="0.2">
      <c r="A53" s="210"/>
      <c r="B53" s="202" t="s">
        <v>68</v>
      </c>
      <c r="C53" s="239">
        <v>1357.4879999999998</v>
      </c>
      <c r="D53" s="240">
        <f t="shared" si="29"/>
        <v>113.12399999999998</v>
      </c>
      <c r="E53" s="241">
        <v>115</v>
      </c>
      <c r="F53" s="241">
        <v>105</v>
      </c>
      <c r="G53" s="241">
        <v>105</v>
      </c>
      <c r="H53" s="241">
        <v>105</v>
      </c>
      <c r="I53" s="241">
        <v>105</v>
      </c>
      <c r="J53" s="241">
        <v>105</v>
      </c>
      <c r="K53" s="241">
        <v>105</v>
      </c>
      <c r="L53" s="241">
        <v>105</v>
      </c>
      <c r="M53" s="241">
        <v>105</v>
      </c>
      <c r="N53" s="241">
        <v>105</v>
      </c>
      <c r="O53" s="241">
        <v>105</v>
      </c>
      <c r="P53" s="241">
        <v>105</v>
      </c>
      <c r="Q53" s="241">
        <f t="shared" si="30"/>
        <v>1270</v>
      </c>
      <c r="R53" s="264">
        <f t="shared" si="2"/>
        <v>105.83333333333333</v>
      </c>
      <c r="S53" s="202"/>
      <c r="T53" s="245">
        <f t="shared" si="22"/>
        <v>1.036465635859426E-3</v>
      </c>
      <c r="U53" s="245">
        <f t="shared" si="10"/>
        <v>-6.4448451846351382E-2</v>
      </c>
    </row>
    <row r="54" spans="1:21" x14ac:dyDescent="0.2">
      <c r="A54" s="210"/>
      <c r="B54" s="202" t="s">
        <v>69</v>
      </c>
      <c r="C54" s="239">
        <v>49267.991999999998</v>
      </c>
      <c r="D54" s="240">
        <f t="shared" si="29"/>
        <v>4105.6660000000002</v>
      </c>
      <c r="E54" s="241">
        <f>2728.8+7620.57</f>
        <v>10349.369999999999</v>
      </c>
      <c r="F54" s="241">
        <f>2728.8+7620.57</f>
        <v>10349.369999999999</v>
      </c>
      <c r="G54" s="241">
        <f t="shared" ref="G54:K54" si="31">2728.8+7620.57</f>
        <v>10349.369999999999</v>
      </c>
      <c r="H54" s="241">
        <f t="shared" si="31"/>
        <v>10349.369999999999</v>
      </c>
      <c r="I54" s="241">
        <f t="shared" si="31"/>
        <v>10349.369999999999</v>
      </c>
      <c r="J54" s="241">
        <f t="shared" si="31"/>
        <v>10349.369999999999</v>
      </c>
      <c r="K54" s="241">
        <f t="shared" si="31"/>
        <v>10349.369999999999</v>
      </c>
      <c r="L54" s="241">
        <v>12000</v>
      </c>
      <c r="M54" s="241">
        <v>12000</v>
      </c>
      <c r="N54" s="241">
        <v>12000</v>
      </c>
      <c r="O54" s="241">
        <v>12000</v>
      </c>
      <c r="P54" s="241">
        <v>12000</v>
      </c>
      <c r="Q54" s="241">
        <f>SUM(E54:P54)</f>
        <v>132445.58999999997</v>
      </c>
      <c r="R54" s="264">
        <f t="shared" si="2"/>
        <v>11037.132499999998</v>
      </c>
      <c r="S54" s="202"/>
      <c r="T54" s="245">
        <f t="shared" si="22"/>
        <v>0.10809078949301322</v>
      </c>
      <c r="U54" s="245">
        <f t="shared" si="10"/>
        <v>1.6882684806801131</v>
      </c>
    </row>
    <row r="55" spans="1:21" x14ac:dyDescent="0.2">
      <c r="A55" s="210"/>
      <c r="B55" s="202" t="s">
        <v>70</v>
      </c>
      <c r="C55" s="239">
        <v>11828.196</v>
      </c>
      <c r="D55" s="240">
        <f t="shared" si="29"/>
        <v>985.68299999999999</v>
      </c>
      <c r="E55" s="241">
        <v>1475</v>
      </c>
      <c r="F55" s="241">
        <v>1475</v>
      </c>
      <c r="G55" s="241">
        <v>1475</v>
      </c>
      <c r="H55" s="241">
        <v>1475</v>
      </c>
      <c r="I55" s="241">
        <v>1475</v>
      </c>
      <c r="J55" s="241">
        <v>1475</v>
      </c>
      <c r="K55" s="241">
        <v>1475</v>
      </c>
      <c r="L55" s="241">
        <v>1475</v>
      </c>
      <c r="M55" s="241">
        <v>1475</v>
      </c>
      <c r="N55" s="241">
        <v>1475</v>
      </c>
      <c r="O55" s="241">
        <v>1475</v>
      </c>
      <c r="P55" s="241">
        <v>1475</v>
      </c>
      <c r="Q55" s="241">
        <f t="shared" si="30"/>
        <v>17700</v>
      </c>
      <c r="R55" s="264">
        <f t="shared" si="2"/>
        <v>1475</v>
      </c>
      <c r="S55" s="202"/>
      <c r="T55" s="245">
        <f t="shared" si="22"/>
        <v>1.4445229728119558E-2</v>
      </c>
      <c r="U55" s="245">
        <f t="shared" si="10"/>
        <v>0.49642430680046223</v>
      </c>
    </row>
    <row r="56" spans="1:21" x14ac:dyDescent="0.2">
      <c r="A56" s="210"/>
      <c r="B56" s="202" t="s">
        <v>71</v>
      </c>
      <c r="C56" s="239">
        <v>0</v>
      </c>
      <c r="D56" s="240">
        <f t="shared" si="29"/>
        <v>0</v>
      </c>
      <c r="E56" s="241">
        <v>0</v>
      </c>
      <c r="F56" s="241">
        <v>0</v>
      </c>
      <c r="G56" s="241">
        <v>0</v>
      </c>
      <c r="H56" s="241">
        <v>0</v>
      </c>
      <c r="I56" s="241">
        <v>0</v>
      </c>
      <c r="J56" s="241">
        <v>0</v>
      </c>
      <c r="K56" s="241">
        <v>0</v>
      </c>
      <c r="L56" s="241">
        <v>0</v>
      </c>
      <c r="M56" s="241">
        <v>0</v>
      </c>
      <c r="N56" s="241">
        <v>0</v>
      </c>
      <c r="O56" s="241">
        <v>0</v>
      </c>
      <c r="P56" s="241">
        <v>0</v>
      </c>
      <c r="Q56" s="241">
        <f t="shared" si="30"/>
        <v>0</v>
      </c>
      <c r="R56" s="264">
        <f t="shared" si="2"/>
        <v>0</v>
      </c>
      <c r="S56" s="202"/>
      <c r="T56" s="245">
        <f t="shared" si="22"/>
        <v>0</v>
      </c>
      <c r="U56" s="245">
        <f t="shared" si="10"/>
        <v>0</v>
      </c>
    </row>
    <row r="57" spans="1:21" x14ac:dyDescent="0.2">
      <c r="A57" s="210"/>
      <c r="B57" s="202" t="s">
        <v>72</v>
      </c>
      <c r="C57" s="239">
        <v>0</v>
      </c>
      <c r="D57" s="240">
        <f t="shared" si="29"/>
        <v>0</v>
      </c>
      <c r="E57" s="241">
        <v>0</v>
      </c>
      <c r="F57" s="241">
        <v>0</v>
      </c>
      <c r="G57" s="241">
        <v>0</v>
      </c>
      <c r="H57" s="241">
        <v>0</v>
      </c>
      <c r="I57" s="241">
        <v>0</v>
      </c>
      <c r="J57" s="241">
        <v>0</v>
      </c>
      <c r="K57" s="241">
        <v>0</v>
      </c>
      <c r="L57" s="241">
        <v>0</v>
      </c>
      <c r="M57" s="241">
        <v>0</v>
      </c>
      <c r="N57" s="241">
        <v>0</v>
      </c>
      <c r="O57" s="241">
        <v>0</v>
      </c>
      <c r="P57" s="241">
        <v>0</v>
      </c>
      <c r="Q57" s="241">
        <f t="shared" si="30"/>
        <v>0</v>
      </c>
      <c r="R57" s="264">
        <f t="shared" si="2"/>
        <v>0</v>
      </c>
      <c r="S57" s="202"/>
      <c r="T57" s="245">
        <f t="shared" si="22"/>
        <v>0</v>
      </c>
      <c r="U57" s="245">
        <f t="shared" si="10"/>
        <v>0</v>
      </c>
    </row>
    <row r="58" spans="1:21" x14ac:dyDescent="0.2">
      <c r="A58" s="210"/>
      <c r="B58" s="202" t="s">
        <v>73</v>
      </c>
      <c r="C58" s="239">
        <v>5202.1080000000002</v>
      </c>
      <c r="D58" s="240">
        <f t="shared" si="29"/>
        <v>433.50900000000001</v>
      </c>
      <c r="E58" s="241">
        <v>1000</v>
      </c>
      <c r="F58" s="241">
        <v>1000</v>
      </c>
      <c r="G58" s="241">
        <v>1000</v>
      </c>
      <c r="H58" s="241">
        <v>1000</v>
      </c>
      <c r="I58" s="241">
        <v>1000</v>
      </c>
      <c r="J58" s="241">
        <v>1000</v>
      </c>
      <c r="K58" s="241">
        <v>1000</v>
      </c>
      <c r="L58" s="241">
        <v>1000</v>
      </c>
      <c r="M58" s="241">
        <v>1000</v>
      </c>
      <c r="N58" s="241">
        <v>1000</v>
      </c>
      <c r="O58" s="241">
        <v>1000</v>
      </c>
      <c r="P58" s="241">
        <v>1000</v>
      </c>
      <c r="Q58" s="241">
        <f t="shared" si="30"/>
        <v>12000</v>
      </c>
      <c r="R58" s="264">
        <f t="shared" si="2"/>
        <v>1000</v>
      </c>
      <c r="S58" s="202"/>
      <c r="T58" s="245">
        <f t="shared" si="22"/>
        <v>9.7933760868607177E-3</v>
      </c>
      <c r="U58" s="245">
        <f t="shared" si="10"/>
        <v>1.3067571838185597</v>
      </c>
    </row>
    <row r="59" spans="1:21" x14ac:dyDescent="0.2">
      <c r="A59" s="210"/>
      <c r="B59" s="202" t="s">
        <v>74</v>
      </c>
      <c r="C59" s="239">
        <v>228703.91999999998</v>
      </c>
      <c r="D59" s="240">
        <f t="shared" si="29"/>
        <v>19058.66</v>
      </c>
      <c r="E59" s="241">
        <f>22000-2941.34</f>
        <v>19058.66</v>
      </c>
      <c r="F59" s="241">
        <f t="shared" ref="F59:P59" si="32">22000-2941.34</f>
        <v>19058.66</v>
      </c>
      <c r="G59" s="241">
        <f t="shared" si="32"/>
        <v>19058.66</v>
      </c>
      <c r="H59" s="241">
        <f t="shared" si="32"/>
        <v>19058.66</v>
      </c>
      <c r="I59" s="241">
        <f t="shared" si="32"/>
        <v>19058.66</v>
      </c>
      <c r="J59" s="241">
        <f t="shared" si="32"/>
        <v>19058.66</v>
      </c>
      <c r="K59" s="241">
        <f t="shared" si="32"/>
        <v>19058.66</v>
      </c>
      <c r="L59" s="241">
        <f t="shared" si="32"/>
        <v>19058.66</v>
      </c>
      <c r="M59" s="241">
        <f t="shared" si="32"/>
        <v>19058.66</v>
      </c>
      <c r="N59" s="241">
        <f t="shared" si="32"/>
        <v>19058.66</v>
      </c>
      <c r="O59" s="241">
        <f t="shared" si="32"/>
        <v>19058.66</v>
      </c>
      <c r="P59" s="241">
        <f t="shared" si="32"/>
        <v>19058.66</v>
      </c>
      <c r="Q59" s="241">
        <f t="shared" si="30"/>
        <v>228703.92</v>
      </c>
      <c r="R59" s="264">
        <f t="shared" si="2"/>
        <v>19058.66</v>
      </c>
      <c r="S59" s="202"/>
      <c r="T59" s="245">
        <f t="shared" si="22"/>
        <v>0.18664862509160887</v>
      </c>
      <c r="U59" s="245">
        <f t="shared" si="10"/>
        <v>1.2725549460076464E-16</v>
      </c>
    </row>
    <row r="60" spans="1:21" x14ac:dyDescent="0.2">
      <c r="A60" s="210"/>
      <c r="B60" s="202" t="s">
        <v>75</v>
      </c>
      <c r="C60" s="239">
        <v>43560</v>
      </c>
      <c r="D60" s="240">
        <f t="shared" si="29"/>
        <v>3630</v>
      </c>
      <c r="E60" s="241">
        <v>3750</v>
      </c>
      <c r="F60" s="241">
        <v>3750</v>
      </c>
      <c r="G60" s="241">
        <v>3750</v>
      </c>
      <c r="H60" s="241">
        <v>3750</v>
      </c>
      <c r="I60" s="241">
        <v>3750</v>
      </c>
      <c r="J60" s="241">
        <v>3750</v>
      </c>
      <c r="K60" s="241">
        <v>3750</v>
      </c>
      <c r="L60" s="241">
        <v>3750</v>
      </c>
      <c r="M60" s="241">
        <v>3750</v>
      </c>
      <c r="N60" s="241">
        <v>3750</v>
      </c>
      <c r="O60" s="241">
        <v>3750</v>
      </c>
      <c r="P60" s="241">
        <v>3750</v>
      </c>
      <c r="Q60" s="241">
        <f t="shared" si="30"/>
        <v>45000</v>
      </c>
      <c r="R60" s="264">
        <f t="shared" si="2"/>
        <v>3750</v>
      </c>
      <c r="S60" s="202"/>
      <c r="T60" s="245">
        <f t="shared" si="22"/>
        <v>3.6725160325727688E-2</v>
      </c>
      <c r="U60" s="245">
        <f t="shared" si="10"/>
        <v>3.3057851239669422E-2</v>
      </c>
    </row>
    <row r="61" spans="1:21" x14ac:dyDescent="0.2">
      <c r="A61" s="210"/>
      <c r="B61" s="202" t="s">
        <v>76</v>
      </c>
      <c r="C61" s="239">
        <v>206.54399999999998</v>
      </c>
      <c r="D61" s="240">
        <f t="shared" si="29"/>
        <v>17.212</v>
      </c>
      <c r="E61" s="241">
        <v>100</v>
      </c>
      <c r="F61" s="241">
        <v>100</v>
      </c>
      <c r="G61" s="241">
        <v>100</v>
      </c>
      <c r="H61" s="241">
        <v>100</v>
      </c>
      <c r="I61" s="241">
        <v>100</v>
      </c>
      <c r="J61" s="241">
        <v>100</v>
      </c>
      <c r="K61" s="241">
        <v>100</v>
      </c>
      <c r="L61" s="241">
        <v>100</v>
      </c>
      <c r="M61" s="241">
        <v>100</v>
      </c>
      <c r="N61" s="241">
        <v>100</v>
      </c>
      <c r="O61" s="241">
        <v>100</v>
      </c>
      <c r="P61" s="241">
        <v>100</v>
      </c>
      <c r="Q61" s="241">
        <f t="shared" si="30"/>
        <v>1200</v>
      </c>
      <c r="R61" s="264">
        <f t="shared" si="2"/>
        <v>100</v>
      </c>
      <c r="S61" s="202"/>
      <c r="T61" s="245">
        <f t="shared" si="22"/>
        <v>9.7933760868607164E-4</v>
      </c>
      <c r="U61" s="245">
        <f t="shared" si="10"/>
        <v>4.8099000697188012</v>
      </c>
    </row>
    <row r="62" spans="1:21" x14ac:dyDescent="0.2">
      <c r="A62" s="246" t="s">
        <v>77</v>
      </c>
      <c r="B62" s="202" t="s">
        <v>48</v>
      </c>
      <c r="C62" s="266">
        <f>SUM(C50:C61)</f>
        <v>354117.56400000001</v>
      </c>
      <c r="D62" s="267">
        <f>SUM(D50:D61)</f>
        <v>29509.796999999999</v>
      </c>
      <c r="E62" s="268">
        <f>SUM(E50:E61)</f>
        <v>36598.03</v>
      </c>
      <c r="F62" s="268">
        <f t="shared" ref="F62:Q62" si="33">SUM(F50:F61)</f>
        <v>36588.03</v>
      </c>
      <c r="G62" s="268">
        <f t="shared" si="33"/>
        <v>36588.03</v>
      </c>
      <c r="H62" s="268">
        <f t="shared" si="33"/>
        <v>36588.03</v>
      </c>
      <c r="I62" s="268">
        <f t="shared" si="33"/>
        <v>36588.03</v>
      </c>
      <c r="J62" s="268">
        <f t="shared" si="33"/>
        <v>36588.03</v>
      </c>
      <c r="K62" s="268">
        <f t="shared" si="33"/>
        <v>36588.03</v>
      </c>
      <c r="L62" s="268">
        <f t="shared" si="33"/>
        <v>38238.660000000003</v>
      </c>
      <c r="M62" s="268">
        <f t="shared" si="33"/>
        <v>38238.660000000003</v>
      </c>
      <c r="N62" s="268">
        <f t="shared" si="33"/>
        <v>38238.660000000003</v>
      </c>
      <c r="O62" s="268">
        <f t="shared" si="33"/>
        <v>38238.660000000003</v>
      </c>
      <c r="P62" s="268">
        <f t="shared" si="33"/>
        <v>38238.660000000003</v>
      </c>
      <c r="Q62" s="268">
        <f t="shared" si="33"/>
        <v>447319.51</v>
      </c>
      <c r="R62" s="269">
        <f t="shared" si="2"/>
        <v>37276.625833333346</v>
      </c>
      <c r="T62" s="271">
        <f t="shared" si="22"/>
        <v>0.36506401603502114</v>
      </c>
      <c r="U62" s="271">
        <f t="shared" si="10"/>
        <v>0.26319492585236465</v>
      </c>
    </row>
    <row r="63" spans="1:21" x14ac:dyDescent="0.2">
      <c r="A63" s="202" t="s">
        <v>78</v>
      </c>
      <c r="B63" s="202" t="s">
        <v>48</v>
      </c>
      <c r="C63" s="278">
        <v>0</v>
      </c>
      <c r="D63" s="279"/>
      <c r="E63" s="280"/>
      <c r="F63" s="280"/>
      <c r="G63" s="280"/>
      <c r="H63" s="280"/>
      <c r="I63" s="280"/>
      <c r="J63" s="280"/>
      <c r="K63" s="280"/>
      <c r="L63" s="274"/>
      <c r="M63" s="274"/>
      <c r="N63" s="274"/>
      <c r="O63" s="280"/>
      <c r="P63" s="280"/>
      <c r="Q63" s="280"/>
      <c r="R63" s="281"/>
      <c r="T63" s="282"/>
      <c r="U63" s="282"/>
    </row>
    <row r="64" spans="1:21" x14ac:dyDescent="0.2">
      <c r="A64" s="210"/>
      <c r="B64" s="202" t="s">
        <v>79</v>
      </c>
      <c r="C64" s="239">
        <v>0</v>
      </c>
      <c r="D64" s="240">
        <f t="shared" ref="D64:D72" si="34">C64/12</f>
        <v>0</v>
      </c>
      <c r="E64" s="241">
        <v>0</v>
      </c>
      <c r="F64" s="241">
        <v>0</v>
      </c>
      <c r="G64" s="241">
        <v>0</v>
      </c>
      <c r="H64" s="241">
        <v>0</v>
      </c>
      <c r="I64" s="241">
        <v>0</v>
      </c>
      <c r="J64" s="241">
        <v>0</v>
      </c>
      <c r="K64" s="241">
        <v>0</v>
      </c>
      <c r="L64" s="241">
        <v>0</v>
      </c>
      <c r="M64" s="241">
        <v>0</v>
      </c>
      <c r="N64" s="241">
        <v>0</v>
      </c>
      <c r="O64" s="241">
        <v>0</v>
      </c>
      <c r="P64" s="241">
        <v>0</v>
      </c>
      <c r="Q64" s="241">
        <f>SUM(E64:P64)</f>
        <v>0</v>
      </c>
      <c r="R64" s="264">
        <f t="shared" si="2"/>
        <v>0</v>
      </c>
      <c r="S64" s="202"/>
      <c r="T64" s="245">
        <f t="shared" si="22"/>
        <v>0</v>
      </c>
      <c r="U64" s="245">
        <f t="shared" si="10"/>
        <v>0</v>
      </c>
    </row>
    <row r="65" spans="1:21" x14ac:dyDescent="0.2">
      <c r="A65" s="210"/>
      <c r="B65" s="202" t="s">
        <v>80</v>
      </c>
      <c r="C65" s="239">
        <v>0</v>
      </c>
      <c r="D65" s="240">
        <f t="shared" si="34"/>
        <v>0</v>
      </c>
      <c r="E65" s="241">
        <v>0</v>
      </c>
      <c r="F65" s="241">
        <v>0</v>
      </c>
      <c r="G65" s="241">
        <v>0</v>
      </c>
      <c r="H65" s="241">
        <v>0</v>
      </c>
      <c r="I65" s="241">
        <v>0</v>
      </c>
      <c r="J65" s="241">
        <v>0</v>
      </c>
      <c r="K65" s="241">
        <v>0</v>
      </c>
      <c r="L65" s="241">
        <v>0</v>
      </c>
      <c r="M65" s="241">
        <v>0</v>
      </c>
      <c r="N65" s="241">
        <v>0</v>
      </c>
      <c r="O65" s="241">
        <v>0</v>
      </c>
      <c r="P65" s="241">
        <v>0</v>
      </c>
      <c r="Q65" s="241">
        <f>SUM(E65:P65)</f>
        <v>0</v>
      </c>
      <c r="R65" s="264">
        <f t="shared" si="2"/>
        <v>0</v>
      </c>
      <c r="S65" s="202"/>
      <c r="T65" s="245">
        <f t="shared" si="22"/>
        <v>0</v>
      </c>
      <c r="U65" s="245">
        <f t="shared" si="10"/>
        <v>0</v>
      </c>
    </row>
    <row r="66" spans="1:21" x14ac:dyDescent="0.2">
      <c r="A66" s="210"/>
      <c r="B66" s="202" t="s">
        <v>81</v>
      </c>
      <c r="C66" s="239">
        <v>0</v>
      </c>
      <c r="D66" s="240">
        <f t="shared" si="34"/>
        <v>0</v>
      </c>
      <c r="E66" s="241">
        <v>0</v>
      </c>
      <c r="F66" s="241">
        <v>0</v>
      </c>
      <c r="G66" s="241">
        <v>0</v>
      </c>
      <c r="H66" s="241">
        <v>0</v>
      </c>
      <c r="I66" s="241">
        <v>0</v>
      </c>
      <c r="J66" s="241">
        <v>0</v>
      </c>
      <c r="K66" s="241">
        <v>0</v>
      </c>
      <c r="L66" s="241">
        <v>0</v>
      </c>
      <c r="M66" s="241">
        <v>0</v>
      </c>
      <c r="N66" s="241">
        <v>0</v>
      </c>
      <c r="O66" s="241">
        <v>0</v>
      </c>
      <c r="P66" s="241">
        <v>0</v>
      </c>
      <c r="Q66" s="241">
        <f>SUM(E66:P66)</f>
        <v>0</v>
      </c>
      <c r="R66" s="264">
        <f t="shared" si="2"/>
        <v>0</v>
      </c>
      <c r="S66" s="202"/>
      <c r="T66" s="245">
        <f t="shared" si="22"/>
        <v>0</v>
      </c>
      <c r="U66" s="245">
        <f t="shared" si="10"/>
        <v>0</v>
      </c>
    </row>
    <row r="67" spans="1:21" x14ac:dyDescent="0.2">
      <c r="A67" s="210"/>
      <c r="B67" s="202" t="s">
        <v>82</v>
      </c>
      <c r="C67" s="239">
        <v>2082.4560000000001</v>
      </c>
      <c r="D67" s="240">
        <f t="shared" si="34"/>
        <v>173.53800000000001</v>
      </c>
      <c r="E67" s="241">
        <v>180</v>
      </c>
      <c r="F67" s="241">
        <v>180</v>
      </c>
      <c r="G67" s="241">
        <v>180</v>
      </c>
      <c r="H67" s="241">
        <v>180</v>
      </c>
      <c r="I67" s="241">
        <v>180</v>
      </c>
      <c r="J67" s="241">
        <v>180</v>
      </c>
      <c r="K67" s="241">
        <v>180</v>
      </c>
      <c r="L67" s="241">
        <v>180</v>
      </c>
      <c r="M67" s="241">
        <v>180</v>
      </c>
      <c r="N67" s="241">
        <v>180</v>
      </c>
      <c r="O67" s="241">
        <v>180</v>
      </c>
      <c r="P67" s="241">
        <v>180</v>
      </c>
      <c r="Q67" s="241">
        <f t="shared" ref="Q67:Q72" si="35">SUM(E67:P67)</f>
        <v>2160</v>
      </c>
      <c r="R67" s="264">
        <f t="shared" si="2"/>
        <v>180</v>
      </c>
      <c r="S67" s="202"/>
      <c r="T67" s="245">
        <f t="shared" si="22"/>
        <v>1.7628076956349291E-3</v>
      </c>
      <c r="U67" s="245">
        <f t="shared" si="10"/>
        <v>3.7236801161705149E-2</v>
      </c>
    </row>
    <row r="68" spans="1:21" x14ac:dyDescent="0.2">
      <c r="A68" s="210"/>
      <c r="B68" s="202" t="s">
        <v>83</v>
      </c>
      <c r="C68" s="239">
        <v>2190.288</v>
      </c>
      <c r="D68" s="240">
        <f t="shared" si="34"/>
        <v>182.524</v>
      </c>
      <c r="E68" s="241">
        <v>300</v>
      </c>
      <c r="F68" s="241">
        <v>300</v>
      </c>
      <c r="G68" s="241">
        <v>300</v>
      </c>
      <c r="H68" s="241">
        <v>300</v>
      </c>
      <c r="I68" s="241">
        <v>300</v>
      </c>
      <c r="J68" s="241">
        <v>300</v>
      </c>
      <c r="K68" s="241">
        <v>300</v>
      </c>
      <c r="L68" s="241">
        <v>300</v>
      </c>
      <c r="M68" s="241">
        <v>300</v>
      </c>
      <c r="N68" s="241">
        <v>300</v>
      </c>
      <c r="O68" s="241">
        <v>300</v>
      </c>
      <c r="P68" s="241">
        <v>300</v>
      </c>
      <c r="Q68" s="241">
        <f t="shared" si="35"/>
        <v>3600</v>
      </c>
      <c r="R68" s="264">
        <f t="shared" si="2"/>
        <v>300</v>
      </c>
      <c r="S68" s="202"/>
      <c r="T68" s="245">
        <f t="shared" si="22"/>
        <v>2.9380128260582151E-3</v>
      </c>
      <c r="U68" s="245">
        <f t="shared" si="10"/>
        <v>0.64361946922048607</v>
      </c>
    </row>
    <row r="69" spans="1:21" x14ac:dyDescent="0.2">
      <c r="A69" s="210"/>
      <c r="B69" s="202" t="s">
        <v>84</v>
      </c>
      <c r="C69" s="239">
        <v>3580.2359999999999</v>
      </c>
      <c r="D69" s="240">
        <f t="shared" si="34"/>
        <v>298.35300000000001</v>
      </c>
      <c r="E69" s="241">
        <v>350</v>
      </c>
      <c r="F69" s="241">
        <v>350</v>
      </c>
      <c r="G69" s="241">
        <v>350</v>
      </c>
      <c r="H69" s="241">
        <v>350</v>
      </c>
      <c r="I69" s="241">
        <v>350</v>
      </c>
      <c r="J69" s="241">
        <v>350</v>
      </c>
      <c r="K69" s="241">
        <v>350</v>
      </c>
      <c r="L69" s="241">
        <v>350</v>
      </c>
      <c r="M69" s="241">
        <v>350</v>
      </c>
      <c r="N69" s="241">
        <v>350</v>
      </c>
      <c r="O69" s="241">
        <v>350</v>
      </c>
      <c r="P69" s="241">
        <v>350</v>
      </c>
      <c r="Q69" s="241">
        <f t="shared" si="35"/>
        <v>4200</v>
      </c>
      <c r="R69" s="264">
        <f t="shared" si="2"/>
        <v>350</v>
      </c>
      <c r="S69" s="202"/>
      <c r="T69" s="245">
        <f t="shared" si="22"/>
        <v>3.4276816304012509E-3</v>
      </c>
      <c r="U69" s="245">
        <f t="shared" si="10"/>
        <v>0.17310702422968768</v>
      </c>
    </row>
    <row r="70" spans="1:21" x14ac:dyDescent="0.2">
      <c r="A70" s="210"/>
      <c r="B70" s="202" t="s">
        <v>85</v>
      </c>
      <c r="C70" s="239">
        <v>18402.72</v>
      </c>
      <c r="D70" s="240">
        <f t="shared" si="34"/>
        <v>1533.5600000000002</v>
      </c>
      <c r="E70" s="241">
        <v>1650</v>
      </c>
      <c r="F70" s="241">
        <v>1650</v>
      </c>
      <c r="G70" s="241">
        <v>1650</v>
      </c>
      <c r="H70" s="241">
        <v>1650</v>
      </c>
      <c r="I70" s="241">
        <v>1650</v>
      </c>
      <c r="J70" s="241">
        <v>1650</v>
      </c>
      <c r="K70" s="241">
        <v>1650</v>
      </c>
      <c r="L70" s="241">
        <v>1650</v>
      </c>
      <c r="M70" s="241">
        <v>1650</v>
      </c>
      <c r="N70" s="241">
        <v>1650</v>
      </c>
      <c r="O70" s="241">
        <v>1650</v>
      </c>
      <c r="P70" s="241">
        <v>1650</v>
      </c>
      <c r="Q70" s="241">
        <f t="shared" si="35"/>
        <v>19800</v>
      </c>
      <c r="R70" s="264">
        <f t="shared" si="2"/>
        <v>1650</v>
      </c>
      <c r="S70" s="202"/>
      <c r="T70" s="245">
        <f t="shared" si="22"/>
        <v>1.6159070543320182E-2</v>
      </c>
      <c r="U70" s="245">
        <f t="shared" si="10"/>
        <v>7.5927906309502011E-2</v>
      </c>
    </row>
    <row r="71" spans="1:21" x14ac:dyDescent="0.2">
      <c r="A71" s="210"/>
      <c r="B71" s="202" t="s">
        <v>86</v>
      </c>
      <c r="C71" s="239">
        <v>588.12000000000012</v>
      </c>
      <c r="D71" s="240">
        <f t="shared" si="34"/>
        <v>49.010000000000012</v>
      </c>
      <c r="E71" s="241">
        <v>50</v>
      </c>
      <c r="F71" s="241">
        <v>50</v>
      </c>
      <c r="G71" s="241">
        <v>50</v>
      </c>
      <c r="H71" s="241">
        <v>50</v>
      </c>
      <c r="I71" s="241">
        <v>50</v>
      </c>
      <c r="J71" s="241">
        <v>50</v>
      </c>
      <c r="K71" s="241">
        <v>50</v>
      </c>
      <c r="L71" s="241">
        <v>50</v>
      </c>
      <c r="M71" s="241">
        <v>50</v>
      </c>
      <c r="N71" s="241">
        <v>50</v>
      </c>
      <c r="O71" s="241">
        <v>50</v>
      </c>
      <c r="P71" s="241">
        <v>50</v>
      </c>
      <c r="Q71" s="241">
        <f t="shared" si="35"/>
        <v>600</v>
      </c>
      <c r="R71" s="264">
        <f t="shared" si="2"/>
        <v>50</v>
      </c>
      <c r="S71" s="202"/>
      <c r="T71" s="245">
        <f t="shared" si="22"/>
        <v>4.8966880434303582E-4</v>
      </c>
      <c r="U71" s="245">
        <f t="shared" si="10"/>
        <v>2.0199959192001429E-2</v>
      </c>
    </row>
    <row r="72" spans="1:21" x14ac:dyDescent="0.2">
      <c r="A72" s="210"/>
      <c r="B72" s="202" t="s">
        <v>87</v>
      </c>
      <c r="C72" s="239">
        <v>14600.088</v>
      </c>
      <c r="D72" s="240">
        <f t="shared" si="34"/>
        <v>1216.674</v>
      </c>
      <c r="E72" s="241">
        <v>1100</v>
      </c>
      <c r="F72" s="241">
        <v>1100</v>
      </c>
      <c r="G72" s="241">
        <v>1100</v>
      </c>
      <c r="H72" s="241">
        <v>1100</v>
      </c>
      <c r="I72" s="241">
        <v>1100</v>
      </c>
      <c r="J72" s="241">
        <v>1100</v>
      </c>
      <c r="K72" s="241">
        <v>1100</v>
      </c>
      <c r="L72" s="241">
        <v>1100</v>
      </c>
      <c r="M72" s="241">
        <v>1100</v>
      </c>
      <c r="N72" s="241">
        <v>1100</v>
      </c>
      <c r="O72" s="241">
        <v>1100</v>
      </c>
      <c r="P72" s="241">
        <v>1100</v>
      </c>
      <c r="Q72" s="241">
        <f t="shared" si="35"/>
        <v>13200</v>
      </c>
      <c r="R72" s="264">
        <f t="shared" si="2"/>
        <v>1100</v>
      </c>
      <c r="S72" s="202"/>
      <c r="T72" s="245">
        <f t="shared" si="22"/>
        <v>1.0772713695546788E-2</v>
      </c>
      <c r="U72" s="245">
        <f t="shared" si="10"/>
        <v>-9.5895860353718401E-2</v>
      </c>
    </row>
    <row r="73" spans="1:21" x14ac:dyDescent="0.2">
      <c r="A73" s="246" t="s">
        <v>88</v>
      </c>
      <c r="B73" s="202" t="s">
        <v>48</v>
      </c>
      <c r="C73" s="266">
        <f>SUM(C64:C72)</f>
        <v>41443.907999999996</v>
      </c>
      <c r="D73" s="267">
        <f>SUM(D64:D72)</f>
        <v>3453.6590000000006</v>
      </c>
      <c r="E73" s="268">
        <f t="shared" ref="E73:Q73" si="36">SUM(E64:E72)</f>
        <v>3630</v>
      </c>
      <c r="F73" s="268">
        <f t="shared" si="36"/>
        <v>3630</v>
      </c>
      <c r="G73" s="268">
        <f t="shared" si="36"/>
        <v>3630</v>
      </c>
      <c r="H73" s="268">
        <f t="shared" si="36"/>
        <v>3630</v>
      </c>
      <c r="I73" s="268">
        <f t="shared" si="36"/>
        <v>3630</v>
      </c>
      <c r="J73" s="268">
        <f t="shared" si="36"/>
        <v>3630</v>
      </c>
      <c r="K73" s="268">
        <f t="shared" si="36"/>
        <v>3630</v>
      </c>
      <c r="L73" s="268">
        <f t="shared" si="36"/>
        <v>3630</v>
      </c>
      <c r="M73" s="268">
        <f t="shared" si="36"/>
        <v>3630</v>
      </c>
      <c r="N73" s="268">
        <f t="shared" si="36"/>
        <v>3630</v>
      </c>
      <c r="O73" s="268">
        <f t="shared" si="36"/>
        <v>3630</v>
      </c>
      <c r="P73" s="268">
        <f t="shared" si="36"/>
        <v>3630</v>
      </c>
      <c r="Q73" s="268">
        <f t="shared" si="36"/>
        <v>43560</v>
      </c>
      <c r="R73" s="269">
        <f t="shared" si="2"/>
        <v>3630</v>
      </c>
      <c r="T73" s="271">
        <f t="shared" si="22"/>
        <v>3.5549955195304406E-2</v>
      </c>
      <c r="U73" s="271">
        <f t="shared" si="10"/>
        <v>5.1059181001946161E-2</v>
      </c>
    </row>
    <row r="74" spans="1:21" x14ac:dyDescent="0.2">
      <c r="A74" s="202" t="s">
        <v>89</v>
      </c>
      <c r="B74" s="202"/>
      <c r="C74" s="283">
        <v>0</v>
      </c>
      <c r="D74" s="284"/>
      <c r="E74" s="285"/>
      <c r="F74" s="285"/>
      <c r="G74" s="285"/>
      <c r="H74" s="285"/>
      <c r="I74" s="285"/>
      <c r="J74" s="285"/>
      <c r="K74" s="285"/>
      <c r="L74" s="285"/>
      <c r="M74" s="285"/>
      <c r="N74" s="285"/>
      <c r="O74" s="285"/>
      <c r="P74" s="285"/>
      <c r="Q74" s="285"/>
      <c r="R74" s="286"/>
      <c r="T74" s="287"/>
      <c r="U74" s="287"/>
    </row>
    <row r="75" spans="1:21" x14ac:dyDescent="0.2">
      <c r="A75" s="210"/>
      <c r="B75" s="202" t="s">
        <v>90</v>
      </c>
      <c r="C75" s="239">
        <v>2981.3040000000001</v>
      </c>
      <c r="D75" s="240">
        <f>C75/12</f>
        <v>248.44200000000001</v>
      </c>
      <c r="E75" s="241">
        <v>0</v>
      </c>
      <c r="F75" s="241">
        <v>0</v>
      </c>
      <c r="G75" s="241">
        <v>0</v>
      </c>
      <c r="H75" s="241">
        <v>0</v>
      </c>
      <c r="I75" s="241">
        <v>0</v>
      </c>
      <c r="J75" s="241">
        <v>0</v>
      </c>
      <c r="K75" s="241">
        <v>0</v>
      </c>
      <c r="L75" s="241">
        <v>0</v>
      </c>
      <c r="M75" s="241">
        <v>0</v>
      </c>
      <c r="N75" s="241">
        <v>0</v>
      </c>
      <c r="O75" s="241">
        <v>0</v>
      </c>
      <c r="P75" s="241">
        <v>0</v>
      </c>
      <c r="Q75" s="241">
        <f>SUM(E75:P75)</f>
        <v>0</v>
      </c>
      <c r="R75" s="264">
        <f t="shared" si="2"/>
        <v>0</v>
      </c>
      <c r="S75" s="202"/>
      <c r="T75" s="245">
        <f t="shared" si="22"/>
        <v>0</v>
      </c>
      <c r="U75" s="245">
        <f t="shared" si="10"/>
        <v>-1</v>
      </c>
    </row>
    <row r="76" spans="1:21" x14ac:dyDescent="0.2">
      <c r="A76" s="246" t="s">
        <v>91</v>
      </c>
      <c r="B76" s="202"/>
      <c r="C76" s="266">
        <f>C75</f>
        <v>2981.3040000000001</v>
      </c>
      <c r="D76" s="267">
        <f t="shared" ref="D76" si="37">SUM(D75)</f>
        <v>248.44200000000001</v>
      </c>
      <c r="E76" s="268">
        <f>SUM(E75)</f>
        <v>0</v>
      </c>
      <c r="F76" s="268">
        <f t="shared" ref="F76:Q76" si="38">SUM(F75)</f>
        <v>0</v>
      </c>
      <c r="G76" s="268">
        <f t="shared" si="38"/>
        <v>0</v>
      </c>
      <c r="H76" s="268">
        <f t="shared" si="38"/>
        <v>0</v>
      </c>
      <c r="I76" s="268">
        <f t="shared" si="38"/>
        <v>0</v>
      </c>
      <c r="J76" s="268">
        <f t="shared" si="38"/>
        <v>0</v>
      </c>
      <c r="K76" s="268">
        <f t="shared" si="38"/>
        <v>0</v>
      </c>
      <c r="L76" s="268">
        <f t="shared" si="38"/>
        <v>0</v>
      </c>
      <c r="M76" s="268">
        <f t="shared" si="38"/>
        <v>0</v>
      </c>
      <c r="N76" s="268">
        <f t="shared" si="38"/>
        <v>0</v>
      </c>
      <c r="O76" s="268">
        <f t="shared" si="38"/>
        <v>0</v>
      </c>
      <c r="P76" s="268">
        <f t="shared" si="38"/>
        <v>0</v>
      </c>
      <c r="Q76" s="268">
        <f t="shared" si="38"/>
        <v>0</v>
      </c>
      <c r="R76" s="269">
        <f t="shared" si="2"/>
        <v>0</v>
      </c>
      <c r="T76" s="271">
        <f t="shared" si="22"/>
        <v>0</v>
      </c>
      <c r="U76" s="271">
        <f t="shared" si="10"/>
        <v>-1</v>
      </c>
    </row>
    <row r="77" spans="1:21" x14ac:dyDescent="0.2">
      <c r="A77" s="202" t="s">
        <v>92</v>
      </c>
      <c r="B77" s="202" t="s">
        <v>48</v>
      </c>
      <c r="C77" s="288">
        <v>0</v>
      </c>
      <c r="D77" s="289"/>
      <c r="E77" s="242"/>
      <c r="F77" s="242"/>
      <c r="G77" s="242"/>
      <c r="H77" s="242"/>
      <c r="I77" s="242"/>
      <c r="J77" s="242"/>
      <c r="K77" s="242"/>
      <c r="L77" s="241"/>
      <c r="M77" s="241"/>
      <c r="N77" s="241"/>
      <c r="O77" s="242"/>
      <c r="P77" s="242"/>
      <c r="Q77" s="242"/>
      <c r="R77" s="243"/>
      <c r="T77" s="209"/>
      <c r="U77" s="209"/>
    </row>
    <row r="78" spans="1:21" x14ac:dyDescent="0.2">
      <c r="A78" s="210"/>
      <c r="B78" s="202" t="s">
        <v>93</v>
      </c>
      <c r="C78" s="239">
        <v>2368.7520000000004</v>
      </c>
      <c r="D78" s="240">
        <f t="shared" ref="D78:D81" si="39">C78/12</f>
        <v>197.39600000000004</v>
      </c>
      <c r="E78" s="241">
        <v>300</v>
      </c>
      <c r="F78" s="241">
        <v>300</v>
      </c>
      <c r="G78" s="241">
        <v>300</v>
      </c>
      <c r="H78" s="241">
        <v>300</v>
      </c>
      <c r="I78" s="241">
        <v>300</v>
      </c>
      <c r="J78" s="241">
        <v>300</v>
      </c>
      <c r="K78" s="241">
        <v>350</v>
      </c>
      <c r="L78" s="241">
        <v>350</v>
      </c>
      <c r="M78" s="241">
        <v>350</v>
      </c>
      <c r="N78" s="241">
        <v>350</v>
      </c>
      <c r="O78" s="241">
        <v>350</v>
      </c>
      <c r="P78" s="241">
        <v>350</v>
      </c>
      <c r="Q78" s="241">
        <f>SUM(E78:P78)</f>
        <v>3900</v>
      </c>
      <c r="R78" s="264">
        <f t="shared" si="2"/>
        <v>325</v>
      </c>
      <c r="S78" s="202"/>
      <c r="T78" s="245">
        <f t="shared" si="22"/>
        <v>3.1828472282297332E-3</v>
      </c>
      <c r="U78" s="245">
        <f t="shared" si="10"/>
        <v>0.64643660459178476</v>
      </c>
    </row>
    <row r="79" spans="1:21" x14ac:dyDescent="0.2">
      <c r="A79" s="210"/>
      <c r="B79" s="202" t="s">
        <v>94</v>
      </c>
      <c r="C79" s="239">
        <v>1003.896</v>
      </c>
      <c r="D79" s="240">
        <f t="shared" si="39"/>
        <v>83.658000000000001</v>
      </c>
      <c r="E79" s="241">
        <f t="shared" ref="E79" si="40">E65*E73*E56</f>
        <v>0</v>
      </c>
      <c r="F79" s="241">
        <v>0</v>
      </c>
      <c r="G79" s="241">
        <v>0</v>
      </c>
      <c r="H79" s="241">
        <v>0</v>
      </c>
      <c r="I79" s="241">
        <v>100</v>
      </c>
      <c r="J79" s="241">
        <v>100</v>
      </c>
      <c r="K79" s="241">
        <v>100</v>
      </c>
      <c r="L79" s="241">
        <v>100</v>
      </c>
      <c r="M79" s="241">
        <v>100</v>
      </c>
      <c r="N79" s="241">
        <v>100</v>
      </c>
      <c r="O79" s="241">
        <v>100</v>
      </c>
      <c r="P79" s="241">
        <v>100</v>
      </c>
      <c r="Q79" s="241">
        <f>SUM(E79:P79)</f>
        <v>800</v>
      </c>
      <c r="R79" s="264">
        <f t="shared" si="2"/>
        <v>66.666666666666671</v>
      </c>
      <c r="S79" s="202"/>
      <c r="T79" s="245">
        <f t="shared" si="22"/>
        <v>6.5289173912404783E-4</v>
      </c>
      <c r="U79" s="245">
        <f t="shared" si="10"/>
        <v>-0.20310470407293182</v>
      </c>
    </row>
    <row r="80" spans="1:21" x14ac:dyDescent="0.2">
      <c r="A80" s="210"/>
      <c r="B80" s="202" t="s">
        <v>95</v>
      </c>
      <c r="C80" s="239">
        <v>0</v>
      </c>
      <c r="D80" s="240">
        <f t="shared" si="39"/>
        <v>0</v>
      </c>
      <c r="E80" s="241">
        <v>0</v>
      </c>
      <c r="F80" s="241">
        <v>0</v>
      </c>
      <c r="G80" s="241">
        <v>0</v>
      </c>
      <c r="H80" s="241">
        <v>0</v>
      </c>
      <c r="I80" s="241">
        <v>0</v>
      </c>
      <c r="J80" s="241">
        <v>0</v>
      </c>
      <c r="K80" s="241">
        <v>0</v>
      </c>
      <c r="L80" s="241">
        <v>0</v>
      </c>
      <c r="M80" s="241">
        <v>0</v>
      </c>
      <c r="N80" s="241">
        <v>0</v>
      </c>
      <c r="O80" s="241">
        <v>0</v>
      </c>
      <c r="P80" s="241">
        <v>0</v>
      </c>
      <c r="Q80" s="241">
        <f>SUM(E80:P80)</f>
        <v>0</v>
      </c>
      <c r="R80" s="264">
        <f t="shared" si="2"/>
        <v>0</v>
      </c>
      <c r="S80" s="202"/>
      <c r="T80" s="245">
        <f t="shared" si="22"/>
        <v>0</v>
      </c>
      <c r="U80" s="245">
        <f t="shared" si="10"/>
        <v>0</v>
      </c>
    </row>
    <row r="81" spans="1:21" x14ac:dyDescent="0.2">
      <c r="A81" s="210"/>
      <c r="B81" s="202" t="s">
        <v>96</v>
      </c>
      <c r="C81" s="239">
        <v>2918.4120000000003</v>
      </c>
      <c r="D81" s="240">
        <f t="shared" si="39"/>
        <v>243.20100000000002</v>
      </c>
      <c r="E81" s="241">
        <v>300</v>
      </c>
      <c r="F81" s="241">
        <v>300</v>
      </c>
      <c r="G81" s="241">
        <v>300</v>
      </c>
      <c r="H81" s="241">
        <v>300</v>
      </c>
      <c r="I81" s="241">
        <v>300</v>
      </c>
      <c r="J81" s="241">
        <v>300</v>
      </c>
      <c r="K81" s="241">
        <v>340</v>
      </c>
      <c r="L81" s="241">
        <v>340</v>
      </c>
      <c r="M81" s="241">
        <v>340</v>
      </c>
      <c r="N81" s="241">
        <v>340</v>
      </c>
      <c r="O81" s="241">
        <v>340</v>
      </c>
      <c r="P81" s="241">
        <v>340</v>
      </c>
      <c r="Q81" s="241">
        <f>SUM(E81:P81)</f>
        <v>3840</v>
      </c>
      <c r="R81" s="264">
        <f t="shared" si="2"/>
        <v>320</v>
      </c>
      <c r="S81" s="202"/>
      <c r="T81" s="245">
        <f t="shared" si="22"/>
        <v>3.1338803477954295E-3</v>
      </c>
      <c r="U81" s="245">
        <f t="shared" si="10"/>
        <v>0.31578406338789716</v>
      </c>
    </row>
    <row r="82" spans="1:21" x14ac:dyDescent="0.2">
      <c r="A82" s="246" t="s">
        <v>97</v>
      </c>
      <c r="B82" s="202" t="s">
        <v>48</v>
      </c>
      <c r="C82" s="266">
        <f>SUM(C78:C81)</f>
        <v>6291.06</v>
      </c>
      <c r="D82" s="267">
        <f>SUM(D78:D81)</f>
        <v>524.25500000000011</v>
      </c>
      <c r="E82" s="268">
        <f>SUM(E78:E81)</f>
        <v>600</v>
      </c>
      <c r="F82" s="268">
        <f t="shared" ref="F82:Q82" si="41">SUM(F78:F81)</f>
        <v>600</v>
      </c>
      <c r="G82" s="268">
        <f t="shared" si="41"/>
        <v>600</v>
      </c>
      <c r="H82" s="268">
        <f t="shared" si="41"/>
        <v>600</v>
      </c>
      <c r="I82" s="268">
        <f t="shared" si="41"/>
        <v>700</v>
      </c>
      <c r="J82" s="268">
        <f t="shared" si="41"/>
        <v>700</v>
      </c>
      <c r="K82" s="268">
        <f t="shared" si="41"/>
        <v>790</v>
      </c>
      <c r="L82" s="268">
        <f t="shared" si="41"/>
        <v>790</v>
      </c>
      <c r="M82" s="268">
        <f t="shared" si="41"/>
        <v>790</v>
      </c>
      <c r="N82" s="268">
        <f t="shared" si="41"/>
        <v>790</v>
      </c>
      <c r="O82" s="268">
        <f t="shared" si="41"/>
        <v>790</v>
      </c>
      <c r="P82" s="268">
        <f t="shared" si="41"/>
        <v>790</v>
      </c>
      <c r="Q82" s="268">
        <f t="shared" si="41"/>
        <v>8540</v>
      </c>
      <c r="R82" s="269">
        <f t="shared" si="2"/>
        <v>711.66666666666663</v>
      </c>
      <c r="T82" s="271">
        <f t="shared" si="22"/>
        <v>6.9696193151492104E-3</v>
      </c>
      <c r="U82" s="271">
        <f t="shared" si="10"/>
        <v>0.35748188699519629</v>
      </c>
    </row>
    <row r="83" spans="1:21" x14ac:dyDescent="0.2">
      <c r="A83" s="202" t="s">
        <v>98</v>
      </c>
      <c r="B83" s="202" t="s">
        <v>48</v>
      </c>
      <c r="C83" s="272">
        <v>0</v>
      </c>
      <c r="D83" s="273"/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80"/>
      <c r="R83" s="281"/>
      <c r="T83" s="238"/>
      <c r="U83" s="238"/>
    </row>
    <row r="84" spans="1:21" x14ac:dyDescent="0.2">
      <c r="A84" s="210"/>
      <c r="B84" s="202" t="s">
        <v>99</v>
      </c>
      <c r="C84" s="239">
        <v>796.66799999999989</v>
      </c>
      <c r="D84" s="240">
        <f t="shared" ref="D84:D89" si="42">C84/12</f>
        <v>66.388999999999996</v>
      </c>
      <c r="E84" s="241">
        <v>0</v>
      </c>
      <c r="F84" s="241">
        <v>0</v>
      </c>
      <c r="G84" s="241">
        <v>0</v>
      </c>
      <c r="H84" s="241">
        <v>0</v>
      </c>
      <c r="I84" s="241">
        <v>100</v>
      </c>
      <c r="J84" s="241">
        <v>100</v>
      </c>
      <c r="K84" s="241">
        <v>100</v>
      </c>
      <c r="L84" s="241">
        <v>100</v>
      </c>
      <c r="M84" s="241">
        <v>100</v>
      </c>
      <c r="N84" s="241">
        <v>100</v>
      </c>
      <c r="O84" s="241">
        <v>100</v>
      </c>
      <c r="P84" s="241">
        <v>100</v>
      </c>
      <c r="Q84" s="241">
        <f t="shared" ref="Q84:Q89" si="43">SUM(E84:P84)</f>
        <v>800</v>
      </c>
      <c r="R84" s="264">
        <f t="shared" si="2"/>
        <v>66.666666666666671</v>
      </c>
      <c r="S84" s="202"/>
      <c r="T84" s="245">
        <f t="shared" si="22"/>
        <v>6.5289173912404783E-4</v>
      </c>
      <c r="U84" s="245">
        <f t="shared" si="10"/>
        <v>4.1824197783770752E-3</v>
      </c>
    </row>
    <row r="85" spans="1:21" x14ac:dyDescent="0.2">
      <c r="A85" s="210"/>
      <c r="B85" s="202" t="s">
        <v>100</v>
      </c>
      <c r="C85" s="239">
        <v>0</v>
      </c>
      <c r="D85" s="240">
        <f t="shared" si="42"/>
        <v>0</v>
      </c>
      <c r="E85" s="241">
        <v>0</v>
      </c>
      <c r="F85" s="241">
        <v>0</v>
      </c>
      <c r="G85" s="241">
        <v>0</v>
      </c>
      <c r="H85" s="241">
        <v>0</v>
      </c>
      <c r="I85" s="241">
        <v>0</v>
      </c>
      <c r="J85" s="241">
        <v>0</v>
      </c>
      <c r="K85" s="241">
        <v>0</v>
      </c>
      <c r="L85" s="241">
        <v>0</v>
      </c>
      <c r="M85" s="241">
        <v>0</v>
      </c>
      <c r="N85" s="241">
        <v>0</v>
      </c>
      <c r="O85" s="241">
        <v>0</v>
      </c>
      <c r="P85" s="241">
        <v>0</v>
      </c>
      <c r="Q85" s="241">
        <f t="shared" si="43"/>
        <v>0</v>
      </c>
      <c r="R85" s="264">
        <f t="shared" si="2"/>
        <v>0</v>
      </c>
      <c r="S85" s="202"/>
      <c r="T85" s="245">
        <f t="shared" si="22"/>
        <v>0</v>
      </c>
      <c r="U85" s="245">
        <f t="shared" si="10"/>
        <v>0</v>
      </c>
    </row>
    <row r="86" spans="1:21" x14ac:dyDescent="0.2">
      <c r="A86" s="210"/>
      <c r="B86" s="202" t="s">
        <v>101</v>
      </c>
      <c r="C86" s="239">
        <v>0</v>
      </c>
      <c r="D86" s="240">
        <f t="shared" si="42"/>
        <v>0</v>
      </c>
      <c r="E86" s="241">
        <v>0</v>
      </c>
      <c r="F86" s="241">
        <v>0</v>
      </c>
      <c r="G86" s="241">
        <v>0</v>
      </c>
      <c r="H86" s="241">
        <v>0</v>
      </c>
      <c r="I86" s="241">
        <v>0</v>
      </c>
      <c r="J86" s="241">
        <v>0</v>
      </c>
      <c r="K86" s="241">
        <v>0</v>
      </c>
      <c r="L86" s="241">
        <v>0</v>
      </c>
      <c r="M86" s="241">
        <v>0</v>
      </c>
      <c r="N86" s="241">
        <v>0</v>
      </c>
      <c r="O86" s="241">
        <v>0</v>
      </c>
      <c r="P86" s="241">
        <v>0</v>
      </c>
      <c r="Q86" s="241">
        <f t="shared" si="43"/>
        <v>0</v>
      </c>
      <c r="R86" s="264">
        <f t="shared" si="2"/>
        <v>0</v>
      </c>
      <c r="S86" s="202"/>
      <c r="T86" s="245">
        <f t="shared" si="22"/>
        <v>0</v>
      </c>
      <c r="U86" s="245">
        <f t="shared" si="10"/>
        <v>0</v>
      </c>
    </row>
    <row r="87" spans="1:21" x14ac:dyDescent="0.2">
      <c r="A87" s="210"/>
      <c r="B87" s="202" t="s">
        <v>102</v>
      </c>
      <c r="C87" s="239">
        <v>0</v>
      </c>
      <c r="D87" s="240">
        <f t="shared" si="42"/>
        <v>0</v>
      </c>
      <c r="E87" s="241">
        <v>0</v>
      </c>
      <c r="F87" s="241">
        <v>0</v>
      </c>
      <c r="G87" s="241">
        <v>0</v>
      </c>
      <c r="H87" s="241">
        <v>0</v>
      </c>
      <c r="I87" s="241">
        <v>0</v>
      </c>
      <c r="J87" s="241">
        <v>0</v>
      </c>
      <c r="K87" s="241">
        <v>0</v>
      </c>
      <c r="L87" s="241">
        <v>0</v>
      </c>
      <c r="M87" s="241">
        <v>0</v>
      </c>
      <c r="N87" s="241">
        <v>0</v>
      </c>
      <c r="O87" s="241">
        <v>0</v>
      </c>
      <c r="P87" s="241">
        <v>0</v>
      </c>
      <c r="Q87" s="241">
        <f t="shared" si="43"/>
        <v>0</v>
      </c>
      <c r="R87" s="264">
        <f t="shared" si="2"/>
        <v>0</v>
      </c>
      <c r="S87" s="202"/>
      <c r="T87" s="245">
        <f t="shared" si="22"/>
        <v>0</v>
      </c>
      <c r="U87" s="245">
        <f t="shared" si="10"/>
        <v>0</v>
      </c>
    </row>
    <row r="88" spans="1:21" x14ac:dyDescent="0.2">
      <c r="A88" s="210"/>
      <c r="B88" s="202" t="s">
        <v>103</v>
      </c>
      <c r="C88" s="239">
        <v>0</v>
      </c>
      <c r="D88" s="240">
        <f t="shared" si="42"/>
        <v>0</v>
      </c>
      <c r="E88" s="241">
        <v>0</v>
      </c>
      <c r="F88" s="241">
        <v>0</v>
      </c>
      <c r="G88" s="241">
        <v>0</v>
      </c>
      <c r="H88" s="241">
        <v>0</v>
      </c>
      <c r="I88" s="241">
        <v>0</v>
      </c>
      <c r="J88" s="241">
        <v>0</v>
      </c>
      <c r="K88" s="241">
        <v>0</v>
      </c>
      <c r="L88" s="241">
        <v>0</v>
      </c>
      <c r="M88" s="241">
        <v>0</v>
      </c>
      <c r="N88" s="241">
        <v>0</v>
      </c>
      <c r="O88" s="241">
        <v>0</v>
      </c>
      <c r="P88" s="241">
        <v>0</v>
      </c>
      <c r="Q88" s="241">
        <f t="shared" si="43"/>
        <v>0</v>
      </c>
      <c r="R88" s="264">
        <f t="shared" ref="R88:R137" si="44">AVERAGE(E88:P88)</f>
        <v>0</v>
      </c>
      <c r="S88" s="202"/>
      <c r="T88" s="245">
        <f t="shared" si="22"/>
        <v>0</v>
      </c>
      <c r="U88" s="245">
        <f t="shared" si="10"/>
        <v>0</v>
      </c>
    </row>
    <row r="89" spans="1:21" x14ac:dyDescent="0.2">
      <c r="A89" s="210"/>
      <c r="B89" s="202" t="s">
        <v>104</v>
      </c>
      <c r="C89" s="239">
        <v>69.599999999999994</v>
      </c>
      <c r="D89" s="240">
        <f t="shared" si="42"/>
        <v>5.8</v>
      </c>
      <c r="E89" s="241">
        <v>0</v>
      </c>
      <c r="F89" s="241">
        <v>0</v>
      </c>
      <c r="G89" s="241">
        <v>0</v>
      </c>
      <c r="H89" s="241">
        <v>0</v>
      </c>
      <c r="I89" s="241">
        <v>0</v>
      </c>
      <c r="J89" s="241">
        <v>0</v>
      </c>
      <c r="K89" s="241">
        <v>0</v>
      </c>
      <c r="L89" s="241">
        <v>0</v>
      </c>
      <c r="M89" s="241">
        <v>0</v>
      </c>
      <c r="N89" s="241">
        <v>0</v>
      </c>
      <c r="O89" s="241">
        <v>0</v>
      </c>
      <c r="P89" s="241">
        <v>0</v>
      </c>
      <c r="Q89" s="241">
        <f t="shared" si="43"/>
        <v>0</v>
      </c>
      <c r="R89" s="264">
        <f t="shared" si="44"/>
        <v>0</v>
      </c>
      <c r="S89" s="202"/>
      <c r="T89" s="245">
        <f t="shared" si="22"/>
        <v>0</v>
      </c>
      <c r="U89" s="245">
        <f t="shared" ref="U89:U137" si="45">IFERROR((Q89-C89)/C89,0)</f>
        <v>-1</v>
      </c>
    </row>
    <row r="90" spans="1:21" x14ac:dyDescent="0.2">
      <c r="A90" s="246" t="s">
        <v>105</v>
      </c>
      <c r="B90" s="202" t="s">
        <v>48</v>
      </c>
      <c r="C90" s="266">
        <f>SUM(C84:C89)</f>
        <v>866.26799999999992</v>
      </c>
      <c r="D90" s="267">
        <f>SUM(D84:D89)</f>
        <v>72.188999999999993</v>
      </c>
      <c r="E90" s="268">
        <f t="shared" ref="E90:Q90" si="46">SUM(E84:E89)</f>
        <v>0</v>
      </c>
      <c r="F90" s="268">
        <f t="shared" si="46"/>
        <v>0</v>
      </c>
      <c r="G90" s="268">
        <f t="shared" si="46"/>
        <v>0</v>
      </c>
      <c r="H90" s="268">
        <f t="shared" si="46"/>
        <v>0</v>
      </c>
      <c r="I90" s="268">
        <f t="shared" si="46"/>
        <v>100</v>
      </c>
      <c r="J90" s="268">
        <f t="shared" si="46"/>
        <v>100</v>
      </c>
      <c r="K90" s="268">
        <f t="shared" si="46"/>
        <v>100</v>
      </c>
      <c r="L90" s="268">
        <f t="shared" si="46"/>
        <v>100</v>
      </c>
      <c r="M90" s="268">
        <f t="shared" si="46"/>
        <v>100</v>
      </c>
      <c r="N90" s="268">
        <f t="shared" si="46"/>
        <v>100</v>
      </c>
      <c r="O90" s="268">
        <f t="shared" si="46"/>
        <v>100</v>
      </c>
      <c r="P90" s="268">
        <f t="shared" si="46"/>
        <v>100</v>
      </c>
      <c r="Q90" s="268">
        <f t="shared" si="46"/>
        <v>800</v>
      </c>
      <c r="R90" s="269">
        <f>AVERAGE(E90:P90)</f>
        <v>66.666666666666671</v>
      </c>
      <c r="T90" s="271">
        <f t="shared" si="22"/>
        <v>6.5289173912404783E-4</v>
      </c>
      <c r="U90" s="271">
        <f t="shared" si="45"/>
        <v>-7.6498266125494555E-2</v>
      </c>
    </row>
    <row r="91" spans="1:21" x14ac:dyDescent="0.2">
      <c r="A91" s="202" t="s">
        <v>106</v>
      </c>
      <c r="B91" s="202"/>
      <c r="C91" s="247">
        <v>0</v>
      </c>
      <c r="D91" s="248"/>
      <c r="E91" s="290"/>
      <c r="F91" s="290"/>
      <c r="G91" s="290"/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50"/>
      <c r="T91" s="252"/>
      <c r="U91" s="252"/>
    </row>
    <row r="92" spans="1:21" x14ac:dyDescent="0.2">
      <c r="A92" s="202"/>
      <c r="B92" s="202" t="s">
        <v>107</v>
      </c>
      <c r="C92" s="239">
        <v>10340.171999999999</v>
      </c>
      <c r="D92" s="240">
        <f t="shared" ref="D92:D94" si="47">C92/12</f>
        <v>861.68099999999993</v>
      </c>
      <c r="E92" s="241">
        <v>900</v>
      </c>
      <c r="F92" s="241">
        <v>900</v>
      </c>
      <c r="G92" s="241">
        <v>900</v>
      </c>
      <c r="H92" s="241">
        <v>900</v>
      </c>
      <c r="I92" s="241">
        <v>900</v>
      </c>
      <c r="J92" s="241">
        <v>900</v>
      </c>
      <c r="K92" s="241">
        <v>900</v>
      </c>
      <c r="L92" s="241">
        <v>900</v>
      </c>
      <c r="M92" s="241">
        <v>900</v>
      </c>
      <c r="N92" s="241">
        <v>900</v>
      </c>
      <c r="O92" s="241">
        <v>900</v>
      </c>
      <c r="P92" s="241">
        <v>900</v>
      </c>
      <c r="Q92" s="241">
        <f>SUM(E92:P92)</f>
        <v>10800</v>
      </c>
      <c r="R92" s="264">
        <f>AVERAGE(E92:P92)</f>
        <v>900</v>
      </c>
      <c r="S92" s="202"/>
      <c r="T92" s="245">
        <f t="shared" si="22"/>
        <v>8.8140384781746454E-3</v>
      </c>
      <c r="U92" s="245">
        <f t="shared" si="45"/>
        <v>4.4470053302788519E-2</v>
      </c>
    </row>
    <row r="93" spans="1:21" x14ac:dyDescent="0.2">
      <c r="A93" s="210"/>
      <c r="B93" s="202" t="s">
        <v>108</v>
      </c>
      <c r="C93" s="239">
        <v>644.02800000000002</v>
      </c>
      <c r="D93" s="240">
        <f t="shared" si="47"/>
        <v>53.669000000000004</v>
      </c>
      <c r="E93" s="241">
        <v>15</v>
      </c>
      <c r="F93" s="241">
        <v>15</v>
      </c>
      <c r="G93" s="241">
        <v>15</v>
      </c>
      <c r="H93" s="241">
        <v>15</v>
      </c>
      <c r="I93" s="241">
        <v>50</v>
      </c>
      <c r="J93" s="241">
        <v>50</v>
      </c>
      <c r="K93" s="241">
        <v>50</v>
      </c>
      <c r="L93" s="241">
        <v>50</v>
      </c>
      <c r="M93" s="241">
        <v>50</v>
      </c>
      <c r="N93" s="241">
        <v>50</v>
      </c>
      <c r="O93" s="241">
        <v>50</v>
      </c>
      <c r="P93" s="241">
        <v>50</v>
      </c>
      <c r="Q93" s="241">
        <f>SUM(E93:P93)</f>
        <v>460</v>
      </c>
      <c r="R93" s="264">
        <f t="shared" si="44"/>
        <v>38.333333333333336</v>
      </c>
      <c r="S93" s="202"/>
      <c r="T93" s="245">
        <f t="shared" si="22"/>
        <v>3.7541274999632751E-4</v>
      </c>
      <c r="U93" s="245">
        <f t="shared" si="45"/>
        <v>-0.28574534026470899</v>
      </c>
    </row>
    <row r="94" spans="1:21" x14ac:dyDescent="0.2">
      <c r="A94" s="210"/>
      <c r="B94" s="202" t="s">
        <v>109</v>
      </c>
      <c r="C94" s="239">
        <v>1694.9879999999998</v>
      </c>
      <c r="D94" s="240">
        <f t="shared" si="47"/>
        <v>141.249</v>
      </c>
      <c r="E94" s="241">
        <f>8*22</f>
        <v>176</v>
      </c>
      <c r="F94" s="241">
        <f t="shared" ref="F94:H94" si="48">8*22</f>
        <v>176</v>
      </c>
      <c r="G94" s="241">
        <f t="shared" si="48"/>
        <v>176</v>
      </c>
      <c r="H94" s="241">
        <f t="shared" si="48"/>
        <v>176</v>
      </c>
      <c r="I94" s="241">
        <v>175</v>
      </c>
      <c r="J94" s="241">
        <v>175</v>
      </c>
      <c r="K94" s="241">
        <v>175</v>
      </c>
      <c r="L94" s="241">
        <v>175</v>
      </c>
      <c r="M94" s="241">
        <v>175</v>
      </c>
      <c r="N94" s="241">
        <v>175</v>
      </c>
      <c r="O94" s="241">
        <v>175</v>
      </c>
      <c r="P94" s="241">
        <v>175</v>
      </c>
      <c r="Q94" s="241">
        <f>SUM(E94:P94)</f>
        <v>2104</v>
      </c>
      <c r="R94" s="264">
        <f t="shared" si="44"/>
        <v>175.33333333333334</v>
      </c>
      <c r="S94" s="202"/>
      <c r="T94" s="245">
        <f t="shared" si="22"/>
        <v>1.7171052738962458E-3</v>
      </c>
      <c r="U94" s="245">
        <f t="shared" si="45"/>
        <v>0.24130672311544402</v>
      </c>
    </row>
    <row r="95" spans="1:21" x14ac:dyDescent="0.2">
      <c r="A95" s="246" t="s">
        <v>110</v>
      </c>
      <c r="B95" s="202"/>
      <c r="C95" s="266">
        <f t="shared" ref="C95:Q95" si="49">SUM(C92:C94)</f>
        <v>12679.187999999998</v>
      </c>
      <c r="D95" s="267">
        <f t="shared" si="49"/>
        <v>1056.5989999999999</v>
      </c>
      <c r="E95" s="268">
        <f t="shared" si="49"/>
        <v>1091</v>
      </c>
      <c r="F95" s="268">
        <f t="shared" si="49"/>
        <v>1091</v>
      </c>
      <c r="G95" s="268">
        <f t="shared" si="49"/>
        <v>1091</v>
      </c>
      <c r="H95" s="268">
        <f t="shared" si="49"/>
        <v>1091</v>
      </c>
      <c r="I95" s="268">
        <f t="shared" si="49"/>
        <v>1125</v>
      </c>
      <c r="J95" s="268">
        <f t="shared" si="49"/>
        <v>1125</v>
      </c>
      <c r="K95" s="268">
        <f t="shared" si="49"/>
        <v>1125</v>
      </c>
      <c r="L95" s="268">
        <f t="shared" si="49"/>
        <v>1125</v>
      </c>
      <c r="M95" s="268">
        <f t="shared" si="49"/>
        <v>1125</v>
      </c>
      <c r="N95" s="268">
        <f t="shared" si="49"/>
        <v>1125</v>
      </c>
      <c r="O95" s="268">
        <f t="shared" si="49"/>
        <v>1125</v>
      </c>
      <c r="P95" s="268">
        <f t="shared" si="49"/>
        <v>1125</v>
      </c>
      <c r="Q95" s="268">
        <f t="shared" si="49"/>
        <v>13364</v>
      </c>
      <c r="R95" s="269">
        <f t="shared" si="44"/>
        <v>1113.6666666666667</v>
      </c>
      <c r="T95" s="271">
        <f t="shared" si="22"/>
        <v>1.0906556502067219E-2</v>
      </c>
      <c r="U95" s="271">
        <f t="shared" si="45"/>
        <v>5.4010714250786553E-2</v>
      </c>
    </row>
    <row r="96" spans="1:21" x14ac:dyDescent="0.2">
      <c r="A96" s="202" t="s">
        <v>111</v>
      </c>
      <c r="B96" s="202" t="s">
        <v>48</v>
      </c>
      <c r="C96" s="288">
        <v>0</v>
      </c>
      <c r="D96" s="289"/>
      <c r="E96" s="242"/>
      <c r="F96" s="242"/>
      <c r="G96" s="242"/>
      <c r="H96" s="242"/>
      <c r="I96" s="242"/>
      <c r="J96" s="242"/>
      <c r="K96" s="242"/>
      <c r="L96" s="241"/>
      <c r="M96" s="241"/>
      <c r="N96" s="241"/>
      <c r="O96" s="242"/>
      <c r="P96" s="242"/>
      <c r="Q96" s="242"/>
      <c r="R96" s="243"/>
      <c r="T96" s="209"/>
      <c r="U96" s="209"/>
    </row>
    <row r="97" spans="1:21" x14ac:dyDescent="0.2">
      <c r="A97" s="210"/>
      <c r="B97" s="202" t="s">
        <v>112</v>
      </c>
      <c r="C97" s="239">
        <v>109.19999999999999</v>
      </c>
      <c r="D97" s="240">
        <f t="shared" ref="D97:D120" si="50">C97/12</f>
        <v>9.1</v>
      </c>
      <c r="E97" s="241">
        <v>0</v>
      </c>
      <c r="F97" s="241">
        <v>0</v>
      </c>
      <c r="G97" s="241">
        <v>0</v>
      </c>
      <c r="H97" s="241">
        <v>0</v>
      </c>
      <c r="I97" s="241">
        <v>0</v>
      </c>
      <c r="J97" s="241">
        <v>0</v>
      </c>
      <c r="K97" s="241">
        <v>0</v>
      </c>
      <c r="L97" s="241">
        <v>0</v>
      </c>
      <c r="M97" s="241">
        <v>0</v>
      </c>
      <c r="N97" s="241">
        <v>0</v>
      </c>
      <c r="O97" s="241">
        <v>0</v>
      </c>
      <c r="P97" s="241">
        <v>0</v>
      </c>
      <c r="Q97" s="241">
        <f t="shared" ref="Q97:Q120" si="51">SUM(E97:P97)</f>
        <v>0</v>
      </c>
      <c r="R97" s="264">
        <f t="shared" si="44"/>
        <v>0</v>
      </c>
      <c r="S97" s="202"/>
      <c r="T97" s="245">
        <f t="shared" si="22"/>
        <v>0</v>
      </c>
      <c r="U97" s="245">
        <f t="shared" si="45"/>
        <v>-1</v>
      </c>
    </row>
    <row r="98" spans="1:21" x14ac:dyDescent="0.2">
      <c r="A98" s="210"/>
      <c r="B98" s="202" t="s">
        <v>113</v>
      </c>
      <c r="C98" s="239">
        <v>0</v>
      </c>
      <c r="D98" s="240">
        <f t="shared" si="50"/>
        <v>0</v>
      </c>
      <c r="E98" s="241">
        <v>0</v>
      </c>
      <c r="F98" s="241">
        <v>0</v>
      </c>
      <c r="G98" s="241">
        <v>0</v>
      </c>
      <c r="H98" s="241">
        <v>0</v>
      </c>
      <c r="I98" s="241">
        <v>0</v>
      </c>
      <c r="J98" s="241">
        <v>0</v>
      </c>
      <c r="K98" s="241">
        <v>0</v>
      </c>
      <c r="L98" s="241">
        <v>0</v>
      </c>
      <c r="M98" s="241">
        <v>0</v>
      </c>
      <c r="N98" s="241">
        <v>0</v>
      </c>
      <c r="O98" s="241">
        <v>0</v>
      </c>
      <c r="P98" s="241">
        <v>0</v>
      </c>
      <c r="Q98" s="241">
        <f t="shared" si="51"/>
        <v>0</v>
      </c>
      <c r="R98" s="264">
        <f t="shared" si="44"/>
        <v>0</v>
      </c>
      <c r="S98" s="202"/>
      <c r="T98" s="245">
        <f t="shared" si="22"/>
        <v>0</v>
      </c>
      <c r="U98" s="245">
        <f t="shared" si="45"/>
        <v>0</v>
      </c>
    </row>
    <row r="99" spans="1:21" x14ac:dyDescent="0.2">
      <c r="A99" s="210"/>
      <c r="B99" s="202" t="s">
        <v>114</v>
      </c>
      <c r="C99" s="239">
        <v>9881.2559999999976</v>
      </c>
      <c r="D99" s="240">
        <f t="shared" si="50"/>
        <v>823.43799999999976</v>
      </c>
      <c r="E99" s="241">
        <v>1100</v>
      </c>
      <c r="F99" s="241">
        <v>1100</v>
      </c>
      <c r="G99" s="241">
        <v>1100</v>
      </c>
      <c r="H99" s="241">
        <v>1100</v>
      </c>
      <c r="I99" s="241">
        <v>1100</v>
      </c>
      <c r="J99" s="241">
        <v>1100</v>
      </c>
      <c r="K99" s="241">
        <v>1250</v>
      </c>
      <c r="L99" s="241">
        <v>1250</v>
      </c>
      <c r="M99" s="241">
        <v>1250</v>
      </c>
      <c r="N99" s="241">
        <v>1250</v>
      </c>
      <c r="O99" s="241">
        <v>1250</v>
      </c>
      <c r="P99" s="241">
        <v>1250</v>
      </c>
      <c r="Q99" s="241">
        <f t="shared" si="51"/>
        <v>14100</v>
      </c>
      <c r="R99" s="264">
        <f t="shared" si="44"/>
        <v>1175</v>
      </c>
      <c r="S99" s="202"/>
      <c r="T99" s="245">
        <f t="shared" si="22"/>
        <v>1.1507216902061343E-2</v>
      </c>
      <c r="U99" s="245">
        <f t="shared" si="45"/>
        <v>0.42694410508137864</v>
      </c>
    </row>
    <row r="100" spans="1:21" x14ac:dyDescent="0.2">
      <c r="A100" s="210"/>
      <c r="B100" s="202" t="s">
        <v>115</v>
      </c>
      <c r="C100" s="239">
        <v>169.84800000000001</v>
      </c>
      <c r="D100" s="240">
        <f t="shared" si="50"/>
        <v>14.154000000000002</v>
      </c>
      <c r="E100" s="241">
        <v>75</v>
      </c>
      <c r="F100" s="241">
        <v>75</v>
      </c>
      <c r="G100" s="241">
        <v>75</v>
      </c>
      <c r="H100" s="241">
        <v>75</v>
      </c>
      <c r="I100" s="241">
        <v>75</v>
      </c>
      <c r="J100" s="241">
        <v>75</v>
      </c>
      <c r="K100" s="241">
        <v>75</v>
      </c>
      <c r="L100" s="241">
        <v>75</v>
      </c>
      <c r="M100" s="241">
        <v>75</v>
      </c>
      <c r="N100" s="241">
        <v>75</v>
      </c>
      <c r="O100" s="241">
        <v>75</v>
      </c>
      <c r="P100" s="241">
        <v>75</v>
      </c>
      <c r="Q100" s="241">
        <f t="shared" si="51"/>
        <v>900</v>
      </c>
      <c r="R100" s="264">
        <f t="shared" si="44"/>
        <v>75</v>
      </c>
      <c r="S100" s="202"/>
      <c r="T100" s="245">
        <f t="shared" si="22"/>
        <v>7.3450320651455379E-4</v>
      </c>
      <c r="U100" s="245">
        <f t="shared" si="45"/>
        <v>4.2988554472233993</v>
      </c>
    </row>
    <row r="101" spans="1:21" x14ac:dyDescent="0.2">
      <c r="A101" s="210"/>
      <c r="B101" s="202" t="s">
        <v>116</v>
      </c>
      <c r="C101" s="239">
        <v>1884</v>
      </c>
      <c r="D101" s="240">
        <f t="shared" si="50"/>
        <v>157</v>
      </c>
      <c r="E101" s="241">
        <v>200</v>
      </c>
      <c r="F101" s="241">
        <v>200</v>
      </c>
      <c r="G101" s="241">
        <v>200</v>
      </c>
      <c r="H101" s="241">
        <v>200</v>
      </c>
      <c r="I101" s="241">
        <v>200</v>
      </c>
      <c r="J101" s="241">
        <v>200</v>
      </c>
      <c r="K101" s="241">
        <v>200</v>
      </c>
      <c r="L101" s="241">
        <v>200</v>
      </c>
      <c r="M101" s="241">
        <v>200</v>
      </c>
      <c r="N101" s="241">
        <v>200</v>
      </c>
      <c r="O101" s="241">
        <v>200</v>
      </c>
      <c r="P101" s="241">
        <v>200</v>
      </c>
      <c r="Q101" s="241">
        <f t="shared" si="51"/>
        <v>2400</v>
      </c>
      <c r="R101" s="264">
        <f t="shared" si="44"/>
        <v>200</v>
      </c>
      <c r="S101" s="202"/>
      <c r="T101" s="245">
        <f t="shared" si="22"/>
        <v>1.9586752173721433E-3</v>
      </c>
      <c r="U101" s="245">
        <f t="shared" si="45"/>
        <v>0.27388535031847133</v>
      </c>
    </row>
    <row r="102" spans="1:21" x14ac:dyDescent="0.2">
      <c r="A102" s="210"/>
      <c r="B102" s="202" t="s">
        <v>117</v>
      </c>
      <c r="C102" s="239">
        <v>0</v>
      </c>
      <c r="D102" s="240">
        <f t="shared" si="50"/>
        <v>0</v>
      </c>
      <c r="E102" s="241">
        <v>0</v>
      </c>
      <c r="F102" s="241">
        <v>0</v>
      </c>
      <c r="G102" s="241">
        <v>0</v>
      </c>
      <c r="H102" s="241">
        <v>0</v>
      </c>
      <c r="I102" s="241">
        <v>0</v>
      </c>
      <c r="J102" s="241">
        <v>0</v>
      </c>
      <c r="K102" s="241">
        <v>0</v>
      </c>
      <c r="L102" s="241">
        <v>0</v>
      </c>
      <c r="M102" s="241">
        <v>0</v>
      </c>
      <c r="N102" s="241">
        <v>0</v>
      </c>
      <c r="O102" s="241">
        <v>0</v>
      </c>
      <c r="P102" s="241">
        <v>0</v>
      </c>
      <c r="Q102" s="241">
        <f t="shared" si="51"/>
        <v>0</v>
      </c>
      <c r="R102" s="264">
        <f t="shared" si="44"/>
        <v>0</v>
      </c>
      <c r="S102" s="202"/>
      <c r="T102" s="245">
        <f t="shared" si="22"/>
        <v>0</v>
      </c>
      <c r="U102" s="245">
        <f t="shared" si="45"/>
        <v>0</v>
      </c>
    </row>
    <row r="103" spans="1:21" ht="25.5" x14ac:dyDescent="0.2">
      <c r="A103" s="210"/>
      <c r="B103" s="202" t="s">
        <v>118</v>
      </c>
      <c r="C103" s="239">
        <v>1144.8119999999999</v>
      </c>
      <c r="D103" s="240">
        <f t="shared" si="50"/>
        <v>95.400999999999996</v>
      </c>
      <c r="E103" s="241">
        <v>50</v>
      </c>
      <c r="F103" s="241">
        <v>50</v>
      </c>
      <c r="G103" s="241">
        <v>50</v>
      </c>
      <c r="H103" s="241">
        <v>50</v>
      </c>
      <c r="I103" s="241">
        <v>100</v>
      </c>
      <c r="J103" s="241">
        <v>100</v>
      </c>
      <c r="K103" s="241">
        <v>100</v>
      </c>
      <c r="L103" s="241">
        <v>100</v>
      </c>
      <c r="M103" s="241">
        <v>100</v>
      </c>
      <c r="N103" s="241">
        <v>100</v>
      </c>
      <c r="O103" s="241">
        <v>100</v>
      </c>
      <c r="P103" s="241">
        <v>100</v>
      </c>
      <c r="Q103" s="241">
        <f t="shared" si="51"/>
        <v>1000</v>
      </c>
      <c r="R103" s="264">
        <f t="shared" si="44"/>
        <v>83.333333333333329</v>
      </c>
      <c r="S103" s="202"/>
      <c r="T103" s="245">
        <f t="shared" ref="T103:T135" si="52">Q103/$Q$34</f>
        <v>8.1611467390505974E-4</v>
      </c>
      <c r="U103" s="245">
        <f t="shared" si="45"/>
        <v>-0.12649413178757726</v>
      </c>
    </row>
    <row r="104" spans="1:21" x14ac:dyDescent="0.2">
      <c r="A104" s="210"/>
      <c r="B104" s="202" t="s">
        <v>119</v>
      </c>
      <c r="C104" s="239">
        <v>15577.536000000002</v>
      </c>
      <c r="D104" s="240">
        <f t="shared" si="50"/>
        <v>1298.1280000000002</v>
      </c>
      <c r="E104" s="241">
        <f>(50*(E7+E8))+(25*(E9+E10))+(10*(E11+E12))+(15*E13)</f>
        <v>1105</v>
      </c>
      <c r="F104" s="241">
        <f t="shared" ref="F104:P104" si="53">(50*(F7+F8))+(25*(F9+F10))+(10*(F11+F12))+(15*F13)</f>
        <v>1105</v>
      </c>
      <c r="G104" s="241">
        <f t="shared" si="53"/>
        <v>1145</v>
      </c>
      <c r="H104" s="241">
        <f t="shared" si="53"/>
        <v>1145</v>
      </c>
      <c r="I104" s="241">
        <f t="shared" si="53"/>
        <v>1145</v>
      </c>
      <c r="J104" s="241">
        <f t="shared" si="53"/>
        <v>1145</v>
      </c>
      <c r="K104" s="241">
        <f t="shared" si="53"/>
        <v>1145</v>
      </c>
      <c r="L104" s="241">
        <f>(50*(L7+L8))+(25*(L9+L10))+(10*(L11+L12))+(15*L13)</f>
        <v>1145</v>
      </c>
      <c r="M104" s="241">
        <f t="shared" si="53"/>
        <v>1145</v>
      </c>
      <c r="N104" s="241">
        <f t="shared" si="53"/>
        <v>1145</v>
      </c>
      <c r="O104" s="241">
        <f t="shared" si="53"/>
        <v>1145</v>
      </c>
      <c r="P104" s="241">
        <f t="shared" si="53"/>
        <v>1145</v>
      </c>
      <c r="Q104" s="241">
        <f t="shared" si="51"/>
        <v>13660</v>
      </c>
      <c r="R104" s="264">
        <f t="shared" si="44"/>
        <v>1138.3333333333333</v>
      </c>
      <c r="S104" s="202"/>
      <c r="T104" s="245">
        <f t="shared" si="52"/>
        <v>1.1148126445543116E-2</v>
      </c>
      <c r="U104" s="245">
        <f t="shared" si="45"/>
        <v>-0.1230962329344</v>
      </c>
    </row>
    <row r="105" spans="1:21" x14ac:dyDescent="0.2">
      <c r="A105" s="210"/>
      <c r="B105" s="202" t="s">
        <v>120</v>
      </c>
      <c r="C105" s="239">
        <v>1226.1480000000001</v>
      </c>
      <c r="D105" s="240">
        <f t="shared" si="50"/>
        <v>102.17900000000002</v>
      </c>
      <c r="E105" s="241">
        <v>80</v>
      </c>
      <c r="F105" s="241">
        <v>80</v>
      </c>
      <c r="G105" s="241">
        <v>80</v>
      </c>
      <c r="H105" s="241">
        <v>80</v>
      </c>
      <c r="I105" s="241">
        <v>100</v>
      </c>
      <c r="J105" s="241">
        <v>100</v>
      </c>
      <c r="K105" s="241">
        <v>100</v>
      </c>
      <c r="L105" s="241">
        <v>100</v>
      </c>
      <c r="M105" s="241">
        <v>100</v>
      </c>
      <c r="N105" s="241">
        <v>100</v>
      </c>
      <c r="O105" s="241">
        <v>100</v>
      </c>
      <c r="P105" s="241">
        <v>100</v>
      </c>
      <c r="Q105" s="241">
        <f t="shared" si="51"/>
        <v>1120</v>
      </c>
      <c r="R105" s="264">
        <f t="shared" si="44"/>
        <v>93.333333333333329</v>
      </c>
      <c r="S105" s="202"/>
      <c r="T105" s="245">
        <f t="shared" si="52"/>
        <v>9.1404843477366693E-4</v>
      </c>
      <c r="U105" s="245">
        <f t="shared" si="45"/>
        <v>-8.6570299833299183E-2</v>
      </c>
    </row>
    <row r="106" spans="1:21" x14ac:dyDescent="0.2">
      <c r="A106" s="210"/>
      <c r="B106" s="202" t="s">
        <v>121</v>
      </c>
      <c r="C106" s="239">
        <v>0</v>
      </c>
      <c r="D106" s="240">
        <f t="shared" si="50"/>
        <v>0</v>
      </c>
      <c r="E106" s="241">
        <f t="shared" ref="E106:P107" si="54">E92*E100*E83</f>
        <v>0</v>
      </c>
      <c r="F106" s="241">
        <f t="shared" si="54"/>
        <v>0</v>
      </c>
      <c r="G106" s="241">
        <f t="shared" si="54"/>
        <v>0</v>
      </c>
      <c r="H106" s="241">
        <f t="shared" si="54"/>
        <v>0</v>
      </c>
      <c r="I106" s="241">
        <f t="shared" si="54"/>
        <v>0</v>
      </c>
      <c r="J106" s="241">
        <f t="shared" si="54"/>
        <v>0</v>
      </c>
      <c r="K106" s="241">
        <f t="shared" si="54"/>
        <v>0</v>
      </c>
      <c r="L106" s="241">
        <f t="shared" si="54"/>
        <v>0</v>
      </c>
      <c r="M106" s="241">
        <f t="shared" si="54"/>
        <v>0</v>
      </c>
      <c r="N106" s="241">
        <f t="shared" si="54"/>
        <v>0</v>
      </c>
      <c r="O106" s="241">
        <f t="shared" si="54"/>
        <v>0</v>
      </c>
      <c r="P106" s="241">
        <f t="shared" si="54"/>
        <v>0</v>
      </c>
      <c r="Q106" s="241">
        <f>SUM(E106:P106)</f>
        <v>0</v>
      </c>
      <c r="R106" s="264">
        <f t="shared" si="44"/>
        <v>0</v>
      </c>
      <c r="S106" s="202"/>
      <c r="T106" s="245">
        <f t="shared" si="52"/>
        <v>0</v>
      </c>
      <c r="U106" s="245">
        <f t="shared" si="45"/>
        <v>0</v>
      </c>
    </row>
    <row r="107" spans="1:21" x14ac:dyDescent="0.2">
      <c r="A107" s="210"/>
      <c r="B107" s="202" t="s">
        <v>122</v>
      </c>
      <c r="C107" s="239">
        <v>0</v>
      </c>
      <c r="D107" s="240">
        <f t="shared" si="50"/>
        <v>0</v>
      </c>
      <c r="E107" s="241">
        <f t="shared" si="54"/>
        <v>0</v>
      </c>
      <c r="F107" s="241">
        <f t="shared" si="54"/>
        <v>0</v>
      </c>
      <c r="G107" s="241">
        <f t="shared" si="54"/>
        <v>0</v>
      </c>
      <c r="H107" s="241">
        <f t="shared" si="54"/>
        <v>0</v>
      </c>
      <c r="I107" s="241">
        <v>0</v>
      </c>
      <c r="J107" s="241">
        <v>0</v>
      </c>
      <c r="K107" s="241">
        <v>0</v>
      </c>
      <c r="L107" s="241">
        <v>0</v>
      </c>
      <c r="M107" s="241">
        <v>0</v>
      </c>
      <c r="N107" s="241">
        <v>0</v>
      </c>
      <c r="O107" s="241">
        <v>0</v>
      </c>
      <c r="P107" s="241">
        <v>0</v>
      </c>
      <c r="Q107" s="241">
        <f>SUM(E107:P107)</f>
        <v>0</v>
      </c>
      <c r="R107" s="264">
        <f t="shared" si="44"/>
        <v>0</v>
      </c>
      <c r="S107" s="202"/>
      <c r="T107" s="245">
        <f t="shared" si="52"/>
        <v>0</v>
      </c>
      <c r="U107" s="245">
        <f t="shared" si="45"/>
        <v>0</v>
      </c>
    </row>
    <row r="108" spans="1:21" x14ac:dyDescent="0.2">
      <c r="A108" s="210"/>
      <c r="B108" s="202" t="s">
        <v>123</v>
      </c>
      <c r="C108" s="239">
        <v>28699.199999999997</v>
      </c>
      <c r="D108" s="240">
        <f t="shared" si="50"/>
        <v>2391.6</v>
      </c>
      <c r="E108" s="241">
        <f>'[2]Medical Director Fees'!$F$3</f>
        <v>1913.28</v>
      </c>
      <c r="F108" s="241">
        <f>'[2]Medical Director Fees'!$F$3</f>
        <v>1913.28</v>
      </c>
      <c r="G108" s="241">
        <f>'[2]Medical Director Fees'!$F$3</f>
        <v>1913.28</v>
      </c>
      <c r="H108" s="241">
        <f>'[2]Medical Director Fees'!$F$3</f>
        <v>1913.28</v>
      </c>
      <c r="I108" s="241">
        <f>'[2]Medical Director Fees'!$F$3</f>
        <v>1913.28</v>
      </c>
      <c r="J108" s="241">
        <f>'[2]Medical Director Fees'!$F$3</f>
        <v>1913.28</v>
      </c>
      <c r="K108" s="241">
        <f>'[2]Medical Director Fees'!$F$3</f>
        <v>1913.28</v>
      </c>
      <c r="L108" s="241">
        <f>'[2]Medical Director Fees'!$F$3</f>
        <v>1913.28</v>
      </c>
      <c r="M108" s="241">
        <f>'[2]Medical Director Fees'!$F$3</f>
        <v>1913.28</v>
      </c>
      <c r="N108" s="241">
        <f>'[2]Medical Director Fees'!$F$3</f>
        <v>1913.28</v>
      </c>
      <c r="O108" s="241">
        <f>'[2]Medical Director Fees'!$F$3</f>
        <v>1913.28</v>
      </c>
      <c r="P108" s="241">
        <f>'[2]Medical Director Fees'!$F$3</f>
        <v>1913.28</v>
      </c>
      <c r="Q108" s="241">
        <f t="shared" si="51"/>
        <v>22959.359999999997</v>
      </c>
      <c r="R108" s="264">
        <f t="shared" si="44"/>
        <v>1913.2799999999997</v>
      </c>
      <c r="S108" s="202"/>
      <c r="T108" s="245">
        <f t="shared" si="52"/>
        <v>1.873747059946887E-2</v>
      </c>
      <c r="U108" s="245">
        <f t="shared" si="45"/>
        <v>-0.20000000000000004</v>
      </c>
    </row>
    <row r="109" spans="1:21" x14ac:dyDescent="0.2">
      <c r="A109" s="210"/>
      <c r="B109" s="202" t="s">
        <v>124</v>
      </c>
      <c r="C109" s="239">
        <v>1440</v>
      </c>
      <c r="D109" s="240">
        <f t="shared" si="50"/>
        <v>120</v>
      </c>
      <c r="E109" s="241">
        <v>125</v>
      </c>
      <c r="F109" s="241">
        <v>125</v>
      </c>
      <c r="G109" s="241">
        <v>125</v>
      </c>
      <c r="H109" s="241">
        <v>125</v>
      </c>
      <c r="I109" s="241">
        <v>125</v>
      </c>
      <c r="J109" s="241">
        <v>125</v>
      </c>
      <c r="K109" s="241">
        <v>125</v>
      </c>
      <c r="L109" s="241">
        <v>125</v>
      </c>
      <c r="M109" s="241">
        <v>125</v>
      </c>
      <c r="N109" s="241">
        <v>125</v>
      </c>
      <c r="O109" s="241">
        <v>125</v>
      </c>
      <c r="P109" s="241">
        <v>125</v>
      </c>
      <c r="Q109" s="241">
        <f t="shared" si="51"/>
        <v>1500</v>
      </c>
      <c r="R109" s="264">
        <f t="shared" si="44"/>
        <v>125</v>
      </c>
      <c r="S109" s="202"/>
      <c r="T109" s="245">
        <f t="shared" si="52"/>
        <v>1.2241720108575897E-3</v>
      </c>
      <c r="U109" s="245">
        <f t="shared" si="45"/>
        <v>4.1666666666666664E-2</v>
      </c>
    </row>
    <row r="110" spans="1:21" x14ac:dyDescent="0.2">
      <c r="A110" s="210"/>
      <c r="B110" s="202" t="s">
        <v>125</v>
      </c>
      <c r="C110" s="239">
        <v>2880</v>
      </c>
      <c r="D110" s="240">
        <f t="shared" si="50"/>
        <v>240</v>
      </c>
      <c r="E110" s="241">
        <v>240</v>
      </c>
      <c r="F110" s="241">
        <v>240</v>
      </c>
      <c r="G110" s="241">
        <v>240</v>
      </c>
      <c r="H110" s="241">
        <v>240</v>
      </c>
      <c r="I110" s="241">
        <v>240</v>
      </c>
      <c r="J110" s="241">
        <v>240</v>
      </c>
      <c r="K110" s="241">
        <v>240</v>
      </c>
      <c r="L110" s="241">
        <v>240</v>
      </c>
      <c r="M110" s="241">
        <v>240</v>
      </c>
      <c r="N110" s="241">
        <v>240</v>
      </c>
      <c r="O110" s="241">
        <v>240</v>
      </c>
      <c r="P110" s="241">
        <v>240</v>
      </c>
      <c r="Q110" s="241">
        <f t="shared" si="51"/>
        <v>2880</v>
      </c>
      <c r="R110" s="264">
        <f t="shared" si="44"/>
        <v>240</v>
      </c>
      <c r="S110" s="202"/>
      <c r="T110" s="245">
        <f t="shared" si="52"/>
        <v>2.350410260846572E-3</v>
      </c>
      <c r="U110" s="245">
        <f t="shared" si="45"/>
        <v>0</v>
      </c>
    </row>
    <row r="111" spans="1:21" x14ac:dyDescent="0.2">
      <c r="A111" s="210"/>
      <c r="B111" s="202" t="s">
        <v>126</v>
      </c>
      <c r="C111" s="239">
        <v>603.19200000000001</v>
      </c>
      <c r="D111" s="240">
        <f t="shared" si="50"/>
        <v>50.265999999999998</v>
      </c>
      <c r="E111" s="241">
        <v>50</v>
      </c>
      <c r="F111" s="241">
        <v>50</v>
      </c>
      <c r="G111" s="241">
        <v>50</v>
      </c>
      <c r="H111" s="241">
        <v>50</v>
      </c>
      <c r="I111" s="241">
        <v>50</v>
      </c>
      <c r="J111" s="241">
        <v>50</v>
      </c>
      <c r="K111" s="241">
        <v>50</v>
      </c>
      <c r="L111" s="241">
        <v>50</v>
      </c>
      <c r="M111" s="241">
        <v>50</v>
      </c>
      <c r="N111" s="241">
        <v>50</v>
      </c>
      <c r="O111" s="241">
        <v>50</v>
      </c>
      <c r="P111" s="241">
        <v>50</v>
      </c>
      <c r="Q111" s="241">
        <f t="shared" si="51"/>
        <v>600</v>
      </c>
      <c r="R111" s="264">
        <f t="shared" si="44"/>
        <v>50</v>
      </c>
      <c r="S111" s="202"/>
      <c r="T111" s="245">
        <f t="shared" si="52"/>
        <v>4.8966880434303582E-4</v>
      </c>
      <c r="U111" s="245">
        <f t="shared" si="45"/>
        <v>-5.2918473719810724E-3</v>
      </c>
    </row>
    <row r="112" spans="1:21" x14ac:dyDescent="0.2">
      <c r="A112" s="210"/>
      <c r="B112" s="202" t="s">
        <v>127</v>
      </c>
      <c r="C112" s="239">
        <v>0</v>
      </c>
      <c r="D112" s="240">
        <f t="shared" si="50"/>
        <v>0</v>
      </c>
      <c r="E112" s="241">
        <f t="shared" ref="E112:P113" si="55">E98*E106*E89</f>
        <v>0</v>
      </c>
      <c r="F112" s="241">
        <f t="shared" si="55"/>
        <v>0</v>
      </c>
      <c r="G112" s="241">
        <f t="shared" si="55"/>
        <v>0</v>
      </c>
      <c r="H112" s="241">
        <f t="shared" si="55"/>
        <v>0</v>
      </c>
      <c r="I112" s="241">
        <f t="shared" si="55"/>
        <v>0</v>
      </c>
      <c r="J112" s="241">
        <f t="shared" si="55"/>
        <v>0</v>
      </c>
      <c r="K112" s="241">
        <f t="shared" si="55"/>
        <v>0</v>
      </c>
      <c r="L112" s="241">
        <f t="shared" si="55"/>
        <v>0</v>
      </c>
      <c r="M112" s="241">
        <f t="shared" si="55"/>
        <v>0</v>
      </c>
      <c r="N112" s="241">
        <f t="shared" si="55"/>
        <v>0</v>
      </c>
      <c r="O112" s="241">
        <f t="shared" si="55"/>
        <v>0</v>
      </c>
      <c r="P112" s="241">
        <f t="shared" si="55"/>
        <v>0</v>
      </c>
      <c r="Q112" s="241">
        <f t="shared" si="51"/>
        <v>0</v>
      </c>
      <c r="R112" s="264">
        <f t="shared" si="44"/>
        <v>0</v>
      </c>
      <c r="S112" s="202"/>
      <c r="T112" s="245">
        <f t="shared" si="52"/>
        <v>0</v>
      </c>
      <c r="U112" s="245">
        <f t="shared" si="45"/>
        <v>0</v>
      </c>
    </row>
    <row r="113" spans="1:21" x14ac:dyDescent="0.2">
      <c r="A113" s="210"/>
      <c r="B113" s="202" t="s">
        <v>128</v>
      </c>
      <c r="C113" s="239">
        <v>0</v>
      </c>
      <c r="D113" s="240">
        <f t="shared" si="50"/>
        <v>0</v>
      </c>
      <c r="E113" s="241">
        <f t="shared" si="55"/>
        <v>0</v>
      </c>
      <c r="F113" s="241">
        <f t="shared" si="55"/>
        <v>0</v>
      </c>
      <c r="G113" s="241">
        <f t="shared" si="55"/>
        <v>0</v>
      </c>
      <c r="H113" s="241">
        <f t="shared" si="55"/>
        <v>0</v>
      </c>
      <c r="I113" s="241">
        <f t="shared" si="55"/>
        <v>0</v>
      </c>
      <c r="J113" s="241">
        <f t="shared" si="55"/>
        <v>0</v>
      </c>
      <c r="K113" s="241">
        <f t="shared" si="55"/>
        <v>0</v>
      </c>
      <c r="L113" s="241">
        <f t="shared" si="55"/>
        <v>0</v>
      </c>
      <c r="M113" s="241">
        <f t="shared" si="55"/>
        <v>0</v>
      </c>
      <c r="N113" s="241">
        <f t="shared" si="55"/>
        <v>0</v>
      </c>
      <c r="O113" s="241">
        <f t="shared" si="55"/>
        <v>0</v>
      </c>
      <c r="P113" s="241">
        <f t="shared" si="55"/>
        <v>0</v>
      </c>
      <c r="Q113" s="241">
        <f t="shared" si="51"/>
        <v>0</v>
      </c>
      <c r="R113" s="264">
        <f t="shared" si="44"/>
        <v>0</v>
      </c>
      <c r="S113" s="202"/>
      <c r="T113" s="245">
        <f t="shared" si="52"/>
        <v>0</v>
      </c>
      <c r="U113" s="245">
        <f t="shared" si="45"/>
        <v>0</v>
      </c>
    </row>
    <row r="114" spans="1:21" x14ac:dyDescent="0.2">
      <c r="A114" s="210"/>
      <c r="B114" s="202" t="s">
        <v>129</v>
      </c>
      <c r="C114" s="239">
        <v>0</v>
      </c>
      <c r="D114" s="240">
        <f t="shared" si="50"/>
        <v>0</v>
      </c>
      <c r="E114" s="241">
        <v>0</v>
      </c>
      <c r="F114" s="241">
        <v>0</v>
      </c>
      <c r="G114" s="241">
        <v>0</v>
      </c>
      <c r="H114" s="241">
        <v>0</v>
      </c>
      <c r="I114" s="241">
        <v>0</v>
      </c>
      <c r="J114" s="241">
        <v>0</v>
      </c>
      <c r="K114" s="241">
        <v>0</v>
      </c>
      <c r="L114" s="241">
        <v>0</v>
      </c>
      <c r="M114" s="241">
        <v>0</v>
      </c>
      <c r="N114" s="241">
        <v>0</v>
      </c>
      <c r="O114" s="241">
        <v>0</v>
      </c>
      <c r="P114" s="241">
        <v>0</v>
      </c>
      <c r="Q114" s="241">
        <f t="shared" si="51"/>
        <v>0</v>
      </c>
      <c r="R114" s="264">
        <f t="shared" si="44"/>
        <v>0</v>
      </c>
      <c r="S114" s="202"/>
      <c r="T114" s="245">
        <f t="shared" si="52"/>
        <v>0</v>
      </c>
      <c r="U114" s="245">
        <f t="shared" si="45"/>
        <v>0</v>
      </c>
    </row>
    <row r="115" spans="1:21" x14ac:dyDescent="0.2">
      <c r="A115" s="210"/>
      <c r="B115" s="202" t="s">
        <v>130</v>
      </c>
      <c r="C115" s="239">
        <v>0</v>
      </c>
      <c r="D115" s="240">
        <f t="shared" si="50"/>
        <v>0</v>
      </c>
      <c r="E115" s="241">
        <v>0</v>
      </c>
      <c r="F115" s="241">
        <v>0</v>
      </c>
      <c r="G115" s="241">
        <v>0</v>
      </c>
      <c r="H115" s="241">
        <v>0</v>
      </c>
      <c r="I115" s="241">
        <v>0</v>
      </c>
      <c r="J115" s="241">
        <v>0</v>
      </c>
      <c r="K115" s="241">
        <v>0</v>
      </c>
      <c r="L115" s="241">
        <v>0</v>
      </c>
      <c r="M115" s="241">
        <v>0</v>
      </c>
      <c r="N115" s="241">
        <v>0</v>
      </c>
      <c r="O115" s="241">
        <v>0</v>
      </c>
      <c r="P115" s="241">
        <v>0</v>
      </c>
      <c r="Q115" s="241">
        <f t="shared" si="51"/>
        <v>0</v>
      </c>
      <c r="R115" s="264">
        <f t="shared" si="44"/>
        <v>0</v>
      </c>
      <c r="S115" s="202"/>
      <c r="T115" s="245">
        <f t="shared" si="52"/>
        <v>0</v>
      </c>
      <c r="U115" s="245">
        <f t="shared" si="45"/>
        <v>0</v>
      </c>
    </row>
    <row r="116" spans="1:21" x14ac:dyDescent="0.2">
      <c r="A116" s="210"/>
      <c r="B116" s="202" t="s">
        <v>131</v>
      </c>
      <c r="C116" s="239">
        <v>0</v>
      </c>
      <c r="D116" s="240">
        <f t="shared" si="50"/>
        <v>0</v>
      </c>
      <c r="E116" s="241">
        <v>0</v>
      </c>
      <c r="F116" s="241">
        <v>0</v>
      </c>
      <c r="G116" s="241">
        <v>0</v>
      </c>
      <c r="H116" s="241">
        <v>0</v>
      </c>
      <c r="I116" s="241">
        <v>0</v>
      </c>
      <c r="J116" s="241">
        <v>0</v>
      </c>
      <c r="K116" s="241">
        <v>0</v>
      </c>
      <c r="L116" s="241">
        <v>0</v>
      </c>
      <c r="M116" s="241">
        <v>0</v>
      </c>
      <c r="N116" s="241">
        <v>0</v>
      </c>
      <c r="O116" s="241">
        <v>0</v>
      </c>
      <c r="P116" s="241">
        <v>0</v>
      </c>
      <c r="Q116" s="241">
        <f t="shared" si="51"/>
        <v>0</v>
      </c>
      <c r="R116" s="264">
        <f t="shared" si="44"/>
        <v>0</v>
      </c>
      <c r="S116" s="202"/>
      <c r="T116" s="245">
        <f t="shared" si="52"/>
        <v>0</v>
      </c>
      <c r="U116" s="245">
        <f t="shared" si="45"/>
        <v>0</v>
      </c>
    </row>
    <row r="117" spans="1:21" x14ac:dyDescent="0.2">
      <c r="A117" s="210"/>
      <c r="B117" s="202" t="s">
        <v>132</v>
      </c>
      <c r="C117" s="239">
        <v>0</v>
      </c>
      <c r="D117" s="240">
        <f t="shared" si="50"/>
        <v>0</v>
      </c>
      <c r="E117" s="241">
        <v>0</v>
      </c>
      <c r="F117" s="241">
        <v>0</v>
      </c>
      <c r="G117" s="241">
        <v>0</v>
      </c>
      <c r="H117" s="241">
        <v>0</v>
      </c>
      <c r="I117" s="241">
        <v>0</v>
      </c>
      <c r="J117" s="241">
        <v>0</v>
      </c>
      <c r="K117" s="241">
        <v>0</v>
      </c>
      <c r="L117" s="241">
        <v>0</v>
      </c>
      <c r="M117" s="241">
        <v>0</v>
      </c>
      <c r="N117" s="241">
        <v>0</v>
      </c>
      <c r="O117" s="241">
        <v>0</v>
      </c>
      <c r="P117" s="241">
        <v>0</v>
      </c>
      <c r="Q117" s="241">
        <f t="shared" si="51"/>
        <v>0</v>
      </c>
      <c r="R117" s="264">
        <f t="shared" si="44"/>
        <v>0</v>
      </c>
      <c r="S117" s="202"/>
      <c r="T117" s="245">
        <f t="shared" si="52"/>
        <v>0</v>
      </c>
      <c r="U117" s="245">
        <f t="shared" si="45"/>
        <v>0</v>
      </c>
    </row>
    <row r="118" spans="1:21" x14ac:dyDescent="0.2">
      <c r="A118" s="210"/>
      <c r="B118" s="202" t="s">
        <v>133</v>
      </c>
      <c r="C118" s="239">
        <v>0</v>
      </c>
      <c r="D118" s="240">
        <f t="shared" si="50"/>
        <v>0</v>
      </c>
      <c r="E118" s="241">
        <v>0</v>
      </c>
      <c r="F118" s="241">
        <v>0</v>
      </c>
      <c r="G118" s="241">
        <v>0</v>
      </c>
      <c r="H118" s="241">
        <v>0</v>
      </c>
      <c r="I118" s="241">
        <v>0</v>
      </c>
      <c r="J118" s="241">
        <v>0</v>
      </c>
      <c r="K118" s="241">
        <v>0</v>
      </c>
      <c r="L118" s="241">
        <v>0</v>
      </c>
      <c r="M118" s="241">
        <v>0</v>
      </c>
      <c r="N118" s="241">
        <v>0</v>
      </c>
      <c r="O118" s="241">
        <v>0</v>
      </c>
      <c r="P118" s="241">
        <v>0</v>
      </c>
      <c r="Q118" s="241">
        <f t="shared" si="51"/>
        <v>0</v>
      </c>
      <c r="R118" s="264">
        <f t="shared" si="44"/>
        <v>0</v>
      </c>
      <c r="S118" s="202"/>
      <c r="T118" s="245">
        <f t="shared" si="52"/>
        <v>0</v>
      </c>
      <c r="U118" s="245">
        <f t="shared" si="45"/>
        <v>0</v>
      </c>
    </row>
    <row r="119" spans="1:21" x14ac:dyDescent="0.2">
      <c r="A119" s="210"/>
      <c r="B119" s="202" t="s">
        <v>134</v>
      </c>
      <c r="C119" s="239">
        <v>0</v>
      </c>
      <c r="D119" s="240">
        <f t="shared" si="50"/>
        <v>0</v>
      </c>
      <c r="E119" s="241">
        <v>0</v>
      </c>
      <c r="F119" s="241">
        <v>0</v>
      </c>
      <c r="G119" s="241">
        <v>0</v>
      </c>
      <c r="H119" s="241">
        <v>0</v>
      </c>
      <c r="I119" s="241">
        <v>0</v>
      </c>
      <c r="J119" s="241">
        <v>0</v>
      </c>
      <c r="K119" s="241">
        <v>0</v>
      </c>
      <c r="L119" s="241">
        <v>0</v>
      </c>
      <c r="M119" s="241">
        <v>0</v>
      </c>
      <c r="N119" s="241">
        <v>0</v>
      </c>
      <c r="O119" s="241">
        <v>0</v>
      </c>
      <c r="P119" s="241">
        <v>0</v>
      </c>
      <c r="Q119" s="241">
        <f>SUM(E119:P119)</f>
        <v>0</v>
      </c>
      <c r="R119" s="264">
        <f>AVERAGE(E119:P119)</f>
        <v>0</v>
      </c>
      <c r="S119" s="202"/>
      <c r="T119" s="245">
        <f t="shared" si="52"/>
        <v>0</v>
      </c>
      <c r="U119" s="245">
        <f t="shared" si="45"/>
        <v>0</v>
      </c>
    </row>
    <row r="120" spans="1:21" x14ac:dyDescent="0.2">
      <c r="A120" s="210"/>
      <c r="B120" s="202" t="s">
        <v>135</v>
      </c>
      <c r="C120" s="239">
        <v>0</v>
      </c>
      <c r="D120" s="240">
        <f t="shared" si="50"/>
        <v>0</v>
      </c>
      <c r="E120" s="241">
        <v>0</v>
      </c>
      <c r="F120" s="241">
        <v>0</v>
      </c>
      <c r="G120" s="241">
        <v>0</v>
      </c>
      <c r="H120" s="241">
        <v>0</v>
      </c>
      <c r="I120" s="241">
        <v>0</v>
      </c>
      <c r="J120" s="241">
        <v>0</v>
      </c>
      <c r="K120" s="241">
        <v>0</v>
      </c>
      <c r="L120" s="241">
        <v>0</v>
      </c>
      <c r="M120" s="241">
        <v>0</v>
      </c>
      <c r="N120" s="241">
        <v>0</v>
      </c>
      <c r="O120" s="241">
        <v>0</v>
      </c>
      <c r="P120" s="241">
        <v>0</v>
      </c>
      <c r="Q120" s="241">
        <f t="shared" si="51"/>
        <v>0</v>
      </c>
      <c r="R120" s="264">
        <f t="shared" si="44"/>
        <v>0</v>
      </c>
      <c r="S120" s="202"/>
      <c r="T120" s="245">
        <f t="shared" si="52"/>
        <v>0</v>
      </c>
      <c r="U120" s="245">
        <f t="shared" si="45"/>
        <v>0</v>
      </c>
    </row>
    <row r="121" spans="1:21" x14ac:dyDescent="0.2">
      <c r="A121" s="246" t="s">
        <v>136</v>
      </c>
      <c r="B121" s="202" t="s">
        <v>48</v>
      </c>
      <c r="C121" s="266">
        <f>SUM(C97:C120)</f>
        <v>63615.192000000003</v>
      </c>
      <c r="D121" s="267">
        <f t="shared" ref="D121:Q121" si="56">SUM(D97:D120)</f>
        <v>5301.2659999999996</v>
      </c>
      <c r="E121" s="268">
        <f t="shared" si="56"/>
        <v>4938.28</v>
      </c>
      <c r="F121" s="268">
        <f t="shared" si="56"/>
        <v>4938.28</v>
      </c>
      <c r="G121" s="268">
        <f t="shared" si="56"/>
        <v>4978.28</v>
      </c>
      <c r="H121" s="268">
        <f t="shared" si="56"/>
        <v>4978.28</v>
      </c>
      <c r="I121" s="268">
        <f>SUM(I97:I120)</f>
        <v>5048.28</v>
      </c>
      <c r="J121" s="268">
        <f t="shared" si="56"/>
        <v>5048.28</v>
      </c>
      <c r="K121" s="268">
        <f t="shared" si="56"/>
        <v>5198.28</v>
      </c>
      <c r="L121" s="268">
        <f t="shared" si="56"/>
        <v>5198.28</v>
      </c>
      <c r="M121" s="268">
        <f t="shared" si="56"/>
        <v>5198.28</v>
      </c>
      <c r="N121" s="268">
        <f t="shared" si="56"/>
        <v>5198.28</v>
      </c>
      <c r="O121" s="268">
        <f t="shared" si="56"/>
        <v>5198.28</v>
      </c>
      <c r="P121" s="268">
        <f t="shared" si="56"/>
        <v>5198.28</v>
      </c>
      <c r="Q121" s="268">
        <f t="shared" si="56"/>
        <v>61119.360000000001</v>
      </c>
      <c r="R121" s="269">
        <f>AVERAGE(E121:P121)</f>
        <v>5093.28</v>
      </c>
      <c r="T121" s="271">
        <f t="shared" si="52"/>
        <v>4.9880406555685951E-2</v>
      </c>
      <c r="U121" s="271">
        <f t="shared" si="45"/>
        <v>-3.9233269939671044E-2</v>
      </c>
    </row>
    <row r="122" spans="1:21" x14ac:dyDescent="0.2">
      <c r="A122" s="202" t="s">
        <v>137</v>
      </c>
      <c r="B122" s="202" t="s">
        <v>48</v>
      </c>
      <c r="C122" s="288">
        <v>0</v>
      </c>
      <c r="D122" s="289"/>
      <c r="E122" s="242"/>
      <c r="F122" s="242"/>
      <c r="G122" s="242"/>
      <c r="H122" s="242"/>
      <c r="I122" s="242"/>
      <c r="J122" s="242"/>
      <c r="K122" s="242"/>
      <c r="L122" s="241"/>
      <c r="M122" s="241"/>
      <c r="N122" s="241"/>
      <c r="O122" s="242"/>
      <c r="P122" s="242"/>
      <c r="Q122" s="242"/>
      <c r="R122" s="243"/>
      <c r="T122" s="209"/>
      <c r="U122" s="209"/>
    </row>
    <row r="123" spans="1:21" ht="25.5" x14ac:dyDescent="0.2">
      <c r="A123" s="210"/>
      <c r="B123" s="202" t="s">
        <v>138</v>
      </c>
      <c r="C123" s="239">
        <v>0</v>
      </c>
      <c r="D123" s="240">
        <f>C123/12</f>
        <v>0</v>
      </c>
      <c r="E123" s="241">
        <v>0</v>
      </c>
      <c r="F123" s="241">
        <v>0</v>
      </c>
      <c r="G123" s="241">
        <v>0</v>
      </c>
      <c r="H123" s="241">
        <v>0</v>
      </c>
      <c r="I123" s="241">
        <v>0</v>
      </c>
      <c r="J123" s="241">
        <v>0</v>
      </c>
      <c r="K123" s="241">
        <v>0</v>
      </c>
      <c r="L123" s="241">
        <v>0</v>
      </c>
      <c r="M123" s="241">
        <v>0</v>
      </c>
      <c r="N123" s="241">
        <v>0</v>
      </c>
      <c r="O123" s="241">
        <v>0</v>
      </c>
      <c r="P123" s="241">
        <v>0</v>
      </c>
      <c r="Q123" s="241">
        <f>SUM(E123:P123)</f>
        <v>0</v>
      </c>
      <c r="R123" s="264">
        <f t="shared" si="44"/>
        <v>0</v>
      </c>
      <c r="S123" s="202"/>
      <c r="T123" s="245">
        <f t="shared" si="52"/>
        <v>0</v>
      </c>
      <c r="U123" s="245">
        <f t="shared" si="45"/>
        <v>0</v>
      </c>
    </row>
    <row r="124" spans="1:21" x14ac:dyDescent="0.2">
      <c r="A124" s="246" t="s">
        <v>139</v>
      </c>
      <c r="B124" s="202" t="s">
        <v>48</v>
      </c>
      <c r="C124" s="266">
        <v>0</v>
      </c>
      <c r="D124" s="267">
        <f t="shared" ref="D124:Q124" si="57">SUM(D123:D123)</f>
        <v>0</v>
      </c>
      <c r="E124" s="268">
        <f t="shared" si="57"/>
        <v>0</v>
      </c>
      <c r="F124" s="268">
        <f t="shared" si="57"/>
        <v>0</v>
      </c>
      <c r="G124" s="268">
        <f t="shared" si="57"/>
        <v>0</v>
      </c>
      <c r="H124" s="268">
        <f t="shared" si="57"/>
        <v>0</v>
      </c>
      <c r="I124" s="268">
        <f t="shared" si="57"/>
        <v>0</v>
      </c>
      <c r="J124" s="268">
        <f t="shared" si="57"/>
        <v>0</v>
      </c>
      <c r="K124" s="268">
        <f t="shared" si="57"/>
        <v>0</v>
      </c>
      <c r="L124" s="268">
        <f t="shared" si="57"/>
        <v>0</v>
      </c>
      <c r="M124" s="268">
        <f t="shared" si="57"/>
        <v>0</v>
      </c>
      <c r="N124" s="268">
        <f t="shared" si="57"/>
        <v>0</v>
      </c>
      <c r="O124" s="268">
        <f t="shared" si="57"/>
        <v>0</v>
      </c>
      <c r="P124" s="268">
        <f t="shared" si="57"/>
        <v>0</v>
      </c>
      <c r="Q124" s="268">
        <f t="shared" si="57"/>
        <v>0</v>
      </c>
      <c r="R124" s="269">
        <f t="shared" si="44"/>
        <v>0</v>
      </c>
      <c r="T124" s="271">
        <f t="shared" si="52"/>
        <v>0</v>
      </c>
      <c r="U124" s="271">
        <f t="shared" si="45"/>
        <v>0</v>
      </c>
    </row>
    <row r="125" spans="1:21" x14ac:dyDescent="0.2">
      <c r="A125" s="202" t="s">
        <v>140</v>
      </c>
      <c r="B125" s="202"/>
      <c r="C125" s="291">
        <v>0</v>
      </c>
      <c r="D125" s="292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4"/>
      <c r="T125" s="295"/>
      <c r="U125" s="295"/>
    </row>
    <row r="126" spans="1:21" x14ac:dyDescent="0.2">
      <c r="A126" s="246"/>
      <c r="B126" s="202" t="s">
        <v>141</v>
      </c>
      <c r="C126" s="239">
        <v>5742</v>
      </c>
      <c r="D126" s="240">
        <f>C126/12</f>
        <v>478.5</v>
      </c>
      <c r="E126" s="241">
        <v>0</v>
      </c>
      <c r="F126" s="241">
        <v>0</v>
      </c>
      <c r="G126" s="241">
        <v>0</v>
      </c>
      <c r="H126" s="241">
        <v>0</v>
      </c>
      <c r="I126" s="241">
        <v>0</v>
      </c>
      <c r="J126" s="241">
        <v>0</v>
      </c>
      <c r="K126" s="241">
        <v>0</v>
      </c>
      <c r="L126" s="241">
        <v>0</v>
      </c>
      <c r="M126" s="241">
        <v>0</v>
      </c>
      <c r="N126" s="241">
        <v>0</v>
      </c>
      <c r="O126" s="241">
        <v>0</v>
      </c>
      <c r="P126" s="241">
        <v>0</v>
      </c>
      <c r="Q126" s="241">
        <f>SUM(E126:P126)</f>
        <v>0</v>
      </c>
      <c r="R126" s="264">
        <f t="shared" si="44"/>
        <v>0</v>
      </c>
      <c r="S126" s="202"/>
      <c r="T126" s="245">
        <f t="shared" si="52"/>
        <v>0</v>
      </c>
      <c r="U126" s="245">
        <f t="shared" si="45"/>
        <v>-1</v>
      </c>
    </row>
    <row r="127" spans="1:21" ht="13.5" thickBot="1" x14ac:dyDescent="0.25">
      <c r="A127" s="246" t="s">
        <v>142</v>
      </c>
      <c r="B127" s="202"/>
      <c r="C127" s="296">
        <f t="shared" ref="C127:Q127" si="58">SUM(C126:C126)</f>
        <v>5742</v>
      </c>
      <c r="D127" s="292">
        <f t="shared" si="58"/>
        <v>478.5</v>
      </c>
      <c r="E127" s="293">
        <f t="shared" si="58"/>
        <v>0</v>
      </c>
      <c r="F127" s="293">
        <f t="shared" si="58"/>
        <v>0</v>
      </c>
      <c r="G127" s="293">
        <f t="shared" si="58"/>
        <v>0</v>
      </c>
      <c r="H127" s="293">
        <f t="shared" si="58"/>
        <v>0</v>
      </c>
      <c r="I127" s="293">
        <f t="shared" si="58"/>
        <v>0</v>
      </c>
      <c r="J127" s="293">
        <f t="shared" si="58"/>
        <v>0</v>
      </c>
      <c r="K127" s="293">
        <f t="shared" si="58"/>
        <v>0</v>
      </c>
      <c r="L127" s="293">
        <f t="shared" si="58"/>
        <v>0</v>
      </c>
      <c r="M127" s="293">
        <f t="shared" si="58"/>
        <v>0</v>
      </c>
      <c r="N127" s="293">
        <f t="shared" si="58"/>
        <v>0</v>
      </c>
      <c r="O127" s="293">
        <f t="shared" si="58"/>
        <v>0</v>
      </c>
      <c r="P127" s="293">
        <f t="shared" si="58"/>
        <v>0</v>
      </c>
      <c r="Q127" s="293">
        <f t="shared" si="58"/>
        <v>0</v>
      </c>
      <c r="R127" s="294">
        <f t="shared" si="44"/>
        <v>0</v>
      </c>
      <c r="T127" s="295">
        <f t="shared" si="52"/>
        <v>0</v>
      </c>
      <c r="U127" s="295">
        <f t="shared" si="45"/>
        <v>-1</v>
      </c>
    </row>
    <row r="128" spans="1:21" s="297" customFormat="1" ht="13.5" thickBot="1" x14ac:dyDescent="0.25">
      <c r="A128" s="246" t="s">
        <v>143</v>
      </c>
      <c r="B128" s="297" t="s">
        <v>48</v>
      </c>
      <c r="C128" s="298">
        <f>C124+C121+C90+C82+C73+C62+C48+C95+C76+C127+C134</f>
        <v>854603.36399999994</v>
      </c>
      <c r="D128" s="299">
        <f t="shared" ref="D128:P128" si="59">D124+D121+D90+D82+D73+D62+D48+D95+D76+D127+D134</f>
        <v>71216.946999999986</v>
      </c>
      <c r="E128" s="300">
        <f t="shared" si="59"/>
        <v>79202.725457213732</v>
      </c>
      <c r="F128" s="301">
        <f t="shared" si="59"/>
        <v>76564.734390847327</v>
      </c>
      <c r="G128" s="301">
        <f t="shared" si="59"/>
        <v>76754.21600284733</v>
      </c>
      <c r="H128" s="301">
        <f>H124+H121+H90+H82+H73+H62+H48+H95+H76+H127+H134</f>
        <v>78176.44962203053</v>
      </c>
      <c r="I128" s="301">
        <f>I124+I121+I90+I82+I73+I62+I48+I95+I76+I127+I134</f>
        <v>80219.862704793733</v>
      </c>
      <c r="J128" s="301">
        <f t="shared" si="59"/>
        <v>75911.790612864119</v>
      </c>
      <c r="K128" s="301">
        <f t="shared" si="59"/>
        <v>78305.964427579995</v>
      </c>
      <c r="L128" s="301">
        <f t="shared" si="59"/>
        <v>78614.21814812001</v>
      </c>
      <c r="M128" s="301">
        <f t="shared" si="59"/>
        <v>77504.857322659998</v>
      </c>
      <c r="N128" s="301">
        <f t="shared" si="59"/>
        <v>80346.628381579998</v>
      </c>
      <c r="O128" s="301">
        <f t="shared" si="59"/>
        <v>77627.959826659993</v>
      </c>
      <c r="P128" s="301">
        <f t="shared" si="59"/>
        <v>78987.29410412001</v>
      </c>
      <c r="Q128" s="302">
        <f t="shared" ref="Q128" si="60">Q124+Q121+Q90+Q82+Q73+Q62+Q48+Q95+Q76+Q127</f>
        <v>938216.70100131677</v>
      </c>
      <c r="R128" s="303">
        <f t="shared" si="44"/>
        <v>78184.72508344306</v>
      </c>
      <c r="T128" s="216">
        <f t="shared" si="52"/>
        <v>0.76569241698997059</v>
      </c>
      <c r="U128" s="216">
        <f t="shared" si="45"/>
        <v>9.7838764184079247E-2</v>
      </c>
    </row>
    <row r="129" spans="1:21" ht="13.5" thickBot="1" x14ac:dyDescent="0.25">
      <c r="A129" s="246" t="s">
        <v>144</v>
      </c>
      <c r="B129" s="188" t="s">
        <v>48</v>
      </c>
      <c r="C129" s="298">
        <f>C34-C128+C102+C134</f>
        <v>194002.90600000008</v>
      </c>
      <c r="D129" s="299">
        <f t="shared" ref="D129:P129" si="61">D34-D128+D102+D134</f>
        <v>16166.908833333349</v>
      </c>
      <c r="E129" s="300">
        <f t="shared" si="61"/>
        <v>16886.274542786268</v>
      </c>
      <c r="F129" s="301">
        <f t="shared" si="61"/>
        <v>19524.265609152673</v>
      </c>
      <c r="G129" s="301">
        <f t="shared" si="61"/>
        <v>26559.78399715267</v>
      </c>
      <c r="H129" s="301">
        <f t="shared" si="61"/>
        <v>25137.55037796947</v>
      </c>
      <c r="I129" s="301">
        <f>I34-I128+I102+I134</f>
        <v>23094.137295206267</v>
      </c>
      <c r="J129" s="301">
        <f t="shared" si="61"/>
        <v>27402.209387135881</v>
      </c>
      <c r="K129" s="301">
        <f t="shared" si="61"/>
        <v>25008.035572420005</v>
      </c>
      <c r="L129" s="301">
        <f t="shared" si="61"/>
        <v>24699.78185187999</v>
      </c>
      <c r="M129" s="301">
        <f t="shared" si="61"/>
        <v>25809.142677340002</v>
      </c>
      <c r="N129" s="301">
        <f t="shared" si="61"/>
        <v>22967.371618420002</v>
      </c>
      <c r="O129" s="301">
        <f t="shared" si="61"/>
        <v>25686.040173340007</v>
      </c>
      <c r="P129" s="301">
        <f t="shared" si="61"/>
        <v>24326.70589587999</v>
      </c>
      <c r="Q129" s="302">
        <f t="shared" ref="Q129" si="62">Q34-Q128+Q102</f>
        <v>287101.29899868323</v>
      </c>
      <c r="R129" s="303">
        <f>AVERAGE(E129:P129)</f>
        <v>23925.108249890269</v>
      </c>
      <c r="T129" s="216">
        <f t="shared" si="52"/>
        <v>0.23430758301002941</v>
      </c>
      <c r="U129" s="216">
        <f t="shared" si="45"/>
        <v>0.47988143537748407</v>
      </c>
    </row>
    <row r="130" spans="1:21" x14ac:dyDescent="0.2">
      <c r="A130" s="246" t="s">
        <v>145</v>
      </c>
      <c r="B130" s="188" t="s">
        <v>48</v>
      </c>
      <c r="C130" s="304">
        <f t="shared" ref="C130:Q130" si="63">IFERROR(C129/C34,0)</f>
        <v>0.18501024793605333</v>
      </c>
      <c r="D130" s="305">
        <f t="shared" si="63"/>
        <v>0.18501024793605345</v>
      </c>
      <c r="E130" s="306">
        <f t="shared" si="63"/>
        <v>0.17573577144924257</v>
      </c>
      <c r="F130" s="307">
        <f t="shared" si="63"/>
        <v>0.20318939326200369</v>
      </c>
      <c r="G130" s="307">
        <f t="shared" si="63"/>
        <v>0.25707826622870733</v>
      </c>
      <c r="H130" s="307">
        <f t="shared" si="63"/>
        <v>0.24331213947741323</v>
      </c>
      <c r="I130" s="307">
        <f t="shared" si="63"/>
        <v>0.22353347363577314</v>
      </c>
      <c r="J130" s="307">
        <f t="shared" si="63"/>
        <v>0.26523229559532957</v>
      </c>
      <c r="K130" s="307">
        <f t="shared" si="63"/>
        <v>0.24205853584625517</v>
      </c>
      <c r="L130" s="307">
        <f t="shared" si="63"/>
        <v>0.23907487709197195</v>
      </c>
      <c r="M130" s="307">
        <f t="shared" si="63"/>
        <v>0.24981263601583523</v>
      </c>
      <c r="N130" s="307">
        <f t="shared" si="63"/>
        <v>0.22230647945505935</v>
      </c>
      <c r="O130" s="307">
        <f t="shared" si="63"/>
        <v>0.24862109852817629</v>
      </c>
      <c r="P130" s="307">
        <f t="shared" si="63"/>
        <v>0.23546378899161768</v>
      </c>
      <c r="Q130" s="308">
        <f t="shared" si="63"/>
        <v>0.23430758301002941</v>
      </c>
      <c r="R130" s="309">
        <f t="shared" si="44"/>
        <v>0.23378489629811541</v>
      </c>
      <c r="T130" s="216"/>
      <c r="U130" s="216">
        <f>IFERROR((Q130-C130)/C130,0)</f>
        <v>0.26645732127776584</v>
      </c>
    </row>
    <row r="131" spans="1:21" x14ac:dyDescent="0.2">
      <c r="A131" s="246" t="s">
        <v>146</v>
      </c>
      <c r="C131" s="310" t="s">
        <v>1</v>
      </c>
      <c r="D131" s="311" t="s">
        <v>1</v>
      </c>
      <c r="E131" s="312" t="s">
        <v>1</v>
      </c>
      <c r="F131" s="313" t="s">
        <v>1</v>
      </c>
      <c r="G131" s="313" t="s">
        <v>1</v>
      </c>
      <c r="H131" s="313" t="s">
        <v>1</v>
      </c>
      <c r="I131" s="313" t="s">
        <v>1</v>
      </c>
      <c r="J131" s="313" t="s">
        <v>1</v>
      </c>
      <c r="K131" s="313" t="s">
        <v>1</v>
      </c>
      <c r="L131" s="313" t="s">
        <v>1</v>
      </c>
      <c r="M131" s="313" t="s">
        <v>1</v>
      </c>
      <c r="N131" s="313" t="s">
        <v>1</v>
      </c>
      <c r="O131" s="313" t="s">
        <v>1</v>
      </c>
      <c r="P131" s="313" t="s">
        <v>1</v>
      </c>
      <c r="Q131" s="314"/>
      <c r="R131" s="315"/>
      <c r="T131" s="238"/>
      <c r="U131" s="238"/>
    </row>
    <row r="132" spans="1:21" x14ac:dyDescent="0.2">
      <c r="A132" s="246"/>
      <c r="B132" s="202" t="s">
        <v>147</v>
      </c>
      <c r="C132" s="316">
        <v>0</v>
      </c>
      <c r="D132" s="317">
        <v>0</v>
      </c>
      <c r="E132" s="318">
        <v>0</v>
      </c>
      <c r="F132" s="318">
        <v>0</v>
      </c>
      <c r="G132" s="318">
        <v>0</v>
      </c>
      <c r="H132" s="318">
        <v>0</v>
      </c>
      <c r="I132" s="318">
        <v>0</v>
      </c>
      <c r="J132" s="318">
        <v>0</v>
      </c>
      <c r="K132" s="318">
        <v>0</v>
      </c>
      <c r="L132" s="318">
        <v>0</v>
      </c>
      <c r="M132" s="318">
        <v>0</v>
      </c>
      <c r="N132" s="318">
        <v>0</v>
      </c>
      <c r="O132" s="318">
        <v>0</v>
      </c>
      <c r="P132" s="318">
        <v>0</v>
      </c>
      <c r="Q132" s="319">
        <f>SUM(E132:P132)</f>
        <v>0</v>
      </c>
      <c r="R132" s="320">
        <f t="shared" ref="R132:R133" si="64">AVERAGE(E132:P132)</f>
        <v>0</v>
      </c>
      <c r="S132" s="202"/>
      <c r="T132" s="245">
        <f t="shared" si="52"/>
        <v>0</v>
      </c>
      <c r="U132" s="245">
        <f t="shared" si="45"/>
        <v>0</v>
      </c>
    </row>
    <row r="133" spans="1:21" x14ac:dyDescent="0.2">
      <c r="A133" s="246"/>
      <c r="B133" s="202" t="s">
        <v>148</v>
      </c>
      <c r="C133" s="316">
        <v>0</v>
      </c>
      <c r="D133" s="317">
        <v>0</v>
      </c>
      <c r="E133" s="318">
        <v>0</v>
      </c>
      <c r="F133" s="318">
        <v>0</v>
      </c>
      <c r="G133" s="318">
        <v>0</v>
      </c>
      <c r="H133" s="318">
        <v>0</v>
      </c>
      <c r="I133" s="318">
        <v>0</v>
      </c>
      <c r="J133" s="318">
        <v>0</v>
      </c>
      <c r="K133" s="318">
        <v>0</v>
      </c>
      <c r="L133" s="318">
        <v>0</v>
      </c>
      <c r="M133" s="318">
        <v>0</v>
      </c>
      <c r="N133" s="318">
        <v>0</v>
      </c>
      <c r="O133" s="318">
        <v>0</v>
      </c>
      <c r="P133" s="318">
        <v>0</v>
      </c>
      <c r="Q133" s="319">
        <f>SUM(E133:P133)</f>
        <v>0</v>
      </c>
      <c r="R133" s="320">
        <f t="shared" si="64"/>
        <v>0</v>
      </c>
      <c r="S133" s="202"/>
      <c r="T133" s="245">
        <f t="shared" si="52"/>
        <v>0</v>
      </c>
      <c r="U133" s="245">
        <f t="shared" si="45"/>
        <v>0</v>
      </c>
    </row>
    <row r="134" spans="1:21" ht="13.5" thickBot="1" x14ac:dyDescent="0.25">
      <c r="A134" s="246" t="s">
        <v>149</v>
      </c>
      <c r="C134" s="321">
        <f>SUM(C132:C133)</f>
        <v>0</v>
      </c>
      <c r="D134" s="322">
        <f t="shared" ref="D134:Q134" si="65">SUM(D132:D133)</f>
        <v>0</v>
      </c>
      <c r="E134" s="323">
        <f t="shared" si="65"/>
        <v>0</v>
      </c>
      <c r="F134" s="324">
        <f t="shared" si="65"/>
        <v>0</v>
      </c>
      <c r="G134" s="324">
        <f t="shared" si="65"/>
        <v>0</v>
      </c>
      <c r="H134" s="324">
        <f>SUM(H132:H133)</f>
        <v>0</v>
      </c>
      <c r="I134" s="324">
        <f>SUM(I132:I133)</f>
        <v>0</v>
      </c>
      <c r="J134" s="324">
        <f t="shared" si="65"/>
        <v>0</v>
      </c>
      <c r="K134" s="324">
        <f t="shared" si="65"/>
        <v>0</v>
      </c>
      <c r="L134" s="324">
        <f t="shared" si="65"/>
        <v>0</v>
      </c>
      <c r="M134" s="324">
        <f t="shared" si="65"/>
        <v>0</v>
      </c>
      <c r="N134" s="324">
        <f t="shared" si="65"/>
        <v>0</v>
      </c>
      <c r="O134" s="324">
        <f t="shared" si="65"/>
        <v>0</v>
      </c>
      <c r="P134" s="324">
        <f t="shared" si="65"/>
        <v>0</v>
      </c>
      <c r="Q134" s="325">
        <f t="shared" si="65"/>
        <v>0</v>
      </c>
      <c r="R134" s="326">
        <f>AVERAGE(E134:P134)</f>
        <v>0</v>
      </c>
      <c r="T134" s="295">
        <f t="shared" si="52"/>
        <v>0</v>
      </c>
      <c r="U134" s="295">
        <f t="shared" si="45"/>
        <v>0</v>
      </c>
    </row>
    <row r="135" spans="1:21" ht="26.25" thickBot="1" x14ac:dyDescent="0.25">
      <c r="A135" s="246" t="s">
        <v>150</v>
      </c>
      <c r="C135" s="298">
        <f>C134+C128</f>
        <v>854603.36399999994</v>
      </c>
      <c r="D135" s="299">
        <f t="shared" ref="D135:P135" si="66">D134+D128</f>
        <v>71216.946999999986</v>
      </c>
      <c r="E135" s="300">
        <f t="shared" si="66"/>
        <v>79202.725457213732</v>
      </c>
      <c r="F135" s="301">
        <f t="shared" si="66"/>
        <v>76564.734390847327</v>
      </c>
      <c r="G135" s="301">
        <f t="shared" si="66"/>
        <v>76754.21600284733</v>
      </c>
      <c r="H135" s="301">
        <f t="shared" si="66"/>
        <v>78176.44962203053</v>
      </c>
      <c r="I135" s="301">
        <f>I134+I128</f>
        <v>80219.862704793733</v>
      </c>
      <c r="J135" s="301">
        <f t="shared" si="66"/>
        <v>75911.790612864119</v>
      </c>
      <c r="K135" s="301">
        <f t="shared" si="66"/>
        <v>78305.964427579995</v>
      </c>
      <c r="L135" s="301">
        <f t="shared" si="66"/>
        <v>78614.21814812001</v>
      </c>
      <c r="M135" s="301">
        <f t="shared" si="66"/>
        <v>77504.857322659998</v>
      </c>
      <c r="N135" s="301">
        <f t="shared" si="66"/>
        <v>80346.628381579998</v>
      </c>
      <c r="O135" s="301">
        <f t="shared" si="66"/>
        <v>77627.959826659993</v>
      </c>
      <c r="P135" s="301">
        <f t="shared" si="66"/>
        <v>78987.29410412001</v>
      </c>
      <c r="Q135" s="302">
        <f>Q134+Q128</f>
        <v>938216.70100131677</v>
      </c>
      <c r="R135" s="303">
        <f t="shared" si="44"/>
        <v>78184.72508344306</v>
      </c>
      <c r="T135" s="216">
        <f t="shared" si="52"/>
        <v>0.76569241698997059</v>
      </c>
      <c r="U135" s="216">
        <f t="shared" si="45"/>
        <v>9.7838764184079247E-2</v>
      </c>
    </row>
    <row r="136" spans="1:21" ht="13.5" thickBot="1" x14ac:dyDescent="0.25">
      <c r="A136" s="246" t="s">
        <v>151</v>
      </c>
      <c r="C136" s="298">
        <f>C34-C135</f>
        <v>194002.90600000008</v>
      </c>
      <c r="D136" s="299">
        <f t="shared" ref="D136:Q136" si="67">D34-D135</f>
        <v>16166.908833333349</v>
      </c>
      <c r="E136" s="300">
        <f t="shared" si="67"/>
        <v>16886.274542786268</v>
      </c>
      <c r="F136" s="301">
        <f t="shared" si="67"/>
        <v>19524.265609152673</v>
      </c>
      <c r="G136" s="301">
        <f t="shared" si="67"/>
        <v>26559.78399715267</v>
      </c>
      <c r="H136" s="301">
        <f t="shared" si="67"/>
        <v>25137.55037796947</v>
      </c>
      <c r="I136" s="301">
        <f t="shared" si="67"/>
        <v>23094.137295206267</v>
      </c>
      <c r="J136" s="301">
        <f t="shared" si="67"/>
        <v>27402.209387135881</v>
      </c>
      <c r="K136" s="301">
        <f t="shared" si="67"/>
        <v>25008.035572420005</v>
      </c>
      <c r="L136" s="301">
        <f t="shared" si="67"/>
        <v>24699.78185187999</v>
      </c>
      <c r="M136" s="301">
        <f t="shared" si="67"/>
        <v>25809.142677340002</v>
      </c>
      <c r="N136" s="301">
        <f t="shared" si="67"/>
        <v>22967.371618420002</v>
      </c>
      <c r="O136" s="301">
        <f t="shared" si="67"/>
        <v>25686.040173340007</v>
      </c>
      <c r="P136" s="301">
        <f t="shared" si="67"/>
        <v>24326.70589587999</v>
      </c>
      <c r="Q136" s="302">
        <f t="shared" si="67"/>
        <v>287101.29899868323</v>
      </c>
      <c r="R136" s="303">
        <f>AVERAGE(E136:P136)</f>
        <v>23925.108249890269</v>
      </c>
      <c r="T136" s="216">
        <f>Q136/$Q$34</f>
        <v>0.23430758301002941</v>
      </c>
      <c r="U136" s="216">
        <f t="shared" si="45"/>
        <v>0.47988143537748407</v>
      </c>
    </row>
    <row r="137" spans="1:21" ht="13.5" thickBot="1" x14ac:dyDescent="0.25">
      <c r="A137" s="246" t="s">
        <v>152</v>
      </c>
      <c r="C137" s="327">
        <f t="shared" ref="C137:Q137" si="68">IFERROR(C136/C34,0)</f>
        <v>0.18501024793605333</v>
      </c>
      <c r="D137" s="328">
        <f t="shared" si="68"/>
        <v>0.18501024793605345</v>
      </c>
      <c r="E137" s="306">
        <f t="shared" si="68"/>
        <v>0.17573577144924257</v>
      </c>
      <c r="F137" s="307">
        <f t="shared" si="68"/>
        <v>0.20318939326200369</v>
      </c>
      <c r="G137" s="307">
        <f t="shared" si="68"/>
        <v>0.25707826622870733</v>
      </c>
      <c r="H137" s="307">
        <f t="shared" si="68"/>
        <v>0.24331213947741323</v>
      </c>
      <c r="I137" s="307">
        <f t="shared" si="68"/>
        <v>0.22353347363577314</v>
      </c>
      <c r="J137" s="307">
        <f t="shared" si="68"/>
        <v>0.26523229559532957</v>
      </c>
      <c r="K137" s="307">
        <f t="shared" si="68"/>
        <v>0.24205853584625517</v>
      </c>
      <c r="L137" s="307">
        <f t="shared" si="68"/>
        <v>0.23907487709197195</v>
      </c>
      <c r="M137" s="307">
        <f t="shared" si="68"/>
        <v>0.24981263601583523</v>
      </c>
      <c r="N137" s="307">
        <f t="shared" si="68"/>
        <v>0.22230647945505935</v>
      </c>
      <c r="O137" s="307">
        <f t="shared" si="68"/>
        <v>0.24862109852817629</v>
      </c>
      <c r="P137" s="307">
        <f t="shared" si="68"/>
        <v>0.23546378899161768</v>
      </c>
      <c r="Q137" s="308">
        <f t="shared" si="68"/>
        <v>0.23430758301002941</v>
      </c>
      <c r="R137" s="329">
        <f t="shared" si="44"/>
        <v>0.23378489629811541</v>
      </c>
      <c r="T137" s="330"/>
      <c r="U137" s="330">
        <f t="shared" si="45"/>
        <v>0.26645732127776584</v>
      </c>
    </row>
    <row r="138" spans="1:21" x14ac:dyDescent="0.2">
      <c r="F138" s="331"/>
      <c r="G138" s="331"/>
      <c r="H138" s="331"/>
      <c r="I138" s="331"/>
      <c r="J138" s="331"/>
      <c r="K138" s="331"/>
      <c r="L138" s="331"/>
      <c r="M138" s="331"/>
      <c r="N138" s="331"/>
      <c r="O138" s="331"/>
      <c r="P138" s="331"/>
      <c r="Q138" s="332"/>
    </row>
    <row r="139" spans="1:21" x14ac:dyDescent="0.2">
      <c r="B139" s="333" t="s">
        <v>1</v>
      </c>
      <c r="C139" s="333" t="s">
        <v>1</v>
      </c>
    </row>
  </sheetData>
  <mergeCells count="3">
    <mergeCell ref="A1:Q1"/>
    <mergeCell ref="A2:Q2"/>
    <mergeCell ref="A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ExtraData</vt:lpstr>
      <vt:lpstr>DataDear</vt:lpstr>
      <vt:lpstr>ExtraData (2)</vt:lpstr>
      <vt:lpstr>DataDear (2)</vt:lpstr>
      <vt:lpstr>Admin</vt:lpstr>
      <vt:lpstr>Dallas</vt:lpstr>
      <vt:lpstr>Garden Oaks</vt:lpstr>
      <vt:lpstr>Hill Country</vt:lpstr>
      <vt:lpstr>Montrose</vt:lpstr>
      <vt:lpstr>Austin</vt:lpstr>
      <vt:lpstr>Cinco Ranch</vt:lpstr>
      <vt:lpstr>Clear Lake</vt:lpstr>
      <vt:lpstr>Conroe</vt:lpstr>
      <vt:lpstr>Energy Corridor</vt:lpstr>
      <vt:lpstr>Galleria</vt:lpstr>
      <vt:lpstr>Humble</vt:lpstr>
      <vt:lpstr>Jersey Village</vt:lpstr>
      <vt:lpstr>North Loop</vt:lpstr>
      <vt:lpstr>Pasadena</vt:lpstr>
      <vt:lpstr>Round Rock</vt:lpstr>
      <vt:lpstr>San Antonio</vt:lpstr>
      <vt:lpstr>San Marcos</vt:lpstr>
      <vt:lpstr>Sugarland</vt:lpstr>
      <vt:lpstr>The Woodlands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Dannucci-Bowles</dc:creator>
  <cp:lastModifiedBy>Rachael Dannucci-Bowles</cp:lastModifiedBy>
  <dcterms:created xsi:type="dcterms:W3CDTF">2024-02-06T00:05:35Z</dcterms:created>
  <dcterms:modified xsi:type="dcterms:W3CDTF">2024-02-07T19:42:32Z</dcterms:modified>
</cp:coreProperties>
</file>