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bdul manan\Desktop\"/>
    </mc:Choice>
  </mc:AlternateContent>
  <xr:revisionPtr revIDLastSave="0" documentId="8_{130A4DC4-9B9C-4842-890E-034CE5D8C469}" xr6:coauthVersionLast="36" xr6:coauthVersionMax="36" xr10:uidLastSave="{00000000-0000-0000-0000-000000000000}"/>
  <bookViews>
    <workbookView xWindow="0" yWindow="0" windowWidth="28800" windowHeight="14100" activeTab="2" xr2:uid="{00000000-000D-0000-FFFF-FFFF00000000}"/>
  </bookViews>
  <sheets>
    <sheet name="Frame discription" sheetId="2" r:id="rId1"/>
    <sheet name="Material" sheetId="1" r:id="rId2"/>
    <sheet name="Base Shear" sheetId="3" r:id="rId3"/>
    <sheet name="Story shear" sheetId="4" r:id="rId4"/>
  </sheets>
  <definedNames>
    <definedName name="_xlnm.Print_Area" localSheetId="2">'Base Shear'!$A$1:$H$131</definedName>
    <definedName name="_xlnm.Print_Area" localSheetId="3">'Story shear'!$A$1:$I$57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4" l="1"/>
  <c r="G8" i="4"/>
  <c r="G7" i="4"/>
  <c r="G6" i="4"/>
  <c r="G5" i="4"/>
  <c r="G4" i="4"/>
  <c r="G3" i="4"/>
  <c r="H3" i="4" l="1"/>
  <c r="B48" i="4" s="1"/>
  <c r="B57" i="4" l="1"/>
  <c r="H4" i="4"/>
  <c r="B49" i="4" s="1"/>
  <c r="B56" i="4" s="1"/>
  <c r="F110" i="3"/>
  <c r="F102" i="3"/>
  <c r="B109" i="3"/>
  <c r="F109" i="3" s="1"/>
  <c r="G11" i="4" s="1"/>
  <c r="B105" i="3"/>
  <c r="B101" i="3"/>
  <c r="F101" i="3" s="1"/>
  <c r="B77" i="3"/>
  <c r="B76" i="3"/>
  <c r="B68" i="3"/>
  <c r="B67" i="3"/>
  <c r="G16" i="4" l="1"/>
  <c r="C48" i="4"/>
  <c r="G14" i="4"/>
  <c r="C51" i="4" s="1"/>
  <c r="C54" i="4" s="1"/>
  <c r="H5" i="4"/>
  <c r="B50" i="4" s="1"/>
  <c r="B55" i="4" s="1"/>
  <c r="B78" i="3"/>
  <c r="C57" i="4" l="1"/>
  <c r="D48" i="4"/>
  <c r="D57" i="4" s="1"/>
  <c r="H6" i="4"/>
  <c r="B51" i="4" s="1"/>
  <c r="B54" i="4" l="1"/>
  <c r="D51" i="4"/>
  <c r="D54" i="4" s="1"/>
  <c r="H7" i="4"/>
  <c r="H8" i="4" s="1"/>
  <c r="H9" i="4" s="1"/>
  <c r="B69" i="3"/>
  <c r="B51" i="3"/>
  <c r="B22" i="3"/>
  <c r="B41" i="3"/>
  <c r="B40" i="3"/>
  <c r="B13" i="3" l="1"/>
  <c r="B28" i="3" s="1"/>
  <c r="G30" i="4" s="1"/>
  <c r="B26" i="3" l="1"/>
  <c r="B7" i="3"/>
  <c r="B6" i="3"/>
  <c r="B8" i="3"/>
  <c r="B18" i="1"/>
  <c r="B17" i="1"/>
  <c r="B16" i="1"/>
  <c r="B15" i="1"/>
  <c r="B14" i="1"/>
  <c r="B13" i="1"/>
  <c r="B12" i="1"/>
  <c r="B11" i="1"/>
  <c r="F5" i="2"/>
  <c r="B8" i="1" s="1"/>
  <c r="D5" i="2"/>
  <c r="B5" i="2"/>
  <c r="B4" i="1" s="1"/>
  <c r="B6" i="1" l="1"/>
  <c r="D22" i="2"/>
  <c r="B7" i="1" s="1"/>
  <c r="B20" i="2"/>
  <c r="B5" i="1" s="1"/>
  <c r="L19" i="4" s="1"/>
  <c r="B79" i="3"/>
  <c r="B70" i="3"/>
  <c r="B50" i="3"/>
  <c r="B63" i="3" s="1"/>
  <c r="B44" i="3"/>
  <c r="B46" i="2"/>
  <c r="F24" i="2"/>
  <c r="B9" i="1" s="1"/>
  <c r="F106" i="3" l="1"/>
  <c r="F105" i="3"/>
  <c r="G13" i="4" s="1"/>
  <c r="B82" i="3"/>
  <c r="B80" i="3"/>
  <c r="B86" i="3" s="1"/>
  <c r="B81" i="3"/>
  <c r="B72" i="3"/>
  <c r="B85" i="3" s="1"/>
  <c r="B71" i="3"/>
  <c r="B73" i="3"/>
  <c r="B48" i="2"/>
  <c r="B20" i="1" s="1"/>
  <c r="B47" i="2"/>
  <c r="B19" i="1" s="1"/>
  <c r="G22" i="4"/>
  <c r="G21" i="4"/>
  <c r="B87" i="3" l="1"/>
  <c r="B88" i="3" s="1"/>
  <c r="B96" i="3" s="1"/>
  <c r="G19" i="4"/>
  <c r="G20" i="4"/>
  <c r="G18" i="4"/>
  <c r="F113" i="3"/>
  <c r="B121" i="3" s="1"/>
  <c r="G12" i="4"/>
  <c r="G17" i="4"/>
  <c r="C50" i="4"/>
  <c r="C49" i="4"/>
  <c r="B90" i="3"/>
  <c r="B91" i="3"/>
  <c r="B95" i="3"/>
  <c r="B94" i="3"/>
  <c r="B119" i="3"/>
  <c r="B116" i="3"/>
  <c r="B120" i="3"/>
  <c r="B115" i="3"/>
  <c r="G23" i="4" l="1"/>
  <c r="E36" i="4" s="1"/>
  <c r="B97" i="3"/>
  <c r="C56" i="4"/>
  <c r="D49" i="4"/>
  <c r="C55" i="4"/>
  <c r="D50" i="4"/>
  <c r="B122" i="3"/>
  <c r="B125" i="3" s="1"/>
  <c r="E37" i="4"/>
  <c r="E38" i="4"/>
  <c r="E40" i="4"/>
  <c r="E39" i="4"/>
  <c r="E35" i="4"/>
  <c r="E34" i="4"/>
  <c r="D55" i="4" l="1"/>
  <c r="D56" i="4"/>
  <c r="D52" i="4"/>
  <c r="E49" i="4"/>
  <c r="E56" i="4" s="1"/>
  <c r="G39" i="4"/>
  <c r="G34" i="4"/>
  <c r="F48" i="4" s="1"/>
  <c r="F57" i="4" s="1"/>
  <c r="G36" i="4"/>
  <c r="F50" i="4" s="1"/>
  <c r="F55" i="4" s="1"/>
  <c r="G38" i="4"/>
  <c r="G40" i="4"/>
  <c r="G37" i="4"/>
  <c r="G35" i="4"/>
  <c r="F49" i="4" s="1"/>
  <c r="F56" i="4" s="1"/>
  <c r="G28" i="4"/>
  <c r="E51" i="4" l="1"/>
  <c r="E54" i="4" s="1"/>
  <c r="E48" i="4"/>
  <c r="E57" i="4" s="1"/>
  <c r="E50" i="4"/>
  <c r="E55" i="4" s="1"/>
  <c r="N43" i="4"/>
  <c r="G43" i="4"/>
  <c r="G44" i="4" s="1"/>
  <c r="F51" i="4" s="1"/>
  <c r="F5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ABDUL MANNAN</author>
  </authors>
  <commentList>
    <comment ref="F10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ABDUL MANNAN:</t>
        </r>
        <r>
          <rPr>
            <sz val="9"/>
            <color indexed="81"/>
            <rFont val="Tahoma"/>
            <family val="2"/>
          </rPr>
          <t xml:space="preserve">
no of story minus 2 weil top and bottom story caluated different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ABDUL MANNAN</author>
  </authors>
  <commentList>
    <comment ref="G4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ABDUL MANNAN:</t>
        </r>
        <r>
          <rPr>
            <sz val="9"/>
            <color indexed="81"/>
            <rFont val="Tahoma"/>
            <family val="2"/>
          </rPr>
          <t xml:space="preserve">
Searching for top floor and then give the top floor force
</t>
        </r>
      </text>
    </comment>
    <comment ref="G4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ABDUL MANNAN:</t>
        </r>
        <r>
          <rPr>
            <sz val="9"/>
            <color indexed="81"/>
            <rFont val="Tahoma"/>
            <family val="2"/>
          </rPr>
          <t xml:space="preserve">
This step adds the ft</t>
        </r>
      </text>
    </comment>
  </commentList>
</comments>
</file>

<file path=xl/sharedStrings.xml><?xml version="1.0" encoding="utf-8"?>
<sst xmlns="http://schemas.openxmlformats.org/spreadsheetml/2006/main" count="373" uniqueCount="180">
  <si>
    <t>Project Azure III</t>
  </si>
  <si>
    <t>INPUT:</t>
  </si>
  <si>
    <t>Matriculation Nr.</t>
  </si>
  <si>
    <t>X</t>
  </si>
  <si>
    <t>Y</t>
  </si>
  <si>
    <t>Z</t>
  </si>
  <si>
    <t>Stories</t>
  </si>
  <si>
    <t>No (X)</t>
  </si>
  <si>
    <t>No(Y)</t>
  </si>
  <si>
    <t>Variation</t>
  </si>
  <si>
    <t>Set of Time history</t>
  </si>
  <si>
    <t>RC=LB Infill=Weak System= FIW</t>
  </si>
  <si>
    <t>RC=LB Infill=Weak System=SS</t>
  </si>
  <si>
    <t>RC=LB Infill=MEDIUM System= FIW</t>
  </si>
  <si>
    <t>RC=LB Infill=STRONG System= FIW</t>
  </si>
  <si>
    <t>RC=UB Infill=Weak System= FIW</t>
  </si>
  <si>
    <t>RC=UB Infill=Weak System= SS</t>
  </si>
  <si>
    <t>RC=UB Infill=MEDIUM System= FIW</t>
  </si>
  <si>
    <t>RC=UB Infill=STRONG System= FIW</t>
  </si>
  <si>
    <t>No(Z)</t>
  </si>
  <si>
    <t>Variation I: Stories</t>
  </si>
  <si>
    <t>Variation I:                          Set of TimeHistories</t>
  </si>
  <si>
    <t>Variation II:                         -Arrangement of infill                    -Material Properties</t>
  </si>
  <si>
    <t>Input:</t>
  </si>
  <si>
    <t>Matkl.Nr</t>
  </si>
  <si>
    <t>Matriculation number</t>
  </si>
  <si>
    <t>Young Modulas RC</t>
  </si>
  <si>
    <t>Poisson ratio RC</t>
  </si>
  <si>
    <t>Compressive Strength</t>
  </si>
  <si>
    <t>Tensile Strength,Con</t>
  </si>
  <si>
    <t>Yield Strength,Steel</t>
  </si>
  <si>
    <t>Ultimate Strength,Steel</t>
  </si>
  <si>
    <t>Weight Rc</t>
  </si>
  <si>
    <t>Mass density</t>
  </si>
  <si>
    <t>GPA</t>
  </si>
  <si>
    <t>Mpa</t>
  </si>
  <si>
    <r>
      <t>KN/m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</si>
  <si>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t/m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</si>
  <si>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KN/cm</t>
    </r>
    <r>
      <rPr>
        <vertAlign val="superscript"/>
        <sz val="11"/>
        <color theme="1"/>
        <rFont val="Calibri"/>
        <family val="2"/>
        <scheme val="minor"/>
      </rPr>
      <t>2</t>
    </r>
  </si>
  <si>
    <t>Masonary Material Properties</t>
  </si>
  <si>
    <t>Masonary type</t>
  </si>
  <si>
    <t>Weak</t>
  </si>
  <si>
    <t>Medium</t>
  </si>
  <si>
    <t>Strong</t>
  </si>
  <si>
    <r>
      <t>E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(GPA)</t>
    </r>
  </si>
  <si>
    <r>
      <t>f</t>
    </r>
    <r>
      <rPr>
        <vertAlign val="subscript"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scheme val="minor"/>
      </rPr>
      <t>(Mpa9</t>
    </r>
  </si>
  <si>
    <r>
      <t>f</t>
    </r>
    <r>
      <rPr>
        <vertAlign val="subscript"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scheme val="minor"/>
      </rPr>
      <t>(Mpa)</t>
    </r>
  </si>
  <si>
    <r>
      <t>E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</t>
    </r>
  </si>
  <si>
    <t>(GPA)</t>
  </si>
  <si>
    <r>
      <t>f</t>
    </r>
    <r>
      <rPr>
        <vertAlign val="subscript"/>
        <sz val="11"/>
        <color theme="1"/>
        <rFont val="Calibri"/>
        <family val="2"/>
        <scheme val="minor"/>
      </rPr>
      <t>tp</t>
    </r>
  </si>
  <si>
    <t>(Mpa)</t>
  </si>
  <si>
    <t>1)</t>
  </si>
  <si>
    <t>Base Shear</t>
  </si>
  <si>
    <t>Ca</t>
  </si>
  <si>
    <r>
      <t>C</t>
    </r>
    <r>
      <rPr>
        <vertAlign val="subscript"/>
        <sz val="11"/>
        <color theme="1"/>
        <rFont val="Calibri"/>
        <family val="2"/>
        <scheme val="minor"/>
      </rPr>
      <t>V</t>
    </r>
  </si>
  <si>
    <t>I</t>
  </si>
  <si>
    <t>R</t>
  </si>
  <si>
    <t>Na</t>
  </si>
  <si>
    <r>
      <t>N</t>
    </r>
    <r>
      <rPr>
        <vertAlign val="subscript"/>
        <sz val="11"/>
        <color theme="1"/>
        <rFont val="Calibri"/>
        <family val="2"/>
        <scheme val="minor"/>
      </rPr>
      <t>V</t>
    </r>
  </si>
  <si>
    <t>m</t>
  </si>
  <si>
    <r>
      <t>UBC C</t>
    </r>
    <r>
      <rPr>
        <vertAlign val="subscript"/>
        <sz val="11"/>
        <color theme="1"/>
        <rFont val="Calibri"/>
        <family val="2"/>
        <scheme val="minor"/>
      </rPr>
      <t xml:space="preserve">T </t>
    </r>
  </si>
  <si>
    <r>
      <t>Eurocode 8 C</t>
    </r>
    <r>
      <rPr>
        <vertAlign val="subscript"/>
        <sz val="11"/>
        <color theme="1"/>
        <rFont val="Calibri"/>
        <family val="2"/>
        <scheme val="minor"/>
      </rPr>
      <t>T</t>
    </r>
  </si>
  <si>
    <t>Time Period (eurocode)</t>
  </si>
  <si>
    <t xml:space="preserve">Time Period (UBC) </t>
  </si>
  <si>
    <t>Column:</t>
  </si>
  <si>
    <t>Ax</t>
  </si>
  <si>
    <t>Ay</t>
  </si>
  <si>
    <t>Cx</t>
  </si>
  <si>
    <t>Cy</t>
  </si>
  <si>
    <t>sec</t>
  </si>
  <si>
    <t>Column Weight</t>
  </si>
  <si>
    <t>Dx</t>
  </si>
  <si>
    <t>Dy</t>
  </si>
  <si>
    <t>Bx</t>
  </si>
  <si>
    <t>By</t>
  </si>
  <si>
    <t>nA</t>
  </si>
  <si>
    <t>nB</t>
  </si>
  <si>
    <t>nC</t>
  </si>
  <si>
    <t>nD</t>
  </si>
  <si>
    <t>Story Height</t>
  </si>
  <si>
    <t>0-1</t>
  </si>
  <si>
    <t>.1-2</t>
  </si>
  <si>
    <t>2.-3</t>
  </si>
  <si>
    <t>3.-4</t>
  </si>
  <si>
    <t>4.-5</t>
  </si>
  <si>
    <t>5.-6</t>
  </si>
  <si>
    <t>6.-7</t>
  </si>
  <si>
    <t>N</t>
  </si>
  <si>
    <t>BEAM</t>
  </si>
  <si>
    <t>width</t>
  </si>
  <si>
    <t>depth</t>
  </si>
  <si>
    <t>Intensity</t>
  </si>
  <si>
    <t>KN/m</t>
  </si>
  <si>
    <t>2)</t>
  </si>
  <si>
    <t>3)</t>
  </si>
  <si>
    <t>Length</t>
  </si>
  <si>
    <t>Beam Weight</t>
  </si>
  <si>
    <t>Thickness</t>
  </si>
  <si>
    <r>
      <t>T=Ct . Hn</t>
    </r>
    <r>
      <rPr>
        <vertAlign val="superscript"/>
        <sz val="11"/>
        <color theme="1"/>
        <rFont val="Calibri"/>
        <family val="2"/>
        <scheme val="minor"/>
      </rPr>
      <t>3/4</t>
    </r>
  </si>
  <si>
    <t>Triangular</t>
  </si>
  <si>
    <r>
      <t>KN/m</t>
    </r>
    <r>
      <rPr>
        <vertAlign val="superscript"/>
        <sz val="11"/>
        <color theme="1"/>
        <rFont val="Calibri"/>
        <family val="2"/>
        <scheme val="minor"/>
      </rPr>
      <t>2</t>
    </r>
  </si>
  <si>
    <t>Trapezoidal</t>
  </si>
  <si>
    <t>Total load</t>
  </si>
  <si>
    <t>Uniform load</t>
  </si>
  <si>
    <t>KN</t>
  </si>
  <si>
    <t>Slab load beam AC</t>
  </si>
  <si>
    <t>Slab load beam CA</t>
  </si>
  <si>
    <t>Total weight</t>
  </si>
  <si>
    <t>Total weight Line A</t>
  </si>
  <si>
    <t>Slab ABCD</t>
  </si>
  <si>
    <t>Slab CDBA</t>
  </si>
  <si>
    <t>Longer ,LX</t>
  </si>
  <si>
    <t>Smaller,LY</t>
  </si>
  <si>
    <t>If loads are given</t>
  </si>
  <si>
    <t>Beam load</t>
  </si>
  <si>
    <t>Column load</t>
  </si>
  <si>
    <t>Top floor</t>
  </si>
  <si>
    <t>Middle floors</t>
  </si>
  <si>
    <t>Ground floors</t>
  </si>
  <si>
    <t>=</t>
  </si>
  <si>
    <t>No of columns</t>
  </si>
  <si>
    <t>Base Shear (Eurocode)</t>
  </si>
  <si>
    <t>Base Shear (UBC)</t>
  </si>
  <si>
    <t>Limit of Base shear</t>
  </si>
  <si>
    <t xml:space="preserve">maximum </t>
  </si>
  <si>
    <t>minimum</t>
  </si>
  <si>
    <t>Check</t>
  </si>
  <si>
    <t>Input</t>
  </si>
  <si>
    <t xml:space="preserve">Height of 1st story </t>
  </si>
  <si>
    <t xml:space="preserve">Height of 2nd story </t>
  </si>
  <si>
    <t xml:space="preserve">Height of 3rd story </t>
  </si>
  <si>
    <t xml:space="preserve">Height of 4th story </t>
  </si>
  <si>
    <t xml:space="preserve">Height of 5th story </t>
  </si>
  <si>
    <t xml:space="preserve">Height of 6th story </t>
  </si>
  <si>
    <t xml:space="preserve">Height of 7th story </t>
  </si>
  <si>
    <t xml:space="preserve">Weight of 1st story </t>
  </si>
  <si>
    <t xml:space="preserve">Weight of Middle stories </t>
  </si>
  <si>
    <t xml:space="preserve">Weight of top story </t>
  </si>
  <si>
    <t>Weight of one Middle story</t>
  </si>
  <si>
    <t>w1h1</t>
  </si>
  <si>
    <t>w2h2</t>
  </si>
  <si>
    <t>w3h3</t>
  </si>
  <si>
    <t>w4h4</t>
  </si>
  <si>
    <t>w5h5</t>
  </si>
  <si>
    <t>w6h6</t>
  </si>
  <si>
    <t>w7h7</t>
  </si>
  <si>
    <t>hx</t>
  </si>
  <si>
    <t>Level</t>
  </si>
  <si>
    <t>wihi</t>
  </si>
  <si>
    <t>w7h7'</t>
  </si>
  <si>
    <t>no of story</t>
  </si>
  <si>
    <t>Note :Values 0 in Table means That story does not exist</t>
  </si>
  <si>
    <t>∑Wihi</t>
  </si>
  <si>
    <t>Computation of ft</t>
  </si>
  <si>
    <t>Ft</t>
  </si>
  <si>
    <t>Fx</t>
  </si>
  <si>
    <t>FX1</t>
  </si>
  <si>
    <t>Fx2</t>
  </si>
  <si>
    <t>Fx3</t>
  </si>
  <si>
    <t>Fx4</t>
  </si>
  <si>
    <t>Fx5</t>
  </si>
  <si>
    <t>Fx6</t>
  </si>
  <si>
    <t>FX7</t>
  </si>
  <si>
    <t>Final Output</t>
  </si>
  <si>
    <t>Base shear</t>
  </si>
  <si>
    <t>Add load</t>
  </si>
  <si>
    <t>yes</t>
  </si>
  <si>
    <t xml:space="preserve">Ft </t>
  </si>
  <si>
    <t>Factor</t>
  </si>
  <si>
    <t>Addition of extra Ft at top floor</t>
  </si>
  <si>
    <t>F top</t>
  </si>
  <si>
    <t>Fxtop</t>
  </si>
  <si>
    <t>Additional</t>
  </si>
  <si>
    <t xml:space="preserve">zone </t>
  </si>
  <si>
    <t>z</t>
  </si>
  <si>
    <t>LEVEL</t>
  </si>
  <si>
    <t>wx</t>
  </si>
  <si>
    <t>hx*wx</t>
  </si>
  <si>
    <r>
      <t>hx*wx/</t>
    </r>
    <r>
      <rPr>
        <sz val="11"/>
        <color theme="1"/>
        <rFont val="Calibri"/>
        <family val="2"/>
      </rPr>
      <t>∑hi.wi</t>
    </r>
  </si>
  <si>
    <r>
      <t>H</t>
    </r>
    <r>
      <rPr>
        <vertAlign val="subscript"/>
        <sz val="11"/>
        <color rgb="FFFF0000"/>
        <rFont val="Calibri"/>
        <family val="2"/>
        <scheme val="minor"/>
      </rPr>
      <t>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</si>
</sst>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7" borderId="3" xfId="0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7" borderId="7" xfId="0" applyFill="1" applyBorder="1" applyAlignment="1">
      <alignment horizontal="center" wrapText="1"/>
    </xf>
    <xf numFmtId="0" fontId="0" fillId="8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9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10" borderId="1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9" borderId="0" xfId="0" applyFill="1" applyAlignment="1">
      <alignment horizontal="left"/>
    </xf>
    <xf numFmtId="0" fontId="0" fillId="9" borderId="1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/>
    <xf numFmtId="0" fontId="8" fillId="0" borderId="0" xfId="0" applyFont="1"/>
    <xf numFmtId="0" fontId="0" fillId="0" borderId="0" xfId="0" applyFill="1" applyAlignment="1">
      <alignment horizontal="center"/>
    </xf>
    <xf numFmtId="0" fontId="0" fillId="0" borderId="0" xfId="0" applyFill="1"/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6" borderId="0" xfId="0" applyFill="1" applyAlignment="1"/>
    <xf numFmtId="0" fontId="0" fillId="7" borderId="17" xfId="0" applyFill="1" applyBorder="1" applyAlignment="1">
      <alignment horizontal="left"/>
    </xf>
    <xf numFmtId="0" fontId="0" fillId="7" borderId="19" xfId="0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7" fillId="6" borderId="17" xfId="0" applyFont="1" applyFill="1" applyBorder="1" applyAlignment="1">
      <alignment horizontal="center"/>
    </xf>
    <xf numFmtId="0" fontId="7" fillId="6" borderId="18" xfId="0" applyFont="1" applyFill="1" applyBorder="1" applyAlignment="1">
      <alignment horizontal="center"/>
    </xf>
    <xf numFmtId="0" fontId="7" fillId="6" borderId="19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jpeg"/><Relationship Id="rId4" Type="http://schemas.openxmlformats.org/officeDocument/2006/relationships/image" Target="../media/image6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377079</xdr:colOff>
      <xdr:row>7</xdr:row>
      <xdr:rowOff>78442</xdr:rowOff>
    </xdr:from>
    <xdr:to>
      <xdr:col>15</xdr:col>
      <xdr:colOff>22412</xdr:colOff>
      <xdr:row>15</xdr:row>
      <xdr:rowOff>514552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6550" y="2129118"/>
          <a:ext cx="4486274" cy="4739169"/>
        </a:xfrm>
        <a:prstGeom prst="rect">
          <a:avLst/>
        </a:prstGeom>
      </xdr:spPr>
    </xdr:pic>
    <xdr:clientData/>
  </xdr:twoCellAnchor>
  <xdr:twoCellAnchor editAs="oneCell">
    <xdr:from>
      <xdr:col>7</xdr:col>
      <xdr:colOff>291352</xdr:colOff>
      <xdr:row>0</xdr:row>
      <xdr:rowOff>11206</xdr:rowOff>
    </xdr:from>
    <xdr:to>
      <xdr:col>15</xdr:col>
      <xdr:colOff>126601</xdr:colOff>
      <xdr:row>7</xdr:row>
      <xdr:rowOff>27197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0823" y="11206"/>
          <a:ext cx="4676190" cy="20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14288</xdr:colOff>
      <xdr:row>0</xdr:row>
      <xdr:rowOff>0</xdr:rowOff>
    </xdr:from>
    <xdr:to>
      <xdr:col>18</xdr:col>
      <xdr:colOff>271462</xdr:colOff>
      <xdr:row>16</xdr:row>
      <xdr:rowOff>56262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9726" y="0"/>
          <a:ext cx="3352799" cy="329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449238</xdr:colOff>
      <xdr:row>17</xdr:row>
      <xdr:rowOff>4029</xdr:rowOff>
    </xdr:from>
    <xdr:to>
      <xdr:col>18</xdr:col>
      <xdr:colOff>360789</xdr:colOff>
      <xdr:row>48</xdr:row>
      <xdr:rowOff>161220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5551" y="3052029"/>
          <a:ext cx="3469419" cy="6157941"/>
        </a:xfrm>
        <a:prstGeom prst="rect">
          <a:avLst/>
        </a:prstGeom>
      </xdr:spPr>
    </xdr:pic>
    <xdr:clientData/>
  </xdr:twoCellAnchor>
  <xdr:twoCellAnchor editAs="oneCell">
    <xdr:from>
      <xdr:col>21</xdr:col>
      <xdr:colOff>462790</xdr:colOff>
      <xdr:row>2</xdr:row>
      <xdr:rowOff>164617</xdr:rowOff>
    </xdr:from>
    <xdr:to>
      <xdr:col>26</xdr:col>
      <xdr:colOff>43361</xdr:colOff>
      <xdr:row>34</xdr:row>
      <xdr:rowOff>11263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31228" y="545617"/>
          <a:ext cx="2676196" cy="6228396"/>
        </a:xfrm>
        <a:prstGeom prst="rect">
          <a:avLst/>
        </a:prstGeom>
      </xdr:spPr>
    </xdr:pic>
    <xdr:clientData/>
  </xdr:twoCellAnchor>
  <xdr:twoCellAnchor editAs="oneCell">
    <xdr:from>
      <xdr:col>13</xdr:col>
      <xdr:colOff>317478</xdr:colOff>
      <xdr:row>49</xdr:row>
      <xdr:rowOff>81304</xdr:rowOff>
    </xdr:from>
    <xdr:to>
      <xdr:col>16</xdr:col>
      <xdr:colOff>187028</xdr:colOff>
      <xdr:row>58</xdr:row>
      <xdr:rowOff>87151</xdr:rowOff>
    </xdr:to>
    <xdr:pic>
      <xdr:nvPicPr>
        <xdr:cNvPr id="5" name="Picture 4" descr="Image result for one way slab and two way slab differenc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054"/>
        <a:stretch/>
      </xdr:blipFill>
      <xdr:spPr bwMode="auto">
        <a:xfrm>
          <a:off x="9532916" y="9320554"/>
          <a:ext cx="1726925" cy="1720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470647</xdr:colOff>
      <xdr:row>43</xdr:row>
      <xdr:rowOff>29414</xdr:rowOff>
    </xdr:from>
    <xdr:to>
      <xdr:col>32</xdr:col>
      <xdr:colOff>17929</xdr:colOff>
      <xdr:row>67</xdr:row>
      <xdr:rowOff>42301</xdr:rowOff>
    </xdr:to>
    <xdr:pic>
      <xdr:nvPicPr>
        <xdr:cNvPr id="6" name="Picture 5" descr="http://www.sepakistan.com/uploads/monthly_07_2013/post-1328-0-11777700-1375212777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9960" y="8125664"/>
          <a:ext cx="6976782" cy="4584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49024</xdr:colOff>
      <xdr:row>59</xdr:row>
      <xdr:rowOff>131670</xdr:rowOff>
    </xdr:from>
    <xdr:to>
      <xdr:col>21</xdr:col>
      <xdr:colOff>11950</xdr:colOff>
      <xdr:row>75</xdr:row>
      <xdr:rowOff>59343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45337" y="11275920"/>
          <a:ext cx="5364162" cy="3040616"/>
        </a:xfrm>
        <a:prstGeom prst="rect">
          <a:avLst/>
        </a:prstGeom>
      </xdr:spPr>
    </xdr:pic>
    <xdr:clientData/>
  </xdr:twoCellAnchor>
  <xdr:twoCellAnchor editAs="oneCell">
    <xdr:from>
      <xdr:col>14</xdr:col>
      <xdr:colOff>304963</xdr:colOff>
      <xdr:row>17</xdr:row>
      <xdr:rowOff>60058</xdr:rowOff>
    </xdr:from>
    <xdr:to>
      <xdr:col>15</xdr:col>
      <xdr:colOff>480797</xdr:colOff>
      <xdr:row>19</xdr:row>
      <xdr:rowOff>40963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45551" y="3052029"/>
          <a:ext cx="780952" cy="3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99391</xdr:colOff>
      <xdr:row>108</xdr:row>
      <xdr:rowOff>0</xdr:rowOff>
    </xdr:from>
    <xdr:to>
      <xdr:col>20</xdr:col>
      <xdr:colOff>462468</xdr:colOff>
      <xdr:row>113</xdr:row>
      <xdr:rowOff>104643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67130" y="20474609"/>
          <a:ext cx="7552381" cy="10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472385</xdr:colOff>
      <xdr:row>0</xdr:row>
      <xdr:rowOff>13667</xdr:rowOff>
    </xdr:from>
    <xdr:to>
      <xdr:col>13</xdr:col>
      <xdr:colOff>433966</xdr:colOff>
      <xdr:row>9</xdr:row>
      <xdr:rowOff>165834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785" y="13667"/>
          <a:ext cx="2542856" cy="18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544581</xdr:colOff>
      <xdr:row>10</xdr:row>
      <xdr:rowOff>28160</xdr:rowOff>
    </xdr:from>
    <xdr:to>
      <xdr:col>13</xdr:col>
      <xdr:colOff>509475</xdr:colOff>
      <xdr:row>17</xdr:row>
      <xdr:rowOff>27993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0981" y="1933160"/>
          <a:ext cx="2546169" cy="1333333"/>
        </a:xfrm>
        <a:prstGeom prst="rect">
          <a:avLst/>
        </a:prstGeom>
      </xdr:spPr>
    </xdr:pic>
    <xdr:clientData/>
  </xdr:twoCellAnchor>
  <xdr:twoCellAnchor editAs="oneCell">
    <xdr:from>
      <xdr:col>9</xdr:col>
      <xdr:colOff>569291</xdr:colOff>
      <xdr:row>21</xdr:row>
      <xdr:rowOff>74406</xdr:rowOff>
    </xdr:from>
    <xdr:to>
      <xdr:col>20</xdr:col>
      <xdr:colOff>60325</xdr:colOff>
      <xdr:row>39</xdr:row>
      <xdr:rowOff>88494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1916" y="4074906"/>
          <a:ext cx="6339509" cy="3443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opLeftCell="A25" zoomScale="85" zoomScaleNormal="85" workbookViewId="0">
      <selection activeCell="G4" sqref="G4"/>
    </sheetView>
  </sheetViews>
  <sheetFormatPr defaultRowHeight="15" x14ac:dyDescent="0.25"/>
  <cols>
    <col min="1" max="1" width="10.85546875" style="1" customWidth="1"/>
    <col min="2" max="2" width="15" style="1" customWidth="1"/>
    <col min="3" max="3" width="8.7109375" style="1" customWidth="1"/>
    <col min="4" max="4" width="22.140625" style="1" customWidth="1"/>
    <col min="5" max="5" width="7.140625" style="1" customWidth="1"/>
    <col min="6" max="6" width="18.42578125" style="1" customWidth="1"/>
    <col min="7" max="16384" width="9.140625" style="1"/>
  </cols>
  <sheetData>
    <row r="1" spans="1:7" x14ac:dyDescent="0.25">
      <c r="A1" s="1" t="s">
        <v>23</v>
      </c>
    </row>
    <row r="2" spans="1:7" x14ac:dyDescent="0.25">
      <c r="B2" s="78" t="s">
        <v>25</v>
      </c>
      <c r="C2" s="78"/>
      <c r="D2" s="78"/>
      <c r="E2" s="78"/>
      <c r="F2" s="78"/>
      <c r="G2" s="78"/>
    </row>
    <row r="3" spans="1:7" x14ac:dyDescent="0.25">
      <c r="A3" s="1" t="s">
        <v>24</v>
      </c>
      <c r="B3" s="9">
        <v>1</v>
      </c>
      <c r="C3" s="9">
        <v>1</v>
      </c>
      <c r="D3" s="9">
        <v>9</v>
      </c>
      <c r="E3" s="9">
        <v>1</v>
      </c>
      <c r="F3" s="9">
        <v>8</v>
      </c>
      <c r="G3" s="9">
        <v>9</v>
      </c>
    </row>
    <row r="5" spans="1:7" x14ac:dyDescent="0.25">
      <c r="A5" s="13" t="s">
        <v>3</v>
      </c>
      <c r="B5" s="14">
        <f>E3</f>
        <v>1</v>
      </c>
      <c r="C5" s="13" t="s">
        <v>4</v>
      </c>
      <c r="D5" s="14">
        <f>F3</f>
        <v>8</v>
      </c>
      <c r="E5" s="13" t="s">
        <v>5</v>
      </c>
      <c r="F5" s="14">
        <f>G3</f>
        <v>9</v>
      </c>
    </row>
    <row r="6" spans="1:7" x14ac:dyDescent="0.25">
      <c r="A6" s="10"/>
      <c r="B6" s="10"/>
      <c r="C6" s="10"/>
      <c r="D6" s="10"/>
      <c r="E6" s="10"/>
      <c r="F6" s="10"/>
    </row>
    <row r="7" spans="1:7" ht="71.25" customHeight="1" x14ac:dyDescent="0.25">
      <c r="A7" s="3" t="s">
        <v>7</v>
      </c>
      <c r="B7" s="4" t="s">
        <v>20</v>
      </c>
      <c r="C7" s="5" t="s">
        <v>8</v>
      </c>
      <c r="D7" s="6" t="s">
        <v>22</v>
      </c>
      <c r="E7" s="7" t="s">
        <v>19</v>
      </c>
      <c r="F7" s="8" t="s">
        <v>21</v>
      </c>
    </row>
    <row r="8" spans="1:7" ht="42.75" customHeight="1" x14ac:dyDescent="0.25">
      <c r="A8" s="11">
        <v>0</v>
      </c>
      <c r="B8" s="11">
        <v>3</v>
      </c>
      <c r="C8" s="11">
        <v>0</v>
      </c>
      <c r="D8" s="12" t="s">
        <v>11</v>
      </c>
      <c r="E8" s="11">
        <v>0</v>
      </c>
      <c r="F8" s="11">
        <v>1</v>
      </c>
    </row>
    <row r="9" spans="1:7" ht="42.75" customHeight="1" x14ac:dyDescent="0.25">
      <c r="A9" s="11">
        <v>1</v>
      </c>
      <c r="B9" s="11">
        <v>4</v>
      </c>
      <c r="C9" s="11">
        <v>1</v>
      </c>
      <c r="D9" s="12" t="s">
        <v>12</v>
      </c>
      <c r="E9" s="11">
        <v>1</v>
      </c>
      <c r="F9" s="11">
        <v>2</v>
      </c>
    </row>
    <row r="10" spans="1:7" ht="42.75" customHeight="1" x14ac:dyDescent="0.25">
      <c r="A10" s="11">
        <v>2</v>
      </c>
      <c r="B10" s="11">
        <v>5</v>
      </c>
      <c r="C10" s="11">
        <v>2</v>
      </c>
      <c r="D10" s="12" t="s">
        <v>13</v>
      </c>
      <c r="E10" s="11">
        <v>2</v>
      </c>
      <c r="F10" s="11">
        <v>3</v>
      </c>
    </row>
    <row r="11" spans="1:7" ht="42.75" customHeight="1" x14ac:dyDescent="0.25">
      <c r="A11" s="11">
        <v>3</v>
      </c>
      <c r="B11" s="11">
        <v>6</v>
      </c>
      <c r="C11" s="11">
        <v>3</v>
      </c>
      <c r="D11" s="12" t="s">
        <v>14</v>
      </c>
      <c r="E11" s="11">
        <v>3</v>
      </c>
      <c r="F11" s="11">
        <v>4</v>
      </c>
    </row>
    <row r="12" spans="1:7" ht="42.75" customHeight="1" x14ac:dyDescent="0.25">
      <c r="A12" s="11">
        <v>4</v>
      </c>
      <c r="B12" s="11">
        <v>7</v>
      </c>
      <c r="C12" s="11">
        <v>4</v>
      </c>
      <c r="D12" s="12" t="s">
        <v>14</v>
      </c>
      <c r="E12" s="11">
        <v>4</v>
      </c>
      <c r="F12" s="11">
        <v>5</v>
      </c>
    </row>
    <row r="13" spans="1:7" ht="42.75" customHeight="1" x14ac:dyDescent="0.25">
      <c r="A13" s="11">
        <v>5</v>
      </c>
      <c r="B13" s="11">
        <v>7</v>
      </c>
      <c r="C13" s="11">
        <v>5</v>
      </c>
      <c r="D13" s="12" t="s">
        <v>15</v>
      </c>
      <c r="E13" s="11">
        <v>5</v>
      </c>
      <c r="F13" s="11">
        <v>1</v>
      </c>
    </row>
    <row r="14" spans="1:7" ht="42" customHeight="1" x14ac:dyDescent="0.25">
      <c r="A14" s="11">
        <v>6</v>
      </c>
      <c r="B14" s="11">
        <v>6</v>
      </c>
      <c r="C14" s="11">
        <v>6</v>
      </c>
      <c r="D14" s="12" t="s">
        <v>16</v>
      </c>
      <c r="E14" s="11">
        <v>6</v>
      </c>
      <c r="F14" s="11">
        <v>2</v>
      </c>
    </row>
    <row r="15" spans="1:7" ht="42" customHeight="1" x14ac:dyDescent="0.25">
      <c r="A15" s="11">
        <v>7</v>
      </c>
      <c r="B15" s="11">
        <v>5</v>
      </c>
      <c r="C15" s="11">
        <v>7</v>
      </c>
      <c r="D15" s="12" t="s">
        <v>17</v>
      </c>
      <c r="E15" s="11">
        <v>7</v>
      </c>
      <c r="F15" s="11">
        <v>3</v>
      </c>
    </row>
    <row r="16" spans="1:7" ht="42" customHeight="1" x14ac:dyDescent="0.25">
      <c r="A16" s="11">
        <v>8</v>
      </c>
      <c r="B16" s="11">
        <v>4</v>
      </c>
      <c r="C16" s="11">
        <v>8</v>
      </c>
      <c r="D16" s="12" t="s">
        <v>18</v>
      </c>
      <c r="E16" s="11">
        <v>8</v>
      </c>
      <c r="F16" s="11">
        <v>4</v>
      </c>
    </row>
    <row r="17" spans="1:7" ht="42" customHeight="1" x14ac:dyDescent="0.25">
      <c r="A17" s="11">
        <v>9</v>
      </c>
      <c r="B17" s="11">
        <v>3</v>
      </c>
      <c r="C17" s="11">
        <v>9</v>
      </c>
      <c r="D17" s="12" t="s">
        <v>18</v>
      </c>
      <c r="E17" s="11">
        <v>9</v>
      </c>
      <c r="F17" s="11">
        <v>5</v>
      </c>
    </row>
    <row r="18" spans="1:7" ht="8.25" customHeight="1" x14ac:dyDescent="0.25"/>
    <row r="19" spans="1:7" ht="15.75" thickBot="1" x14ac:dyDescent="0.3">
      <c r="B19" s="16" t="s">
        <v>6</v>
      </c>
    </row>
    <row r="20" spans="1:7" ht="16.5" thickTop="1" thickBot="1" x14ac:dyDescent="0.3">
      <c r="A20" s="18" t="s">
        <v>3</v>
      </c>
      <c r="B20" s="19">
        <f>VLOOKUP(B5,A8:B17,2,FALSE)</f>
        <v>4</v>
      </c>
      <c r="C20" s="20"/>
    </row>
    <row r="21" spans="1:7" ht="43.5" customHeight="1" thickTop="1" thickBot="1" x14ac:dyDescent="0.3">
      <c r="B21" s="17"/>
      <c r="D21" s="21" t="s">
        <v>22</v>
      </c>
    </row>
    <row r="22" spans="1:7" ht="31.5" thickTop="1" thickBot="1" x14ac:dyDescent="0.3">
      <c r="C22" s="18" t="s">
        <v>4</v>
      </c>
      <c r="D22" s="22" t="str">
        <f>VLOOKUP(D5,C8:D17,2,FALSE)</f>
        <v>RC=UB Infill=STRONG System= FIW</v>
      </c>
      <c r="E22" s="20"/>
    </row>
    <row r="23" spans="1:7" ht="46.5" thickTop="1" thickBot="1" x14ac:dyDescent="0.3">
      <c r="D23" s="17"/>
      <c r="F23" s="21" t="s">
        <v>21</v>
      </c>
    </row>
    <row r="24" spans="1:7" ht="16.5" thickTop="1" thickBot="1" x14ac:dyDescent="0.3">
      <c r="E24" s="23" t="s">
        <v>5</v>
      </c>
      <c r="F24" s="24">
        <f>VLOOKUP(F5,E8:F17,2,FALSE)</f>
        <v>5</v>
      </c>
      <c r="G24" s="20"/>
    </row>
    <row r="25" spans="1:7" ht="15.75" thickTop="1" x14ac:dyDescent="0.25">
      <c r="F25" s="17"/>
    </row>
    <row r="27" spans="1:7" x14ac:dyDescent="0.25">
      <c r="A27" s="79" t="s">
        <v>39</v>
      </c>
      <c r="B27" s="79"/>
      <c r="C27" s="79"/>
      <c r="D27" s="79"/>
      <c r="E27" s="79"/>
      <c r="F27" s="79"/>
      <c r="G27" s="79"/>
    </row>
    <row r="29" spans="1:7" ht="30" x14ac:dyDescent="0.25">
      <c r="A29" s="15" t="s">
        <v>40</v>
      </c>
      <c r="B29" s="1" t="s">
        <v>41</v>
      </c>
      <c r="C29" s="1" t="s">
        <v>42</v>
      </c>
      <c r="D29" s="1" t="s">
        <v>43</v>
      </c>
    </row>
    <row r="30" spans="1:7" ht="18" x14ac:dyDescent="0.35">
      <c r="A30" s="1" t="s">
        <v>44</v>
      </c>
      <c r="B30" s="1">
        <v>1.1499999999999999</v>
      </c>
      <c r="C30" s="1">
        <v>2.2999999999999998</v>
      </c>
      <c r="D30" s="1">
        <v>3.45</v>
      </c>
    </row>
    <row r="31" spans="1:7" ht="18" x14ac:dyDescent="0.35">
      <c r="A31" s="1" t="s">
        <v>45</v>
      </c>
      <c r="B31" s="1">
        <v>0.09</v>
      </c>
      <c r="C31" s="1">
        <v>0.13800000000000001</v>
      </c>
      <c r="D31" s="1">
        <v>0.185</v>
      </c>
    </row>
    <row r="33" spans="1:2" x14ac:dyDescent="0.25">
      <c r="A33" s="5" t="s">
        <v>8</v>
      </c>
      <c r="B33" s="15" t="s">
        <v>40</v>
      </c>
    </row>
    <row r="34" spans="1:2" x14ac:dyDescent="0.25">
      <c r="A34" s="11">
        <v>0</v>
      </c>
      <c r="B34" s="1" t="s">
        <v>41</v>
      </c>
    </row>
    <row r="35" spans="1:2" x14ac:dyDescent="0.25">
      <c r="A35" s="11">
        <v>1</v>
      </c>
      <c r="B35" s="1" t="s">
        <v>41</v>
      </c>
    </row>
    <row r="36" spans="1:2" x14ac:dyDescent="0.25">
      <c r="A36" s="11">
        <v>2</v>
      </c>
      <c r="B36" s="1" t="s">
        <v>42</v>
      </c>
    </row>
    <row r="37" spans="1:2" x14ac:dyDescent="0.25">
      <c r="A37" s="11">
        <v>3</v>
      </c>
      <c r="B37" s="1" t="s">
        <v>43</v>
      </c>
    </row>
    <row r="38" spans="1:2" x14ac:dyDescent="0.25">
      <c r="A38" s="11">
        <v>4</v>
      </c>
      <c r="B38" s="1" t="s">
        <v>43</v>
      </c>
    </row>
    <row r="39" spans="1:2" x14ac:dyDescent="0.25">
      <c r="A39" s="11">
        <v>5</v>
      </c>
      <c r="B39" s="1" t="s">
        <v>41</v>
      </c>
    </row>
    <row r="40" spans="1:2" x14ac:dyDescent="0.25">
      <c r="A40" s="11">
        <v>6</v>
      </c>
      <c r="B40" s="1" t="s">
        <v>41</v>
      </c>
    </row>
    <row r="41" spans="1:2" x14ac:dyDescent="0.25">
      <c r="A41" s="11">
        <v>7</v>
      </c>
      <c r="B41" s="1" t="s">
        <v>42</v>
      </c>
    </row>
    <row r="42" spans="1:2" x14ac:dyDescent="0.25">
      <c r="A42" s="11">
        <v>8</v>
      </c>
      <c r="B42" s="1" t="s">
        <v>43</v>
      </c>
    </row>
    <row r="43" spans="1:2" x14ac:dyDescent="0.25">
      <c r="A43" s="11">
        <v>9</v>
      </c>
      <c r="B43" s="1" t="s">
        <v>43</v>
      </c>
    </row>
    <row r="46" spans="1:2" ht="30" x14ac:dyDescent="0.25">
      <c r="A46" s="15" t="s">
        <v>40</v>
      </c>
      <c r="B46" s="1" t="str">
        <f>VLOOKUP(D5,A34:B43,2,FALSE)</f>
        <v>Strong</v>
      </c>
    </row>
    <row r="47" spans="1:2" ht="18" x14ac:dyDescent="0.35">
      <c r="A47" s="1" t="s">
        <v>44</v>
      </c>
      <c r="B47" s="1">
        <f>IF(B46="Strong",D30,IF(B46="Medium",C30,IF(B46="Weak",B30,"check")))</f>
        <v>3.45</v>
      </c>
    </row>
    <row r="48" spans="1:2" ht="18" x14ac:dyDescent="0.35">
      <c r="A48" s="1" t="s">
        <v>46</v>
      </c>
      <c r="B48" s="1">
        <f>IF(B46="Strong",D31,IF(B46="Medium",C31,IF(B46="Weak",B31,"check")))</f>
        <v>0.185</v>
      </c>
    </row>
  </sheetData>
  <mergeCells count="2">
    <mergeCell ref="B2:G2"/>
    <mergeCell ref="A27:G27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F31" sqref="F31"/>
    </sheetView>
  </sheetViews>
  <sheetFormatPr defaultRowHeight="15" x14ac:dyDescent="0.25"/>
  <cols>
    <col min="1" max="1" width="23.28515625" customWidth="1"/>
    <col min="3" max="3" width="9.140625" customWidth="1"/>
    <col min="7" max="7" width="36.140625" customWidth="1"/>
  </cols>
  <sheetData>
    <row r="1" spans="1:10" x14ac:dyDescent="0.25">
      <c r="A1" s="80" t="s">
        <v>0</v>
      </c>
      <c r="B1" s="80"/>
      <c r="C1" s="80"/>
      <c r="D1" s="80"/>
      <c r="E1" s="80"/>
      <c r="F1" s="80"/>
      <c r="G1" s="2"/>
      <c r="H1" s="2"/>
      <c r="I1" s="2"/>
      <c r="J1" s="2"/>
    </row>
    <row r="2" spans="1:10" x14ac:dyDescent="0.25">
      <c r="A2" s="25" t="s">
        <v>1</v>
      </c>
    </row>
    <row r="3" spans="1:10" x14ac:dyDescent="0.25">
      <c r="A3" t="s">
        <v>2</v>
      </c>
      <c r="B3">
        <v>119189</v>
      </c>
    </row>
    <row r="4" spans="1:10" x14ac:dyDescent="0.25">
      <c r="A4" t="s">
        <v>3</v>
      </c>
      <c r="B4">
        <f>'Frame discription'!B5</f>
        <v>1</v>
      </c>
    </row>
    <row r="5" spans="1:10" x14ac:dyDescent="0.25">
      <c r="A5" t="s">
        <v>6</v>
      </c>
      <c r="B5">
        <f>'Frame discription'!B20</f>
        <v>4</v>
      </c>
    </row>
    <row r="6" spans="1:10" x14ac:dyDescent="0.25">
      <c r="A6" t="s">
        <v>4</v>
      </c>
      <c r="B6">
        <f>'Frame discription'!D5</f>
        <v>8</v>
      </c>
    </row>
    <row r="7" spans="1:10" x14ac:dyDescent="0.25">
      <c r="A7" t="s">
        <v>9</v>
      </c>
      <c r="B7" t="str">
        <f>'Frame discription'!D22</f>
        <v>RC=UB Infill=STRONG System= FIW</v>
      </c>
    </row>
    <row r="8" spans="1:10" x14ac:dyDescent="0.25">
      <c r="A8" t="s">
        <v>5</v>
      </c>
      <c r="B8">
        <f>'Frame discription'!F5</f>
        <v>9</v>
      </c>
    </row>
    <row r="9" spans="1:10" x14ac:dyDescent="0.25">
      <c r="A9" t="s">
        <v>10</v>
      </c>
      <c r="B9">
        <f>'Frame discription'!F24</f>
        <v>5</v>
      </c>
    </row>
    <row r="11" spans="1:10" x14ac:dyDescent="0.25">
      <c r="A11" t="s">
        <v>26</v>
      </c>
      <c r="B11">
        <f>28.5</f>
        <v>28.5</v>
      </c>
      <c r="C11" t="s">
        <v>34</v>
      </c>
    </row>
    <row r="12" spans="1:10" x14ac:dyDescent="0.25">
      <c r="A12" t="s">
        <v>27</v>
      </c>
      <c r="B12">
        <f>0.2</f>
        <v>0.2</v>
      </c>
    </row>
    <row r="13" spans="1:10" x14ac:dyDescent="0.25">
      <c r="A13" t="s">
        <v>28</v>
      </c>
      <c r="B13">
        <f>32</f>
        <v>32</v>
      </c>
      <c r="C13" t="s">
        <v>35</v>
      </c>
    </row>
    <row r="14" spans="1:10" ht="17.25" x14ac:dyDescent="0.25">
      <c r="A14" t="s">
        <v>29</v>
      </c>
      <c r="B14">
        <f>0.4</f>
        <v>0.4</v>
      </c>
      <c r="C14" t="s">
        <v>38</v>
      </c>
    </row>
    <row r="15" spans="1:10" x14ac:dyDescent="0.25">
      <c r="A15" t="s">
        <v>30</v>
      </c>
      <c r="B15">
        <f>545.5</f>
        <v>545.5</v>
      </c>
      <c r="C15" t="s">
        <v>35</v>
      </c>
    </row>
    <row r="16" spans="1:10" x14ac:dyDescent="0.25">
      <c r="A16" t="s">
        <v>31</v>
      </c>
      <c r="B16">
        <f>618.8</f>
        <v>618.79999999999995</v>
      </c>
      <c r="C16" t="s">
        <v>35</v>
      </c>
    </row>
    <row r="17" spans="1:3" ht="17.25" x14ac:dyDescent="0.25">
      <c r="A17" t="s">
        <v>32</v>
      </c>
      <c r="B17">
        <f>25</f>
        <v>25</v>
      </c>
      <c r="C17" t="s">
        <v>36</v>
      </c>
    </row>
    <row r="18" spans="1:3" ht="17.25" x14ac:dyDescent="0.25">
      <c r="A18" t="s">
        <v>33</v>
      </c>
      <c r="B18">
        <f>2.55</f>
        <v>2.5499999999999998</v>
      </c>
      <c r="C18" t="s">
        <v>37</v>
      </c>
    </row>
    <row r="19" spans="1:3" ht="18" x14ac:dyDescent="0.35">
      <c r="A19" s="1" t="s">
        <v>47</v>
      </c>
      <c r="B19">
        <f>'Frame discription'!B47</f>
        <v>3.45</v>
      </c>
      <c r="C19" t="s">
        <v>48</v>
      </c>
    </row>
    <row r="20" spans="1:3" ht="18" x14ac:dyDescent="0.35">
      <c r="A20" s="1" t="s">
        <v>49</v>
      </c>
      <c r="B20">
        <f>'Frame discription'!B48</f>
        <v>0.185</v>
      </c>
      <c r="C20" t="s">
        <v>50</v>
      </c>
    </row>
  </sheetData>
  <mergeCells count="1">
    <mergeCell ref="A1:F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25"/>
  <sheetViews>
    <sheetView tabSelected="1" view="pageBreakPreview" topLeftCell="A97" zoomScale="85" zoomScaleNormal="85" zoomScaleSheetLayoutView="85" workbookViewId="0">
      <selection activeCell="B125" sqref="B125"/>
    </sheetView>
  </sheetViews>
  <sheetFormatPr defaultRowHeight="15" x14ac:dyDescent="0.25"/>
  <cols>
    <col min="1" max="1" width="21.7109375" style="36" customWidth="1"/>
    <col min="2" max="2" width="14.28515625" style="26" customWidth="1"/>
    <col min="3" max="3" width="7" style="36" customWidth="1"/>
    <col min="4" max="4" width="9.140625" style="36"/>
    <col min="5" max="5" width="6.7109375" style="36" customWidth="1"/>
    <col min="6" max="6" width="6.7109375" style="26" customWidth="1"/>
    <col min="7" max="8" width="6.7109375" style="36" customWidth="1"/>
    <col min="9" max="12" width="9.140625" style="36"/>
    <col min="13" max="13" width="6.7109375" style="36" customWidth="1"/>
    <col min="14" max="16384" width="9.140625" style="36"/>
  </cols>
  <sheetData>
    <row r="2" spans="1:6" x14ac:dyDescent="0.25">
      <c r="A2" s="36" t="s">
        <v>51</v>
      </c>
    </row>
    <row r="3" spans="1:6" x14ac:dyDescent="0.25">
      <c r="A3" s="37" t="s">
        <v>52</v>
      </c>
    </row>
    <row r="4" spans="1:6" x14ac:dyDescent="0.25">
      <c r="A4" s="36" t="s">
        <v>53</v>
      </c>
      <c r="B4" s="26">
        <v>0.4</v>
      </c>
    </row>
    <row r="5" spans="1:6" ht="18" x14ac:dyDescent="0.35">
      <c r="A5" s="36" t="s">
        <v>54</v>
      </c>
      <c r="B5" s="26">
        <v>0.4</v>
      </c>
    </row>
    <row r="6" spans="1:6" x14ac:dyDescent="0.25">
      <c r="A6" s="36" t="s">
        <v>57</v>
      </c>
      <c r="B6" s="26">
        <f>1</f>
        <v>1</v>
      </c>
    </row>
    <row r="7" spans="1:6" ht="18" x14ac:dyDescent="0.35">
      <c r="A7" s="36" t="s">
        <v>58</v>
      </c>
      <c r="B7" s="26">
        <f>1</f>
        <v>1</v>
      </c>
    </row>
    <row r="8" spans="1:6" x14ac:dyDescent="0.25">
      <c r="A8" s="36" t="s">
        <v>55</v>
      </c>
      <c r="B8" s="26">
        <f>1</f>
        <v>1</v>
      </c>
    </row>
    <row r="9" spans="1:6" x14ac:dyDescent="0.25">
      <c r="A9" s="36" t="s">
        <v>56</v>
      </c>
      <c r="B9" s="26">
        <v>1</v>
      </c>
    </row>
    <row r="10" spans="1:6" s="64" customFormat="1" x14ac:dyDescent="0.25">
      <c r="A10" s="64" t="s">
        <v>173</v>
      </c>
      <c r="B10" s="63">
        <v>4</v>
      </c>
      <c r="F10" s="63"/>
    </row>
    <row r="11" spans="1:6" s="64" customFormat="1" x14ac:dyDescent="0.25">
      <c r="A11" s="64" t="s">
        <v>174</v>
      </c>
      <c r="B11" s="63">
        <v>0.4</v>
      </c>
      <c r="F11" s="63"/>
    </row>
    <row r="12" spans="1:6" ht="18" x14ac:dyDescent="0.35">
      <c r="A12" s="36" t="s">
        <v>61</v>
      </c>
      <c r="B12" s="26">
        <v>7.4999999999999997E-2</v>
      </c>
    </row>
    <row r="13" spans="1:6" ht="18" x14ac:dyDescent="0.35">
      <c r="A13" s="36" t="s">
        <v>60</v>
      </c>
      <c r="B13" s="26">
        <f>0.0731</f>
        <v>7.3099999999999998E-2</v>
      </c>
    </row>
    <row r="14" spans="1:6" x14ac:dyDescent="0.25">
      <c r="A14" s="75" t="s">
        <v>79</v>
      </c>
      <c r="B14" s="76"/>
    </row>
    <row r="15" spans="1:6" x14ac:dyDescent="0.25">
      <c r="A15" s="75" t="s">
        <v>80</v>
      </c>
      <c r="B15" s="76">
        <v>3.5</v>
      </c>
    </row>
    <row r="16" spans="1:6" x14ac:dyDescent="0.25">
      <c r="A16" s="75" t="s">
        <v>81</v>
      </c>
      <c r="B16" s="76">
        <v>3</v>
      </c>
    </row>
    <row r="17" spans="1:3" x14ac:dyDescent="0.25">
      <c r="A17" s="75" t="s">
        <v>82</v>
      </c>
      <c r="B17" s="76">
        <v>3</v>
      </c>
    </row>
    <row r="18" spans="1:3" x14ac:dyDescent="0.25">
      <c r="A18" s="75" t="s">
        <v>83</v>
      </c>
      <c r="B18" s="76">
        <v>3</v>
      </c>
    </row>
    <row r="19" spans="1:3" x14ac:dyDescent="0.25">
      <c r="A19" s="75" t="s">
        <v>84</v>
      </c>
      <c r="B19" s="76">
        <v>0</v>
      </c>
    </row>
    <row r="20" spans="1:3" x14ac:dyDescent="0.25">
      <c r="A20" s="75" t="s">
        <v>85</v>
      </c>
      <c r="B20" s="76">
        <v>0</v>
      </c>
    </row>
    <row r="21" spans="1:3" x14ac:dyDescent="0.25">
      <c r="A21" s="75" t="s">
        <v>86</v>
      </c>
      <c r="B21" s="76">
        <v>0</v>
      </c>
    </row>
    <row r="22" spans="1:3" ht="18" x14ac:dyDescent="0.35">
      <c r="A22" s="75" t="s">
        <v>179</v>
      </c>
      <c r="B22" s="77">
        <f>SUM(B15:B21)</f>
        <v>12.5</v>
      </c>
      <c r="C22" s="36" t="s">
        <v>59</v>
      </c>
    </row>
    <row r="23" spans="1:3" x14ac:dyDescent="0.25">
      <c r="A23" s="75" t="s">
        <v>165</v>
      </c>
      <c r="B23" s="76" t="s">
        <v>166</v>
      </c>
    </row>
    <row r="25" spans="1:3" x14ac:dyDescent="0.25">
      <c r="A25" s="37" t="s">
        <v>62</v>
      </c>
    </row>
    <row r="26" spans="1:3" ht="17.25" x14ac:dyDescent="0.25">
      <c r="A26" s="36" t="s">
        <v>98</v>
      </c>
      <c r="B26" s="26">
        <f>B12*B22^(3/4)</f>
        <v>0.49859024033859273</v>
      </c>
      <c r="C26" s="36" t="s">
        <v>69</v>
      </c>
    </row>
    <row r="27" spans="1:3" x14ac:dyDescent="0.25">
      <c r="A27" s="37" t="s">
        <v>63</v>
      </c>
    </row>
    <row r="28" spans="1:3" ht="17.25" x14ac:dyDescent="0.25">
      <c r="A28" s="36" t="s">
        <v>98</v>
      </c>
      <c r="B28" s="26">
        <f>B13*B22^(3/4)</f>
        <v>0.48595928758334839</v>
      </c>
      <c r="C28" s="36" t="s">
        <v>69</v>
      </c>
    </row>
    <row r="30" spans="1:3" x14ac:dyDescent="0.25">
      <c r="A30" s="38" t="s">
        <v>64</v>
      </c>
    </row>
    <row r="31" spans="1:3" x14ac:dyDescent="0.25">
      <c r="A31" s="36" t="s">
        <v>65</v>
      </c>
      <c r="B31" s="26">
        <v>0.4</v>
      </c>
      <c r="C31" s="36" t="s">
        <v>59</v>
      </c>
    </row>
    <row r="32" spans="1:3" x14ac:dyDescent="0.25">
      <c r="A32" s="36" t="s">
        <v>66</v>
      </c>
      <c r="B32" s="26">
        <v>0.4</v>
      </c>
      <c r="C32" s="36" t="s">
        <v>59</v>
      </c>
    </row>
    <row r="33" spans="1:3" x14ac:dyDescent="0.25">
      <c r="A33" s="36" t="s">
        <v>75</v>
      </c>
      <c r="B33" s="26">
        <v>4</v>
      </c>
    </row>
    <row r="34" spans="1:3" x14ac:dyDescent="0.25">
      <c r="A34" s="36" t="s">
        <v>73</v>
      </c>
      <c r="B34" s="26">
        <v>0</v>
      </c>
      <c r="C34" s="36" t="s">
        <v>59</v>
      </c>
    </row>
    <row r="35" spans="1:3" x14ac:dyDescent="0.25">
      <c r="A35" s="36" t="s">
        <v>74</v>
      </c>
      <c r="B35" s="26">
        <v>0</v>
      </c>
      <c r="C35" s="36" t="s">
        <v>59</v>
      </c>
    </row>
    <row r="36" spans="1:3" x14ac:dyDescent="0.25">
      <c r="A36" s="36" t="s">
        <v>76</v>
      </c>
      <c r="B36" s="26">
        <v>0</v>
      </c>
    </row>
    <row r="37" spans="1:3" x14ac:dyDescent="0.25">
      <c r="A37" s="36" t="s">
        <v>67</v>
      </c>
      <c r="B37" s="26">
        <v>0.4</v>
      </c>
      <c r="C37" s="36" t="s">
        <v>59</v>
      </c>
    </row>
    <row r="38" spans="1:3" x14ac:dyDescent="0.25">
      <c r="A38" s="36" t="s">
        <v>68</v>
      </c>
      <c r="B38" s="26">
        <v>0.4</v>
      </c>
      <c r="C38" s="36" t="s">
        <v>59</v>
      </c>
    </row>
    <row r="39" spans="1:3" x14ac:dyDescent="0.25">
      <c r="A39" s="36" t="s">
        <v>77</v>
      </c>
      <c r="B39" s="26">
        <v>4</v>
      </c>
    </row>
    <row r="40" spans="1:3" x14ac:dyDescent="0.25">
      <c r="A40" s="36" t="s">
        <v>71</v>
      </c>
      <c r="B40" s="26">
        <f>0</f>
        <v>0</v>
      </c>
      <c r="C40" s="36" t="s">
        <v>59</v>
      </c>
    </row>
    <row r="41" spans="1:3" x14ac:dyDescent="0.25">
      <c r="A41" s="36" t="s">
        <v>72</v>
      </c>
      <c r="B41" s="26">
        <f>0</f>
        <v>0</v>
      </c>
      <c r="C41" s="36" t="s">
        <v>59</v>
      </c>
    </row>
    <row r="42" spans="1:3" x14ac:dyDescent="0.25">
      <c r="A42" s="36" t="s">
        <v>78</v>
      </c>
      <c r="B42" s="26">
        <v>4</v>
      </c>
    </row>
    <row r="44" spans="1:3" x14ac:dyDescent="0.25">
      <c r="A44" s="39" t="s">
        <v>70</v>
      </c>
      <c r="B44" s="29">
        <f>((B33*(B31*B32*(B15+B16+B17+B18+B19+B20+B21)))+(B36*(B34*B35*(B15+B16+B17+B18+B19+B20+B21)))+(B39*(B37*B38*(B15+B16+B17+B18+B19+B20+B21)))+(B42*(B40*B41*(B15+B16+B17+B18+B19+B20+B21))))*Material!B17*1000</f>
        <v>400000.00000000012</v>
      </c>
      <c r="C44" s="39" t="s">
        <v>87</v>
      </c>
    </row>
    <row r="46" spans="1:3" x14ac:dyDescent="0.25">
      <c r="A46" s="38" t="s">
        <v>88</v>
      </c>
    </row>
    <row r="47" spans="1:3" x14ac:dyDescent="0.25">
      <c r="A47" s="36" t="s">
        <v>51</v>
      </c>
    </row>
    <row r="48" spans="1:3" x14ac:dyDescent="0.25">
      <c r="A48" s="36" t="s">
        <v>89</v>
      </c>
      <c r="B48" s="26">
        <v>0.3</v>
      </c>
      <c r="C48" s="36" t="s">
        <v>59</v>
      </c>
    </row>
    <row r="49" spans="1:3" x14ac:dyDescent="0.25">
      <c r="A49" s="36" t="s">
        <v>90</v>
      </c>
      <c r="B49" s="26">
        <v>0.45</v>
      </c>
      <c r="C49" s="36" t="s">
        <v>59</v>
      </c>
    </row>
    <row r="50" spans="1:3" x14ac:dyDescent="0.25">
      <c r="A50" s="36" t="s">
        <v>91</v>
      </c>
      <c r="B50" s="26">
        <f>B48*B49*Material!B17</f>
        <v>3.375</v>
      </c>
      <c r="C50" s="36" t="s">
        <v>92</v>
      </c>
    </row>
    <row r="51" spans="1:3" x14ac:dyDescent="0.25">
      <c r="A51" s="36" t="s">
        <v>95</v>
      </c>
      <c r="B51" s="26">
        <f>40</f>
        <v>40</v>
      </c>
      <c r="C51" s="36" t="s">
        <v>59</v>
      </c>
    </row>
    <row r="52" spans="1:3" x14ac:dyDescent="0.25">
      <c r="A52" s="36" t="s">
        <v>93</v>
      </c>
    </row>
    <row r="53" spans="1:3" x14ac:dyDescent="0.25">
      <c r="A53" s="36" t="s">
        <v>89</v>
      </c>
      <c r="B53" s="26">
        <v>0</v>
      </c>
      <c r="C53" s="36" t="s">
        <v>59</v>
      </c>
    </row>
    <row r="54" spans="1:3" x14ac:dyDescent="0.25">
      <c r="A54" s="36" t="s">
        <v>90</v>
      </c>
      <c r="B54" s="26">
        <v>0</v>
      </c>
      <c r="C54" s="36" t="s">
        <v>59</v>
      </c>
    </row>
    <row r="55" spans="1:3" x14ac:dyDescent="0.25">
      <c r="A55" s="36" t="s">
        <v>91</v>
      </c>
      <c r="B55" s="26">
        <v>0</v>
      </c>
      <c r="C55" s="36" t="s">
        <v>92</v>
      </c>
    </row>
    <row r="56" spans="1:3" x14ac:dyDescent="0.25">
      <c r="A56" s="36" t="s">
        <v>95</v>
      </c>
    </row>
    <row r="57" spans="1:3" x14ac:dyDescent="0.25">
      <c r="A57" s="36" t="s">
        <v>94</v>
      </c>
    </row>
    <row r="58" spans="1:3" x14ac:dyDescent="0.25">
      <c r="A58" s="36" t="s">
        <v>89</v>
      </c>
      <c r="B58" s="26">
        <v>0</v>
      </c>
      <c r="C58" s="36" t="s">
        <v>59</v>
      </c>
    </row>
    <row r="59" spans="1:3" x14ac:dyDescent="0.25">
      <c r="A59" s="36" t="s">
        <v>90</v>
      </c>
      <c r="B59" s="26">
        <v>0</v>
      </c>
      <c r="C59" s="36" t="s">
        <v>59</v>
      </c>
    </row>
    <row r="60" spans="1:3" x14ac:dyDescent="0.25">
      <c r="A60" s="36" t="s">
        <v>91</v>
      </c>
      <c r="B60" s="26">
        <v>0</v>
      </c>
      <c r="C60" s="36" t="s">
        <v>92</v>
      </c>
    </row>
    <row r="61" spans="1:3" x14ac:dyDescent="0.25">
      <c r="A61" s="36" t="s">
        <v>95</v>
      </c>
    </row>
    <row r="63" spans="1:3" x14ac:dyDescent="0.25">
      <c r="A63" s="39" t="s">
        <v>96</v>
      </c>
      <c r="B63" s="29">
        <f>(B51*B50+B56*B55+B61*B60)*1000</f>
        <v>135000</v>
      </c>
      <c r="C63" s="39" t="s">
        <v>87</v>
      </c>
    </row>
    <row r="65" spans="1:11" x14ac:dyDescent="0.25">
      <c r="A65" s="38" t="s">
        <v>109</v>
      </c>
    </row>
    <row r="66" spans="1:11" x14ac:dyDescent="0.25">
      <c r="A66" s="36" t="s">
        <v>97</v>
      </c>
      <c r="B66" s="26">
        <v>0.15</v>
      </c>
      <c r="C66" s="36" t="s">
        <v>59</v>
      </c>
      <c r="F66" s="83"/>
      <c r="G66" s="83"/>
      <c r="H66" s="83"/>
    </row>
    <row r="67" spans="1:11" x14ac:dyDescent="0.25">
      <c r="A67" s="36" t="s">
        <v>111</v>
      </c>
      <c r="B67" s="26">
        <f>MAX(D70,E69)</f>
        <v>6</v>
      </c>
      <c r="C67" s="36" t="s">
        <v>59</v>
      </c>
      <c r="E67" s="40"/>
      <c r="F67" s="82"/>
      <c r="G67" s="82"/>
      <c r="H67" s="82"/>
      <c r="I67" s="40"/>
    </row>
    <row r="68" spans="1:11" x14ac:dyDescent="0.25">
      <c r="A68" s="36" t="s">
        <v>112</v>
      </c>
      <c r="B68" s="26">
        <f>MIN(D70,E69)</f>
        <v>5</v>
      </c>
      <c r="C68" s="36" t="s">
        <v>59</v>
      </c>
      <c r="D68" s="41"/>
      <c r="E68" s="42"/>
      <c r="F68" s="27"/>
      <c r="G68" s="40"/>
      <c r="H68" s="40"/>
      <c r="I68" s="40"/>
    </row>
    <row r="69" spans="1:11" ht="15.75" thickBot="1" x14ac:dyDescent="0.3">
      <c r="B69" s="26" t="str">
        <f>IF((MAX(B67:B68)/MIN(B67:B68))&gt;2,"One way slab","Two way slab")</f>
        <v>Two way slab</v>
      </c>
      <c r="E69" s="88">
        <v>5</v>
      </c>
      <c r="F69" s="88"/>
      <c r="G69" s="88">
        <v>5</v>
      </c>
      <c r="H69" s="88"/>
      <c r="I69" s="40"/>
    </row>
    <row r="70" spans="1:11" ht="17.25" x14ac:dyDescent="0.25">
      <c r="A70" s="36" t="s">
        <v>91</v>
      </c>
      <c r="B70" s="26">
        <f>B66*Material!B17</f>
        <v>3.75</v>
      </c>
      <c r="C70" s="36" t="s">
        <v>100</v>
      </c>
      <c r="D70" s="87">
        <v>6</v>
      </c>
      <c r="E70" s="44"/>
      <c r="F70" s="30"/>
      <c r="G70" s="45"/>
      <c r="H70" s="46"/>
    </row>
    <row r="71" spans="1:11" x14ac:dyDescent="0.25">
      <c r="A71" s="36" t="s">
        <v>99</v>
      </c>
      <c r="B71" s="26">
        <f>B68*B70/3</f>
        <v>6.25</v>
      </c>
      <c r="C71" s="36" t="s">
        <v>92</v>
      </c>
      <c r="D71" s="87"/>
      <c r="E71" s="47"/>
      <c r="F71" s="31"/>
      <c r="G71" s="40"/>
      <c r="H71" s="48"/>
    </row>
    <row r="72" spans="1:11" x14ac:dyDescent="0.25">
      <c r="A72" s="36" t="s">
        <v>101</v>
      </c>
      <c r="B72" s="26">
        <f>(B68*B70/6)*(3-B68/B67)^2</f>
        <v>14.670138888888888</v>
      </c>
      <c r="C72" s="36" t="s">
        <v>92</v>
      </c>
      <c r="D72" s="87"/>
      <c r="E72" s="47"/>
      <c r="F72" s="31"/>
      <c r="G72" s="40"/>
      <c r="H72" s="48"/>
    </row>
    <row r="73" spans="1:11" x14ac:dyDescent="0.25">
      <c r="A73" s="36" t="s">
        <v>103</v>
      </c>
      <c r="B73" s="26">
        <f>B67*B68*0.5*B70</f>
        <v>56.25</v>
      </c>
      <c r="C73" s="36" t="s">
        <v>92</v>
      </c>
      <c r="D73" s="87"/>
      <c r="E73" s="47"/>
      <c r="F73" s="31"/>
      <c r="G73" s="40"/>
      <c r="H73" s="48"/>
      <c r="K73" s="40"/>
    </row>
    <row r="74" spans="1:11" x14ac:dyDescent="0.25">
      <c r="A74" s="38" t="s">
        <v>110</v>
      </c>
      <c r="B74" s="32"/>
      <c r="C74" s="49"/>
      <c r="D74" s="87"/>
      <c r="E74" s="47"/>
      <c r="F74" s="31"/>
      <c r="G74" s="40"/>
      <c r="H74" s="48"/>
      <c r="K74" s="40"/>
    </row>
    <row r="75" spans="1:11" x14ac:dyDescent="0.25">
      <c r="A75" s="36" t="s">
        <v>97</v>
      </c>
      <c r="B75" s="26">
        <v>0.15</v>
      </c>
      <c r="C75" s="49"/>
      <c r="D75" s="87"/>
      <c r="E75" s="50"/>
      <c r="F75" s="33"/>
      <c r="G75" s="51"/>
      <c r="H75" s="52"/>
      <c r="K75" s="40"/>
    </row>
    <row r="76" spans="1:11" x14ac:dyDescent="0.25">
      <c r="A76" s="36" t="s">
        <v>111</v>
      </c>
      <c r="B76" s="26">
        <f>MAX(E69,D76)</f>
        <v>5</v>
      </c>
      <c r="C76" s="49"/>
      <c r="D76" s="87">
        <v>4</v>
      </c>
      <c r="E76" s="47"/>
      <c r="F76" s="31"/>
      <c r="G76" s="40"/>
      <c r="H76" s="48"/>
      <c r="K76" s="40"/>
    </row>
    <row r="77" spans="1:11" x14ac:dyDescent="0.25">
      <c r="A77" s="36" t="s">
        <v>112</v>
      </c>
      <c r="B77" s="26">
        <f>MIN(E69,D76)</f>
        <v>4</v>
      </c>
      <c r="C77" s="49"/>
      <c r="D77" s="87"/>
      <c r="E77" s="47"/>
      <c r="F77" s="31"/>
      <c r="G77" s="40"/>
      <c r="H77" s="48"/>
      <c r="K77" s="40"/>
    </row>
    <row r="78" spans="1:11" x14ac:dyDescent="0.25">
      <c r="B78" s="26" t="str">
        <f>IF((MAX(B76:B77)/MIN(B76:B77))&gt;2,"One way slab","Two way slab")</f>
        <v>Two way slab</v>
      </c>
      <c r="C78" s="49"/>
      <c r="D78" s="87"/>
      <c r="E78" s="47"/>
      <c r="F78" s="31"/>
      <c r="G78" s="40"/>
      <c r="H78" s="48"/>
      <c r="K78" s="40"/>
    </row>
    <row r="79" spans="1:11" ht="18" thickBot="1" x14ac:dyDescent="0.3">
      <c r="A79" s="36" t="s">
        <v>91</v>
      </c>
      <c r="B79" s="26">
        <f>B75*Material!B17</f>
        <v>3.75</v>
      </c>
      <c r="C79" s="36" t="s">
        <v>100</v>
      </c>
      <c r="D79" s="87"/>
      <c r="E79" s="53"/>
      <c r="F79" s="34"/>
      <c r="G79" s="43"/>
      <c r="H79" s="54"/>
      <c r="K79" s="40"/>
    </row>
    <row r="80" spans="1:11" x14ac:dyDescent="0.25">
      <c r="A80" s="36" t="s">
        <v>99</v>
      </c>
      <c r="B80" s="26">
        <f>B77*B79/3</f>
        <v>5</v>
      </c>
      <c r="C80" s="36" t="s">
        <v>92</v>
      </c>
      <c r="K80" s="40"/>
    </row>
    <row r="81" spans="1:11" x14ac:dyDescent="0.25">
      <c r="A81" s="36" t="s">
        <v>101</v>
      </c>
      <c r="B81" s="26">
        <f>(B77*B79/6)*(3-B77/B76)^2</f>
        <v>12.100000000000001</v>
      </c>
      <c r="C81" s="36" t="s">
        <v>92</v>
      </c>
      <c r="G81" s="41"/>
      <c r="H81" s="42"/>
      <c r="I81" s="40"/>
      <c r="J81" s="40"/>
      <c r="K81" s="40"/>
    </row>
    <row r="82" spans="1:11" x14ac:dyDescent="0.25">
      <c r="A82" s="36" t="s">
        <v>103</v>
      </c>
      <c r="B82" s="26">
        <f>B76*B77*0.5*B79</f>
        <v>37.5</v>
      </c>
      <c r="C82" s="36" t="s">
        <v>92</v>
      </c>
    </row>
    <row r="85" spans="1:11" x14ac:dyDescent="0.25">
      <c r="A85" s="36" t="s">
        <v>105</v>
      </c>
      <c r="B85" s="26">
        <f>B72*D70*1000</f>
        <v>88020.833333333328</v>
      </c>
      <c r="C85" s="36" t="s">
        <v>87</v>
      </c>
    </row>
    <row r="86" spans="1:11" x14ac:dyDescent="0.25">
      <c r="A86" s="36" t="s">
        <v>106</v>
      </c>
      <c r="B86" s="26">
        <f>B80*D76*1000</f>
        <v>20000</v>
      </c>
      <c r="C86" s="36" t="s">
        <v>87</v>
      </c>
    </row>
    <row r="87" spans="1:11" ht="15.75" thickBot="1" x14ac:dyDescent="0.3">
      <c r="A87" s="36" t="s">
        <v>108</v>
      </c>
      <c r="B87" s="26">
        <f>B85*Material!B5+'Base Shear'!B86*Material!B5</f>
        <v>432083.33333333331</v>
      </c>
      <c r="C87" s="36" t="s">
        <v>87</v>
      </c>
    </row>
    <row r="88" spans="1:11" ht="15.75" thickBot="1" x14ac:dyDescent="0.3">
      <c r="A88" s="55" t="s">
        <v>107</v>
      </c>
      <c r="B88" s="35">
        <f>B44+B63+B87</f>
        <v>967083.33333333349</v>
      </c>
      <c r="C88" s="56" t="s">
        <v>87</v>
      </c>
    </row>
    <row r="89" spans="1:11" ht="15.75" thickBot="1" x14ac:dyDescent="0.3"/>
    <row r="90" spans="1:11" x14ac:dyDescent="0.25">
      <c r="A90" s="36" t="s">
        <v>121</v>
      </c>
      <c r="B90" s="59">
        <f>B5*B8*B88/(B9*B26*1000)</f>
        <v>775.85420258253521</v>
      </c>
      <c r="C90" s="36" t="s">
        <v>104</v>
      </c>
    </row>
    <row r="91" spans="1:11" ht="15.75" thickBot="1" x14ac:dyDescent="0.3">
      <c r="A91" s="36" t="s">
        <v>122</v>
      </c>
      <c r="B91" s="60">
        <f>B5*B8*B88/(B9*B28*1000)</f>
        <v>796.0200436893316</v>
      </c>
      <c r="C91" s="36" t="s">
        <v>104</v>
      </c>
    </row>
    <row r="92" spans="1:11" x14ac:dyDescent="0.25">
      <c r="B92" s="32"/>
    </row>
    <row r="93" spans="1:11" x14ac:dyDescent="0.25">
      <c r="A93" s="36" t="s">
        <v>123</v>
      </c>
      <c r="B93" s="32"/>
    </row>
    <row r="94" spans="1:11" x14ac:dyDescent="0.25">
      <c r="A94" s="36" t="s">
        <v>124</v>
      </c>
      <c r="B94" s="32">
        <f>2.5*B4*B8*B88/(B9*1000)</f>
        <v>967.08333333333348</v>
      </c>
      <c r="C94" s="36" t="s">
        <v>104</v>
      </c>
    </row>
    <row r="95" spans="1:11" x14ac:dyDescent="0.25">
      <c r="A95" s="36" t="s">
        <v>125</v>
      </c>
      <c r="B95" s="32">
        <f>0.11*B88*B4*B8/1000</f>
        <v>42.551666666666677</v>
      </c>
      <c r="C95" s="36" t="s">
        <v>104</v>
      </c>
    </row>
    <row r="96" spans="1:11" s="64" customFormat="1" ht="15.75" thickBot="1" x14ac:dyDescent="0.3">
      <c r="A96" s="64" t="s">
        <v>172</v>
      </c>
      <c r="B96" s="32">
        <f>IF(B11=0.4,0.8*B11*B7*B8*B88/1000*B9,0)</f>
        <v>309.46666666666681</v>
      </c>
      <c r="C96" s="64" t="s">
        <v>104</v>
      </c>
      <c r="F96" s="63"/>
    </row>
    <row r="97" spans="1:8" ht="15.75" thickBot="1" x14ac:dyDescent="0.3">
      <c r="A97" s="61" t="s">
        <v>126</v>
      </c>
      <c r="B97" s="62">
        <f>IF(B91&lt;B95,B95,IF(B91&lt;B96,B96,IF(B91&gt;B94,B94,B91)))</f>
        <v>796.0200436893316</v>
      </c>
      <c r="C97" s="61" t="s">
        <v>104</v>
      </c>
    </row>
    <row r="98" spans="1:8" ht="15.75" thickBot="1" x14ac:dyDescent="0.3">
      <c r="B98" s="32"/>
    </row>
    <row r="99" spans="1:8" ht="21.75" thickBot="1" x14ac:dyDescent="0.4">
      <c r="A99" s="84" t="s">
        <v>113</v>
      </c>
      <c r="B99" s="85"/>
      <c r="C99" s="85"/>
      <c r="D99" s="85"/>
      <c r="E99" s="85"/>
      <c r="F99" s="85"/>
      <c r="G99" s="85"/>
      <c r="H99" s="86"/>
    </row>
    <row r="100" spans="1:8" x14ac:dyDescent="0.25">
      <c r="A100" s="57" t="s">
        <v>116</v>
      </c>
    </row>
    <row r="101" spans="1:8" x14ac:dyDescent="0.25">
      <c r="A101" s="36" t="s">
        <v>114</v>
      </c>
      <c r="B101" s="26">
        <f>11.03</f>
        <v>11.03</v>
      </c>
      <c r="C101" s="36" t="s">
        <v>92</v>
      </c>
      <c r="E101" s="36" t="s">
        <v>119</v>
      </c>
      <c r="F101" s="26">
        <f>B101*1*(D70+D76)</f>
        <v>110.3</v>
      </c>
      <c r="G101" s="36" t="s">
        <v>104</v>
      </c>
    </row>
    <row r="102" spans="1:8" x14ac:dyDescent="0.25">
      <c r="A102" s="36" t="s">
        <v>115</v>
      </c>
      <c r="B102" s="26">
        <v>6</v>
      </c>
      <c r="C102" s="36" t="s">
        <v>104</v>
      </c>
      <c r="E102" s="36" t="s">
        <v>119</v>
      </c>
      <c r="F102" s="26">
        <f>B102*1*B103</f>
        <v>18</v>
      </c>
      <c r="G102" s="36" t="s">
        <v>104</v>
      </c>
    </row>
    <row r="103" spans="1:8" x14ac:dyDescent="0.25">
      <c r="A103" s="36" t="s">
        <v>120</v>
      </c>
      <c r="B103" s="26">
        <v>3</v>
      </c>
    </row>
    <row r="104" spans="1:8" x14ac:dyDescent="0.25">
      <c r="A104" s="57" t="s">
        <v>117</v>
      </c>
    </row>
    <row r="105" spans="1:8" x14ac:dyDescent="0.25">
      <c r="A105" s="36" t="s">
        <v>114</v>
      </c>
      <c r="B105" s="26">
        <f>10.68</f>
        <v>10.68</v>
      </c>
      <c r="C105" s="36" t="s">
        <v>92</v>
      </c>
      <c r="E105" s="36" t="s">
        <v>119</v>
      </c>
      <c r="F105" s="26">
        <f>B105*(Material!B5-2)*(D70+D76)</f>
        <v>213.6</v>
      </c>
      <c r="G105" s="36" t="s">
        <v>104</v>
      </c>
    </row>
    <row r="106" spans="1:8" x14ac:dyDescent="0.25">
      <c r="A106" s="36" t="s">
        <v>115</v>
      </c>
      <c r="B106" s="26">
        <v>12</v>
      </c>
      <c r="C106" s="36" t="s">
        <v>104</v>
      </c>
      <c r="E106" s="36" t="s">
        <v>119</v>
      </c>
      <c r="F106" s="26">
        <f>B106*(Material!B5-2)*B107</f>
        <v>72</v>
      </c>
      <c r="G106" s="36" t="s">
        <v>104</v>
      </c>
    </row>
    <row r="107" spans="1:8" x14ac:dyDescent="0.25">
      <c r="A107" s="36" t="s">
        <v>120</v>
      </c>
      <c r="B107" s="26">
        <v>3</v>
      </c>
    </row>
    <row r="108" spans="1:8" x14ac:dyDescent="0.25">
      <c r="A108" s="57" t="s">
        <v>118</v>
      </c>
    </row>
    <row r="109" spans="1:8" x14ac:dyDescent="0.25">
      <c r="A109" s="36" t="s">
        <v>114</v>
      </c>
      <c r="B109" s="26">
        <f>10.68</f>
        <v>10.68</v>
      </c>
      <c r="C109" s="36" t="s">
        <v>92</v>
      </c>
      <c r="E109" s="36" t="s">
        <v>119</v>
      </c>
      <c r="F109" s="26">
        <f>B109*1*(D70+D76)</f>
        <v>106.8</v>
      </c>
    </row>
    <row r="110" spans="1:8" x14ac:dyDescent="0.25">
      <c r="A110" s="36" t="s">
        <v>115</v>
      </c>
      <c r="B110" s="26">
        <v>13</v>
      </c>
      <c r="C110" s="36" t="s">
        <v>104</v>
      </c>
      <c r="E110" s="36" t="s">
        <v>119</v>
      </c>
      <c r="F110" s="26">
        <f>B110*1*B111</f>
        <v>39</v>
      </c>
    </row>
    <row r="111" spans="1:8" x14ac:dyDescent="0.25">
      <c r="A111" s="36" t="s">
        <v>120</v>
      </c>
      <c r="B111" s="26">
        <v>3</v>
      </c>
    </row>
    <row r="113" spans="1:8" x14ac:dyDescent="0.25">
      <c r="A113" s="36" t="s">
        <v>102</v>
      </c>
      <c r="E113" s="36" t="s">
        <v>119</v>
      </c>
      <c r="F113" s="26">
        <f>(F101+F102+F105+F106+F109+F110)</f>
        <v>559.69999999999993</v>
      </c>
      <c r="G113" s="36" t="s">
        <v>104</v>
      </c>
    </row>
    <row r="115" spans="1:8" x14ac:dyDescent="0.25">
      <c r="A115" s="36" t="s">
        <v>121</v>
      </c>
      <c r="B115" s="58">
        <f>B5*B8*F113/(B9*B26)</f>
        <v>449.02603758943025</v>
      </c>
      <c r="C115" s="36" t="s">
        <v>104</v>
      </c>
    </row>
    <row r="116" spans="1:8" x14ac:dyDescent="0.25">
      <c r="A116" s="36" t="s">
        <v>122</v>
      </c>
      <c r="B116" s="58">
        <f>B5*B8*F113/(B9*B28)</f>
        <v>460.69702899052351</v>
      </c>
      <c r="C116" s="36" t="s">
        <v>104</v>
      </c>
    </row>
    <row r="118" spans="1:8" x14ac:dyDescent="0.25">
      <c r="A118" s="36" t="s">
        <v>123</v>
      </c>
      <c r="B118" s="32"/>
    </row>
    <row r="119" spans="1:8" x14ac:dyDescent="0.25">
      <c r="A119" s="36" t="s">
        <v>124</v>
      </c>
      <c r="B119" s="32">
        <f>2.5*B4*B8*F113/(B9)</f>
        <v>559.69999999999993</v>
      </c>
      <c r="C119" s="36" t="s">
        <v>104</v>
      </c>
    </row>
    <row r="120" spans="1:8" x14ac:dyDescent="0.25">
      <c r="A120" s="36" t="s">
        <v>125</v>
      </c>
      <c r="B120" s="32">
        <f>0.11*F113*B4*B8</f>
        <v>24.626799999999999</v>
      </c>
      <c r="C120" s="36" t="s">
        <v>104</v>
      </c>
    </row>
    <row r="121" spans="1:8" s="64" customFormat="1" ht="15.75" thickBot="1" x14ac:dyDescent="0.3">
      <c r="A121" s="64" t="s">
        <v>172</v>
      </c>
      <c r="B121" s="32">
        <f>IF(B11=0.4,0.8*B11*B7*B8*F113/B9,0)</f>
        <v>179.10400000000001</v>
      </c>
      <c r="C121" s="64" t="s">
        <v>104</v>
      </c>
      <c r="F121" s="63"/>
    </row>
    <row r="122" spans="1:8" ht="15.75" thickBot="1" x14ac:dyDescent="0.3">
      <c r="A122" s="61" t="s">
        <v>126</v>
      </c>
      <c r="B122" s="62">
        <f>IF(B116&lt;B120,B120,IF(B116&lt;B121,B121,IF(B116&gt;B119,B119,B116)))</f>
        <v>460.69702899052351</v>
      </c>
      <c r="C122" s="61" t="s">
        <v>104</v>
      </c>
    </row>
    <row r="124" spans="1:8" ht="15.75" thickBot="1" x14ac:dyDescent="0.3">
      <c r="A124" s="81" t="s">
        <v>163</v>
      </c>
      <c r="B124" s="81"/>
      <c r="C124" s="81"/>
      <c r="D124" s="72"/>
      <c r="E124" s="72"/>
      <c r="F124" s="72"/>
      <c r="G124" s="72"/>
      <c r="H124" s="72"/>
    </row>
    <row r="125" spans="1:8" ht="15.75" thickBot="1" x14ac:dyDescent="0.3">
      <c r="A125" s="73" t="s">
        <v>164</v>
      </c>
      <c r="B125" s="35">
        <f>IF(B23="yes",B122,B97)</f>
        <v>460.69702899052351</v>
      </c>
      <c r="C125" s="74" t="s">
        <v>104</v>
      </c>
    </row>
  </sheetData>
  <mergeCells count="8">
    <mergeCell ref="A124:C124"/>
    <mergeCell ref="F67:H67"/>
    <mergeCell ref="F66:H66"/>
    <mergeCell ref="A99:H99"/>
    <mergeCell ref="D70:D75"/>
    <mergeCell ref="D76:D79"/>
    <mergeCell ref="E69:F69"/>
    <mergeCell ref="G69:H69"/>
  </mergeCells>
  <pageMargins left="0.7" right="0.7" top="0.75" bottom="0.75" header="0.3" footer="0.3"/>
  <pageSetup paperSize="9" scale="96" orientation="portrait" r:id="rId1"/>
  <rowBreaks count="2" manualBreakCount="2">
    <brk id="45" max="7" man="1"/>
    <brk id="97" max="7" man="1"/>
  </rowBreaks>
  <colBreaks count="1" manualBreakCount="1">
    <brk id="33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57"/>
  <sheetViews>
    <sheetView view="pageBreakPreview" zoomScaleNormal="100" zoomScaleSheetLayoutView="100" workbookViewId="0">
      <selection activeCell="L53" sqref="L53"/>
    </sheetView>
  </sheetViews>
  <sheetFormatPr defaultRowHeight="15" x14ac:dyDescent="0.25"/>
  <cols>
    <col min="5" max="5" width="13.28515625" bestFit="1" customWidth="1"/>
    <col min="11" max="11" width="11.28515625" customWidth="1"/>
  </cols>
  <sheetData>
    <row r="2" spans="1:9" x14ac:dyDescent="0.25">
      <c r="A2" t="s">
        <v>127</v>
      </c>
      <c r="H2" s="26" t="s">
        <v>146</v>
      </c>
    </row>
    <row r="3" spans="1:9" x14ac:dyDescent="0.25">
      <c r="A3" t="s">
        <v>128</v>
      </c>
      <c r="F3" s="26" t="s">
        <v>119</v>
      </c>
      <c r="G3" s="26">
        <f>'Base Shear'!B15</f>
        <v>3.5</v>
      </c>
      <c r="H3">
        <f>G3</f>
        <v>3.5</v>
      </c>
      <c r="I3" t="s">
        <v>59</v>
      </c>
    </row>
    <row r="4" spans="1:9" x14ac:dyDescent="0.25">
      <c r="A4" t="s">
        <v>129</v>
      </c>
      <c r="F4" s="26" t="s">
        <v>119</v>
      </c>
      <c r="G4" s="26">
        <f>'Base Shear'!B16</f>
        <v>3</v>
      </c>
      <c r="H4">
        <f>H3+G4</f>
        <v>6.5</v>
      </c>
      <c r="I4" t="s">
        <v>59</v>
      </c>
    </row>
    <row r="5" spans="1:9" x14ac:dyDescent="0.25">
      <c r="A5" t="s">
        <v>130</v>
      </c>
      <c r="F5" s="26" t="s">
        <v>119</v>
      </c>
      <c r="G5" s="26">
        <f>'Base Shear'!B17</f>
        <v>3</v>
      </c>
      <c r="H5">
        <f>H4+G5</f>
        <v>9.5</v>
      </c>
      <c r="I5" t="s">
        <v>59</v>
      </c>
    </row>
    <row r="6" spans="1:9" x14ac:dyDescent="0.25">
      <c r="A6" t="s">
        <v>131</v>
      </c>
      <c r="F6" s="26" t="s">
        <v>119</v>
      </c>
      <c r="G6" s="26">
        <f>'Base Shear'!B18</f>
        <v>3</v>
      </c>
      <c r="H6">
        <f t="shared" ref="H6:H9" si="0">H5+G6</f>
        <v>12.5</v>
      </c>
      <c r="I6" t="s">
        <v>59</v>
      </c>
    </row>
    <row r="7" spans="1:9" x14ac:dyDescent="0.25">
      <c r="A7" t="s">
        <v>132</v>
      </c>
      <c r="F7" s="26" t="s">
        <v>119</v>
      </c>
      <c r="G7" s="26">
        <f>'Base Shear'!B19</f>
        <v>0</v>
      </c>
      <c r="H7">
        <f t="shared" si="0"/>
        <v>12.5</v>
      </c>
      <c r="I7" t="s">
        <v>59</v>
      </c>
    </row>
    <row r="8" spans="1:9" x14ac:dyDescent="0.25">
      <c r="A8" t="s">
        <v>133</v>
      </c>
      <c r="F8" s="26" t="s">
        <v>119</v>
      </c>
      <c r="G8" s="26">
        <f>'Base Shear'!B20</f>
        <v>0</v>
      </c>
      <c r="H8">
        <f t="shared" si="0"/>
        <v>12.5</v>
      </c>
      <c r="I8" t="s">
        <v>59</v>
      </c>
    </row>
    <row r="9" spans="1:9" x14ac:dyDescent="0.25">
      <c r="A9" t="s">
        <v>134</v>
      </c>
      <c r="F9" s="26" t="s">
        <v>119</v>
      </c>
      <c r="G9" s="26">
        <f>'Base Shear'!B21</f>
        <v>0</v>
      </c>
      <c r="H9">
        <f t="shared" si="0"/>
        <v>12.5</v>
      </c>
      <c r="I9" t="s">
        <v>59</v>
      </c>
    </row>
    <row r="11" spans="1:9" x14ac:dyDescent="0.25">
      <c r="A11" t="s">
        <v>135</v>
      </c>
      <c r="F11" s="26" t="s">
        <v>119</v>
      </c>
      <c r="G11">
        <f>'Base Shear'!F109+'Base Shear'!F110</f>
        <v>145.80000000000001</v>
      </c>
      <c r="H11" t="s">
        <v>104</v>
      </c>
    </row>
    <row r="12" spans="1:9" x14ac:dyDescent="0.25">
      <c r="A12" t="s">
        <v>136</v>
      </c>
      <c r="F12" s="89" t="s">
        <v>119</v>
      </c>
      <c r="G12">
        <f>('Base Shear'!F105+'Base Shear'!F106)</f>
        <v>285.60000000000002</v>
      </c>
      <c r="H12" t="s">
        <v>104</v>
      </c>
    </row>
    <row r="13" spans="1:9" x14ac:dyDescent="0.25">
      <c r="A13" t="s">
        <v>138</v>
      </c>
      <c r="F13" s="89"/>
      <c r="G13">
        <f>('Base Shear'!F105+'Base Shear'!F106)/(Material!B5-2)</f>
        <v>142.80000000000001</v>
      </c>
      <c r="H13" t="s">
        <v>104</v>
      </c>
    </row>
    <row r="14" spans="1:9" x14ac:dyDescent="0.25">
      <c r="A14" t="s">
        <v>137</v>
      </c>
      <c r="F14" s="26" t="s">
        <v>119</v>
      </c>
      <c r="G14">
        <f>'Base Shear'!F101+'Base Shear'!F102</f>
        <v>128.30000000000001</v>
      </c>
      <c r="H14" t="s">
        <v>104</v>
      </c>
    </row>
    <row r="15" spans="1:9" x14ac:dyDescent="0.25">
      <c r="B15" s="65" t="s">
        <v>148</v>
      </c>
    </row>
    <row r="16" spans="1:9" x14ac:dyDescent="0.25">
      <c r="A16" t="s">
        <v>139</v>
      </c>
      <c r="B16" t="s">
        <v>139</v>
      </c>
      <c r="F16" s="28" t="s">
        <v>119</v>
      </c>
      <c r="G16">
        <f>H3*G11</f>
        <v>510.30000000000007</v>
      </c>
      <c r="H16" t="s">
        <v>104</v>
      </c>
    </row>
    <row r="17" spans="1:12" x14ac:dyDescent="0.25">
      <c r="A17" t="s">
        <v>140</v>
      </c>
      <c r="B17" t="s">
        <v>140</v>
      </c>
      <c r="F17" s="28" t="s">
        <v>119</v>
      </c>
      <c r="G17">
        <f>IF(L19=2,H4*G14,IF(L19&gt;2,H4*G13,0))</f>
        <v>928.2</v>
      </c>
      <c r="H17" t="s">
        <v>104</v>
      </c>
    </row>
    <row r="18" spans="1:12" x14ac:dyDescent="0.25">
      <c r="A18" t="s">
        <v>141</v>
      </c>
      <c r="B18" t="s">
        <v>141</v>
      </c>
      <c r="F18" s="28" t="s">
        <v>119</v>
      </c>
      <c r="G18">
        <f>IF(L19=3,H5*G14,IF(L19&gt;3,H5*G13,0))</f>
        <v>1356.6000000000001</v>
      </c>
      <c r="H18" t="s">
        <v>104</v>
      </c>
    </row>
    <row r="19" spans="1:12" x14ac:dyDescent="0.25">
      <c r="A19" t="s">
        <v>142</v>
      </c>
      <c r="B19" t="s">
        <v>142</v>
      </c>
      <c r="F19" s="28" t="s">
        <v>119</v>
      </c>
      <c r="G19">
        <f>IF(L19=4,H6*G14,IF(L19&gt;4,H6*G13,0))</f>
        <v>1603.7500000000002</v>
      </c>
      <c r="H19" t="s">
        <v>104</v>
      </c>
      <c r="K19" t="s">
        <v>150</v>
      </c>
      <c r="L19">
        <f>Material!B5</f>
        <v>4</v>
      </c>
    </row>
    <row r="20" spans="1:12" x14ac:dyDescent="0.25">
      <c r="A20" t="s">
        <v>143</v>
      </c>
      <c r="B20" t="s">
        <v>143</v>
      </c>
      <c r="F20" s="28" t="s">
        <v>119</v>
      </c>
      <c r="G20">
        <f>IF(L19=5,H7*G14,IF(L19&gt;5,H7*G13,0))</f>
        <v>0</v>
      </c>
      <c r="H20" t="s">
        <v>104</v>
      </c>
    </row>
    <row r="21" spans="1:12" x14ac:dyDescent="0.25">
      <c r="A21" t="s">
        <v>144</v>
      </c>
      <c r="B21" t="s">
        <v>144</v>
      </c>
      <c r="F21" s="28" t="s">
        <v>119</v>
      </c>
      <c r="G21">
        <f>IF(L19=6,H8*G14,IF(L19&gt;6,H8*G13,0))</f>
        <v>0</v>
      </c>
      <c r="H21" t="s">
        <v>104</v>
      </c>
    </row>
    <row r="22" spans="1:12" x14ac:dyDescent="0.25">
      <c r="A22" t="s">
        <v>145</v>
      </c>
      <c r="B22" t="s">
        <v>149</v>
      </c>
      <c r="F22" s="28" t="s">
        <v>119</v>
      </c>
      <c r="G22">
        <f>IF(L19=7,H9*G14,IF(L19&gt;7,H9*G13,0))</f>
        <v>0</v>
      </c>
      <c r="H22" t="s">
        <v>104</v>
      </c>
    </row>
    <row r="23" spans="1:12" x14ac:dyDescent="0.25">
      <c r="A23" s="66" t="s">
        <v>152</v>
      </c>
      <c r="F23" s="28" t="s">
        <v>119</v>
      </c>
      <c r="G23">
        <f>SUM(G16:G22)</f>
        <v>4398.8500000000004</v>
      </c>
      <c r="H23" t="s">
        <v>104</v>
      </c>
    </row>
    <row r="24" spans="1:12" x14ac:dyDescent="0.25">
      <c r="A24" t="s">
        <v>151</v>
      </c>
    </row>
    <row r="26" spans="1:12" x14ac:dyDescent="0.25">
      <c r="A26" s="81" t="s">
        <v>153</v>
      </c>
      <c r="B26" s="81"/>
      <c r="C26" s="81"/>
      <c r="D26" s="81"/>
      <c r="E26" s="81"/>
      <c r="F26" s="81"/>
      <c r="G26" s="81"/>
      <c r="H26" s="81"/>
      <c r="I26" s="81"/>
    </row>
    <row r="28" spans="1:12" x14ac:dyDescent="0.25">
      <c r="A28" t="s">
        <v>154</v>
      </c>
      <c r="F28" t="s">
        <v>119</v>
      </c>
      <c r="G28">
        <f>0.07*'Base Shear'!B125*'Base Shear'!B28</f>
        <v>15.671600000000002</v>
      </c>
      <c r="H28" t="s">
        <v>104</v>
      </c>
    </row>
    <row r="30" spans="1:12" x14ac:dyDescent="0.25">
      <c r="A30" t="s">
        <v>167</v>
      </c>
      <c r="F30" t="s">
        <v>119</v>
      </c>
      <c r="G30">
        <f>IF('Base Shear'!B28&lt;0.7,0,'Story shear'!G28)</f>
        <v>0</v>
      </c>
      <c r="H30" t="s">
        <v>104</v>
      </c>
    </row>
    <row r="32" spans="1:12" x14ac:dyDescent="0.25">
      <c r="A32" s="81" t="s">
        <v>155</v>
      </c>
      <c r="B32" s="81"/>
      <c r="C32" s="81"/>
      <c r="D32" s="81"/>
      <c r="E32" s="81"/>
      <c r="F32" s="81"/>
      <c r="G32" s="81"/>
      <c r="H32" s="81"/>
      <c r="I32" s="81"/>
    </row>
    <row r="33" spans="1:14" s="68" customFormat="1" x14ac:dyDescent="0.25">
      <c r="A33" s="67" t="s">
        <v>147</v>
      </c>
      <c r="B33" s="67"/>
      <c r="C33" s="67"/>
      <c r="D33" s="67"/>
      <c r="E33" s="67" t="s">
        <v>168</v>
      </c>
      <c r="F33" s="67"/>
      <c r="G33" s="67"/>
      <c r="H33" s="67"/>
      <c r="I33" s="67"/>
    </row>
    <row r="34" spans="1:14" x14ac:dyDescent="0.25">
      <c r="A34">
        <v>1</v>
      </c>
      <c r="B34" t="s">
        <v>156</v>
      </c>
      <c r="E34">
        <f>G16/G23</f>
        <v>0.1160075928935972</v>
      </c>
      <c r="F34" s="28" t="s">
        <v>119</v>
      </c>
      <c r="G34">
        <f>('Base Shear'!B125-'Story shear'!G30)*'Story shear'!E34</f>
        <v>53.444353386422399</v>
      </c>
      <c r="H34" t="s">
        <v>104</v>
      </c>
    </row>
    <row r="35" spans="1:14" x14ac:dyDescent="0.25">
      <c r="A35">
        <v>2</v>
      </c>
      <c r="B35" t="s">
        <v>157</v>
      </c>
      <c r="E35">
        <f>G17/G23</f>
        <v>0.21100969571592573</v>
      </c>
      <c r="F35" s="28" t="s">
        <v>119</v>
      </c>
      <c r="G35">
        <f>('Base Shear'!B$125-'Story shear'!G$30)*'Story shear'!E35</f>
        <v>97.211539904521388</v>
      </c>
      <c r="H35" t="s">
        <v>104</v>
      </c>
    </row>
    <row r="36" spans="1:14" x14ac:dyDescent="0.25">
      <c r="A36">
        <v>3</v>
      </c>
      <c r="B36" t="s">
        <v>158</v>
      </c>
      <c r="E36">
        <f>G18/G23</f>
        <v>0.30839878604635301</v>
      </c>
      <c r="F36" s="28" t="s">
        <v>119</v>
      </c>
      <c r="G36">
        <f>('Base Shear'!B$125-'Story shear'!G$30)*'Story shear'!E36</f>
        <v>142.07840447583894</v>
      </c>
      <c r="H36" t="s">
        <v>104</v>
      </c>
    </row>
    <row r="37" spans="1:14" x14ac:dyDescent="0.25">
      <c r="A37">
        <v>4</v>
      </c>
      <c r="B37" t="s">
        <v>159</v>
      </c>
      <c r="E37">
        <f>G19/G23</f>
        <v>0.36458392534412404</v>
      </c>
      <c r="F37" s="28" t="s">
        <v>119</v>
      </c>
      <c r="G37">
        <f>('Base Shear'!B$125-'Story shear'!G$30)*'Story shear'!E37</f>
        <v>167.96273122374078</v>
      </c>
      <c r="H37" t="s">
        <v>104</v>
      </c>
    </row>
    <row r="38" spans="1:14" x14ac:dyDescent="0.25">
      <c r="A38">
        <v>5</v>
      </c>
      <c r="B38" t="s">
        <v>160</v>
      </c>
      <c r="E38">
        <f>G20/G23</f>
        <v>0</v>
      </c>
      <c r="F38" s="28" t="s">
        <v>119</v>
      </c>
      <c r="G38">
        <f>('Base Shear'!B$125-'Story shear'!G$30)*'Story shear'!E38</f>
        <v>0</v>
      </c>
      <c r="H38" t="s">
        <v>104</v>
      </c>
    </row>
    <row r="39" spans="1:14" x14ac:dyDescent="0.25">
      <c r="A39">
        <v>6</v>
      </c>
      <c r="B39" t="s">
        <v>161</v>
      </c>
      <c r="E39">
        <f>G21/G23</f>
        <v>0</v>
      </c>
      <c r="F39" s="28" t="s">
        <v>119</v>
      </c>
      <c r="G39">
        <f>('Base Shear'!B$125-'Story shear'!G$30)*'Story shear'!E39</f>
        <v>0</v>
      </c>
      <c r="H39" t="s">
        <v>104</v>
      </c>
    </row>
    <row r="40" spans="1:14" x14ac:dyDescent="0.25">
      <c r="A40">
        <v>7</v>
      </c>
      <c r="B40" t="s">
        <v>162</v>
      </c>
      <c r="E40">
        <f>G22/G23</f>
        <v>0</v>
      </c>
      <c r="F40" s="28" t="s">
        <v>119</v>
      </c>
      <c r="G40">
        <f>('Base Shear'!B$125-'Story shear'!G$30)*'Story shear'!E40</f>
        <v>0</v>
      </c>
      <c r="H40" t="s">
        <v>104</v>
      </c>
    </row>
    <row r="42" spans="1:14" x14ac:dyDescent="0.25">
      <c r="A42" t="s">
        <v>169</v>
      </c>
    </row>
    <row r="43" spans="1:14" x14ac:dyDescent="0.25">
      <c r="A43" t="s">
        <v>170</v>
      </c>
      <c r="F43" s="28" t="s">
        <v>119</v>
      </c>
      <c r="G43">
        <f>VLOOKUP(L19,A34:G41,7)</f>
        <v>167.96273122374078</v>
      </c>
      <c r="H43" t="s">
        <v>104</v>
      </c>
      <c r="N43">
        <f>IF(L19=1,G34+G30,IF(L19=2,G35+G30,IF(L19=3,G36+G30,IF(L19=4,G37+G30,IF(L19=5,G38+G30,IF(L19=6,G39+G30,IF(L19=7,G40+G30,"modify sheet")))))))</f>
        <v>167.96273122374078</v>
      </c>
    </row>
    <row r="44" spans="1:14" x14ac:dyDescent="0.25">
      <c r="A44" t="s">
        <v>171</v>
      </c>
      <c r="F44" s="28" t="s">
        <v>119</v>
      </c>
      <c r="G44">
        <f>G43+G30</f>
        <v>167.96273122374078</v>
      </c>
      <c r="H44" t="s">
        <v>104</v>
      </c>
    </row>
    <row r="47" spans="1:14" x14ac:dyDescent="0.25">
      <c r="A47" s="69" t="s">
        <v>175</v>
      </c>
      <c r="B47" s="69" t="s">
        <v>146</v>
      </c>
      <c r="C47" s="69" t="s">
        <v>176</v>
      </c>
      <c r="D47" s="69" t="s">
        <v>177</v>
      </c>
      <c r="E47" s="69" t="s">
        <v>178</v>
      </c>
      <c r="F47" s="69" t="s">
        <v>155</v>
      </c>
    </row>
    <row r="48" spans="1:14" x14ac:dyDescent="0.25">
      <c r="A48" s="70">
        <v>1</v>
      </c>
      <c r="B48" s="71">
        <f>H3</f>
        <v>3.5</v>
      </c>
      <c r="C48" s="71">
        <f>G11</f>
        <v>145.80000000000001</v>
      </c>
      <c r="D48" s="71">
        <f>B48*C48</f>
        <v>510.30000000000007</v>
      </c>
      <c r="E48" s="71">
        <f>D48/D52</f>
        <v>0.1160075928935972</v>
      </c>
      <c r="F48" s="71">
        <f>G34</f>
        <v>53.444353386422399</v>
      </c>
    </row>
    <row r="49" spans="1:6" x14ac:dyDescent="0.25">
      <c r="A49" s="70">
        <v>2</v>
      </c>
      <c r="B49" s="71">
        <f>H4</f>
        <v>6.5</v>
      </c>
      <c r="C49" s="71">
        <f>G13</f>
        <v>142.80000000000001</v>
      </c>
      <c r="D49" s="71">
        <f t="shared" ref="D49:D51" si="1">B49*C49</f>
        <v>928.2</v>
      </c>
      <c r="E49" s="71">
        <f>D49/D52</f>
        <v>0.21100969571592573</v>
      </c>
      <c r="F49" s="71">
        <f>G35</f>
        <v>97.211539904521388</v>
      </c>
    </row>
    <row r="50" spans="1:6" x14ac:dyDescent="0.25">
      <c r="A50" s="70">
        <v>3</v>
      </c>
      <c r="B50" s="71">
        <f>H5</f>
        <v>9.5</v>
      </c>
      <c r="C50" s="71">
        <f>G13</f>
        <v>142.80000000000001</v>
      </c>
      <c r="D50" s="71">
        <f t="shared" si="1"/>
        <v>1356.6000000000001</v>
      </c>
      <c r="E50" s="71">
        <f>D50/D52</f>
        <v>0.30839878604635301</v>
      </c>
      <c r="F50" s="71">
        <f>G36</f>
        <v>142.07840447583894</v>
      </c>
    </row>
    <row r="51" spans="1:6" x14ac:dyDescent="0.25">
      <c r="A51" s="70">
        <v>4</v>
      </c>
      <c r="B51" s="71">
        <f>H6</f>
        <v>12.5</v>
      </c>
      <c r="C51" s="71">
        <f>G14</f>
        <v>128.30000000000001</v>
      </c>
      <c r="D51" s="71">
        <f t="shared" si="1"/>
        <v>1603.7500000000002</v>
      </c>
      <c r="E51" s="71">
        <f>D51/D52</f>
        <v>0.36458392534412404</v>
      </c>
      <c r="F51" s="71">
        <f>G44</f>
        <v>167.96273122374078</v>
      </c>
    </row>
    <row r="52" spans="1:6" x14ac:dyDescent="0.25">
      <c r="D52">
        <f>SUM(D48:D51)</f>
        <v>4398.8500000000004</v>
      </c>
    </row>
    <row r="53" spans="1:6" x14ac:dyDescent="0.25">
      <c r="A53" s="69" t="s">
        <v>175</v>
      </c>
      <c r="B53" s="69" t="s">
        <v>146</v>
      </c>
      <c r="C53" s="69" t="s">
        <v>176</v>
      </c>
      <c r="D53" s="69" t="s">
        <v>177</v>
      </c>
      <c r="E53" s="69" t="s">
        <v>178</v>
      </c>
      <c r="F53" s="69" t="s">
        <v>155</v>
      </c>
    </row>
    <row r="54" spans="1:6" x14ac:dyDescent="0.25">
      <c r="A54" s="70">
        <v>4</v>
      </c>
      <c r="B54" s="71">
        <f>B51</f>
        <v>12.5</v>
      </c>
      <c r="C54" s="71">
        <f>C51</f>
        <v>128.30000000000001</v>
      </c>
      <c r="D54" s="71">
        <f>D51</f>
        <v>1603.7500000000002</v>
      </c>
      <c r="E54" s="71">
        <f>E51</f>
        <v>0.36458392534412404</v>
      </c>
      <c r="F54" s="71">
        <f>F51</f>
        <v>167.96273122374078</v>
      </c>
    </row>
    <row r="55" spans="1:6" x14ac:dyDescent="0.25">
      <c r="A55" s="70">
        <v>3</v>
      </c>
      <c r="B55" s="71">
        <f>B50</f>
        <v>9.5</v>
      </c>
      <c r="C55" s="71">
        <f>C50</f>
        <v>142.80000000000001</v>
      </c>
      <c r="D55" s="71">
        <f>D50</f>
        <v>1356.6000000000001</v>
      </c>
      <c r="E55" s="71">
        <f>E50</f>
        <v>0.30839878604635301</v>
      </c>
      <c r="F55" s="71">
        <f>F50</f>
        <v>142.07840447583894</v>
      </c>
    </row>
    <row r="56" spans="1:6" x14ac:dyDescent="0.25">
      <c r="A56" s="70">
        <v>2</v>
      </c>
      <c r="B56" s="71">
        <f>B49</f>
        <v>6.5</v>
      </c>
      <c r="C56" s="71">
        <f>C49</f>
        <v>142.80000000000001</v>
      </c>
      <c r="D56" s="71">
        <f>D49</f>
        <v>928.2</v>
      </c>
      <c r="E56" s="71">
        <f>E49</f>
        <v>0.21100969571592573</v>
      </c>
      <c r="F56" s="71">
        <f>F49</f>
        <v>97.211539904521388</v>
      </c>
    </row>
    <row r="57" spans="1:6" x14ac:dyDescent="0.25">
      <c r="A57" s="70">
        <v>1</v>
      </c>
      <c r="B57" s="71">
        <f>B48</f>
        <v>3.5</v>
      </c>
      <c r="C57" s="71">
        <f>C48</f>
        <v>145.80000000000001</v>
      </c>
      <c r="D57" s="71">
        <f>D48</f>
        <v>510.30000000000007</v>
      </c>
      <c r="E57" s="71">
        <f>E48</f>
        <v>0.1160075928935972</v>
      </c>
      <c r="F57" s="71">
        <f>F48</f>
        <v>53.444353386422399</v>
      </c>
    </row>
  </sheetData>
  <mergeCells count="3">
    <mergeCell ref="F12:F13"/>
    <mergeCell ref="A26:I26"/>
    <mergeCell ref="A32:I32"/>
  </mergeCells>
  <pageMargins left="0.7" right="0.7" top="0.75" bottom="0.75" header="0.3" footer="0.3"/>
  <pageSetup paperSize="9" orientation="portrait" r:id="rId1"/>
  <rowBreaks count="1" manualBreakCount="1">
    <brk id="45" max="8" man="1"/>
  </rowBreaks>
  <colBreaks count="1" manualBreakCount="1">
    <brk id="9" max="29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Frame discription</vt:lpstr>
      <vt:lpstr>Material</vt:lpstr>
      <vt:lpstr>Base Shear</vt:lpstr>
      <vt:lpstr>Story shear</vt:lpstr>
      <vt:lpstr>'Base Shear'!Print_Area</vt:lpstr>
      <vt:lpstr>'Story shear'!Print_Area</vt:lpstr>
    </vt:vector>
  </TitlesOfParts>
  <Company>Bauhaus-Universität Weimar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Mannan</dc:creator>
  <cp:lastModifiedBy>abdul manan</cp:lastModifiedBy>
  <cp:lastPrinted>2018-05-10T16:24:32Z</cp:lastPrinted>
  <dcterms:created xsi:type="dcterms:W3CDTF">2018-05-06T14:05:29Z</dcterms:created>
  <dcterms:modified xsi:type="dcterms:W3CDTF">2019-03-28T17:17:09Z</dcterms:modified>
</cp:coreProperties>
</file>