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Mizuho\"/>
    </mc:Choice>
  </mc:AlternateContent>
  <xr:revisionPtr revIDLastSave="0" documentId="13_ncr:1_{74482649-60E2-433E-8624-C65D10848FBB}" xr6:coauthVersionLast="47" xr6:coauthVersionMax="47" xr10:uidLastSave="{00000000-0000-0000-0000-000000000000}"/>
  <bookViews>
    <workbookView xWindow="-108" yWindow="-108" windowWidth="23256" windowHeight="12456" tabRatio="742" firstSheet="1" activeTab="8" xr2:uid="{00000000-000D-0000-FFFF-FFFF00000000}"/>
  </bookViews>
  <sheets>
    <sheet name="SA Summary" sheetId="11" r:id="rId1"/>
    <sheet name="DRC" sheetId="10" r:id="rId2"/>
    <sheet name="RRAO" sheetId="9" r:id="rId3"/>
    <sheet name="SBM" sheetId="4" r:id="rId4"/>
    <sheet name="GIRR" sheetId="8" r:id="rId5"/>
    <sheet name="Risk_Class_Buckets" sheetId="2" r:id="rId6"/>
    <sheet name="Delta_Vega_Curvature" sheetId="3" r:id="rId7"/>
    <sheet name="Notes_Impacts_FRTB" sheetId="5" r:id="rId8"/>
    <sheet name="FRTB_Tech_Architecture" sheetId="12" r:id="rId9"/>
    <sheet name="FRTB_Notes" sheetId="1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1" l="1"/>
  <c r="G13" i="11"/>
  <c r="G10" i="11"/>
  <c r="G7" i="11"/>
  <c r="G12" i="11"/>
  <c r="G9" i="11"/>
  <c r="G6" i="11"/>
  <c r="G11" i="11"/>
  <c r="G8" i="11"/>
  <c r="G5" i="11"/>
  <c r="L187" i="4"/>
  <c r="K188" i="4" s="1"/>
  <c r="F177" i="4"/>
  <c r="F176" i="4"/>
  <c r="F175" i="4"/>
  <c r="C177" i="4"/>
  <c r="C176" i="4"/>
  <c r="C175" i="4"/>
  <c r="P187" i="4" l="1"/>
  <c r="O188" i="4" s="1"/>
  <c r="B74" i="10" l="1"/>
  <c r="D62" i="10"/>
  <c r="D61" i="10"/>
  <c r="D60" i="10"/>
  <c r="E60" i="10" s="1"/>
  <c r="D68" i="10" s="1"/>
  <c r="C74" i="10" s="1"/>
  <c r="D59" i="10"/>
  <c r="B41" i="10"/>
  <c r="B60" i="10" s="1"/>
  <c r="C33" i="10"/>
  <c r="F68" i="10" s="1"/>
  <c r="E74" i="10" s="1"/>
  <c r="B33" i="10"/>
  <c r="E68" i="10" s="1"/>
  <c r="D74" i="10" s="1"/>
  <c r="F74" i="10" s="1"/>
  <c r="C32" i="10"/>
  <c r="F67" i="10" s="1"/>
  <c r="B32" i="10"/>
  <c r="E67" i="10" s="1"/>
  <c r="C26" i="10"/>
  <c r="B26" i="10"/>
  <c r="C25" i="10"/>
  <c r="B25" i="10"/>
  <c r="C24" i="10"/>
  <c r="C35" i="10" s="1"/>
  <c r="F70" i="10" s="1"/>
  <c r="B24" i="10"/>
  <c r="B35" i="10" s="1"/>
  <c r="C23" i="10"/>
  <c r="C34" i="10" s="1"/>
  <c r="F69" i="10" s="1"/>
  <c r="E75" i="10" s="1"/>
  <c r="B23" i="10"/>
  <c r="B34" i="10" s="1"/>
  <c r="C22" i="10"/>
  <c r="B22" i="10"/>
  <c r="C21" i="10"/>
  <c r="B21" i="10"/>
  <c r="D16" i="9"/>
  <c r="E16" i="9" s="1"/>
  <c r="D15" i="9"/>
  <c r="E15" i="9" s="1"/>
  <c r="D14" i="9"/>
  <c r="E14" i="9" s="1"/>
  <c r="D13" i="9"/>
  <c r="E13" i="9" s="1"/>
  <c r="D12" i="9"/>
  <c r="E12" i="9" s="1"/>
  <c r="D11" i="9"/>
  <c r="E11" i="9" s="1"/>
  <c r="D10" i="9"/>
  <c r="E10" i="9" s="1"/>
  <c r="D9" i="9"/>
  <c r="E9" i="9" s="1"/>
  <c r="D8" i="9"/>
  <c r="E8" i="9" s="1"/>
  <c r="DB5" i="8"/>
  <c r="DC5" i="8"/>
  <c r="DD5" i="8"/>
  <c r="DE5" i="8"/>
  <c r="DF5" i="8"/>
  <c r="DG5" i="8"/>
  <c r="DH5" i="8"/>
  <c r="DI5" i="8"/>
  <c r="DJ5" i="8"/>
  <c r="DK5" i="8"/>
  <c r="M6" i="8"/>
  <c r="AE7" i="8"/>
  <c r="AF7" i="8"/>
  <c r="AG7" i="8"/>
  <c r="AH7" i="8"/>
  <c r="AI7" i="8"/>
  <c r="AJ7" i="8"/>
  <c r="AK7" i="8"/>
  <c r="AL7" i="8"/>
  <c r="AM7" i="8"/>
  <c r="AN7" i="8"/>
  <c r="BD7" i="8"/>
  <c r="BE7" i="8"/>
  <c r="BF7" i="8"/>
  <c r="BG7" i="8"/>
  <c r="BH7" i="8"/>
  <c r="BI7" i="8"/>
  <c r="BJ7" i="8"/>
  <c r="BK7" i="8"/>
  <c r="BL7" i="8"/>
  <c r="BM7" i="8"/>
  <c r="CC7" i="8"/>
  <c r="CD7" i="8"/>
  <c r="CE7" i="8"/>
  <c r="CF7" i="8"/>
  <c r="CG7" i="8"/>
  <c r="CH7" i="8"/>
  <c r="CI7" i="8"/>
  <c r="CJ7" i="8"/>
  <c r="CK7" i="8"/>
  <c r="CL7" i="8"/>
  <c r="U8" i="8"/>
  <c r="AT8" i="8" s="1"/>
  <c r="BD18" i="8" s="1"/>
  <c r="V8" i="8"/>
  <c r="W8" i="8"/>
  <c r="AV8" i="8" s="1"/>
  <c r="BF18" i="8" s="1"/>
  <c r="X8" i="8"/>
  <c r="Y8" i="8"/>
  <c r="AX8" i="8" s="1"/>
  <c r="BH18" i="8" s="1"/>
  <c r="Z8" i="8"/>
  <c r="Z18" i="8" s="1"/>
  <c r="AA8" i="8"/>
  <c r="AZ8" i="8" s="1"/>
  <c r="BJ18" i="8" s="1"/>
  <c r="AB8" i="8"/>
  <c r="AC8" i="8"/>
  <c r="BB8" i="8" s="1"/>
  <c r="BL18" i="8" s="1"/>
  <c r="AD8" i="8"/>
  <c r="BC8" i="8" s="1"/>
  <c r="BM18" i="8" s="1"/>
  <c r="AU8" i="8"/>
  <c r="AW8" i="8"/>
  <c r="BG18" i="8" s="1"/>
  <c r="BA8" i="8"/>
  <c r="BS8" i="8"/>
  <c r="BT8" i="8"/>
  <c r="CD18" i="8" s="1"/>
  <c r="BU8" i="8"/>
  <c r="BV8" i="8"/>
  <c r="BZ8" i="8"/>
  <c r="CJ18" i="8" s="1"/>
  <c r="CB8" i="8"/>
  <c r="CL18" i="8" s="1"/>
  <c r="U9" i="8"/>
  <c r="AT9" i="8" s="1"/>
  <c r="BD19" i="8" s="1"/>
  <c r="V9" i="8"/>
  <c r="AU9" i="8" s="1"/>
  <c r="BE19" i="8" s="1"/>
  <c r="W9" i="8"/>
  <c r="X9" i="8"/>
  <c r="BV9" i="8" s="1"/>
  <c r="CF19" i="8" s="1"/>
  <c r="Y9" i="8"/>
  <c r="BW9" i="8" s="1"/>
  <c r="CG19" i="8" s="1"/>
  <c r="Z9" i="8"/>
  <c r="Z19" i="8" s="1"/>
  <c r="AA9" i="8"/>
  <c r="AK19" i="8" s="1"/>
  <c r="AB9" i="8"/>
  <c r="BA9" i="8" s="1"/>
  <c r="BK19" i="8" s="1"/>
  <c r="AC9" i="8"/>
  <c r="BB9" i="8" s="1"/>
  <c r="BL19" i="8" s="1"/>
  <c r="AD9" i="8"/>
  <c r="BC9" i="8" s="1"/>
  <c r="BM19" i="8" s="1"/>
  <c r="AV9" i="8"/>
  <c r="AW9" i="8"/>
  <c r="BG19" i="8" s="1"/>
  <c r="AX9" i="8"/>
  <c r="BT9" i="8"/>
  <c r="BU9" i="8"/>
  <c r="CE19" i="8" s="1"/>
  <c r="BZ9" i="8"/>
  <c r="U10" i="8"/>
  <c r="AT10" i="8" s="1"/>
  <c r="BD20" i="8" s="1"/>
  <c r="V10" i="8"/>
  <c r="W10" i="8"/>
  <c r="AV10" i="8" s="1"/>
  <c r="BF20" i="8" s="1"/>
  <c r="X10" i="8"/>
  <c r="AW10" i="8" s="1"/>
  <c r="BG20" i="8" s="1"/>
  <c r="Y10" i="8"/>
  <c r="Y20" i="8" s="1"/>
  <c r="BW20" i="8" s="1"/>
  <c r="CG10" i="8" s="1"/>
  <c r="Z10" i="8"/>
  <c r="AY10" i="8" s="1"/>
  <c r="BI20" i="8" s="1"/>
  <c r="AA10" i="8"/>
  <c r="AB10" i="8"/>
  <c r="BA10" i="8" s="1"/>
  <c r="BK20" i="8" s="1"/>
  <c r="AC10" i="8"/>
  <c r="CA10" i="8" s="1"/>
  <c r="CK20" i="8" s="1"/>
  <c r="AD10" i="8"/>
  <c r="BC10" i="8" s="1"/>
  <c r="BM20" i="8" s="1"/>
  <c r="AU10" i="8"/>
  <c r="AZ10" i="8"/>
  <c r="BT10" i="8"/>
  <c r="BU10" i="8"/>
  <c r="CE20" i="8" s="1"/>
  <c r="BY10" i="8"/>
  <c r="BZ10" i="8"/>
  <c r="CJ20" i="8" s="1"/>
  <c r="CB10" i="8"/>
  <c r="CL20" i="8" s="1"/>
  <c r="U11" i="8"/>
  <c r="U21" i="8" s="1"/>
  <c r="V11" i="8"/>
  <c r="AU11" i="8" s="1"/>
  <c r="BE21" i="8" s="1"/>
  <c r="W11" i="8"/>
  <c r="AV11" i="8" s="1"/>
  <c r="BF21" i="8" s="1"/>
  <c r="X11" i="8"/>
  <c r="AH21" i="8" s="1"/>
  <c r="Y11" i="8"/>
  <c r="BW11" i="8" s="1"/>
  <c r="CG21" i="8" s="1"/>
  <c r="Z11" i="8"/>
  <c r="AJ21" i="8" s="1"/>
  <c r="AA11" i="8"/>
  <c r="AZ11" i="8" s="1"/>
  <c r="BJ21" i="8" s="1"/>
  <c r="AB11" i="8"/>
  <c r="BA11" i="8" s="1"/>
  <c r="BK21" i="8" s="1"/>
  <c r="AC11" i="8"/>
  <c r="AC21" i="8" s="1"/>
  <c r="AD11" i="8"/>
  <c r="CB11" i="8" s="1"/>
  <c r="CL21" i="8" s="1"/>
  <c r="AX11" i="8"/>
  <c r="BH21" i="8" s="1"/>
  <c r="BS11" i="8"/>
  <c r="CC21" i="8" s="1"/>
  <c r="BT11" i="8"/>
  <c r="CD21" i="8" s="1"/>
  <c r="BV11" i="8"/>
  <c r="CF21" i="8" s="1"/>
  <c r="BZ11" i="8"/>
  <c r="U12" i="8"/>
  <c r="V12" i="8"/>
  <c r="AF22" i="8" s="1"/>
  <c r="W12" i="8"/>
  <c r="AV12" i="8" s="1"/>
  <c r="BF22" i="8" s="1"/>
  <c r="X12" i="8"/>
  <c r="BV12" i="8" s="1"/>
  <c r="CF22" i="8" s="1"/>
  <c r="Y12" i="8"/>
  <c r="Y22" i="8" s="1"/>
  <c r="Z12" i="8"/>
  <c r="AA12" i="8"/>
  <c r="AZ12" i="8" s="1"/>
  <c r="BJ22" i="8" s="1"/>
  <c r="AB12" i="8"/>
  <c r="BZ12" i="8" s="1"/>
  <c r="CJ22" i="8" s="1"/>
  <c r="AC12" i="8"/>
  <c r="BB12" i="8" s="1"/>
  <c r="BL22" i="8" s="1"/>
  <c r="AD12" i="8"/>
  <c r="BC12" i="8" s="1"/>
  <c r="BM22" i="8" s="1"/>
  <c r="AT12" i="8"/>
  <c r="BD22" i="8" s="1"/>
  <c r="AW12" i="8"/>
  <c r="BG22" i="8" s="1"/>
  <c r="AY12" i="8"/>
  <c r="BI22" i="8" s="1"/>
  <c r="BS12" i="8"/>
  <c r="CC22" i="8" s="1"/>
  <c r="BW12" i="8"/>
  <c r="CG22" i="8" s="1"/>
  <c r="BX12" i="8"/>
  <c r="CH22" i="8" s="1"/>
  <c r="CA12" i="8"/>
  <c r="CK22" i="8" s="1"/>
  <c r="U13" i="8"/>
  <c r="U23" i="8" s="1"/>
  <c r="V13" i="8"/>
  <c r="BT13" i="8" s="1"/>
  <c r="CD23" i="8" s="1"/>
  <c r="W13" i="8"/>
  <c r="BU13" i="8" s="1"/>
  <c r="CE23" i="8" s="1"/>
  <c r="X13" i="8"/>
  <c r="AW13" i="8" s="1"/>
  <c r="BG23" i="8" s="1"/>
  <c r="Y13" i="8"/>
  <c r="AX13" i="8" s="1"/>
  <c r="BH23" i="8" s="1"/>
  <c r="Z13" i="8"/>
  <c r="AY13" i="8" s="1"/>
  <c r="BI23" i="8" s="1"/>
  <c r="AA13" i="8"/>
  <c r="AZ13" i="8" s="1"/>
  <c r="BJ23" i="8" s="1"/>
  <c r="AB13" i="8"/>
  <c r="BZ13" i="8" s="1"/>
  <c r="CJ23" i="8" s="1"/>
  <c r="AC13" i="8"/>
  <c r="AC23" i="8" s="1"/>
  <c r="AD13" i="8"/>
  <c r="CB13" i="8" s="1"/>
  <c r="CL23" i="8" s="1"/>
  <c r="BV13" i="8"/>
  <c r="BW13" i="8"/>
  <c r="CG23" i="8" s="1"/>
  <c r="BX13" i="8"/>
  <c r="U14" i="8"/>
  <c r="AT14" i="8" s="1"/>
  <c r="BD24" i="8" s="1"/>
  <c r="V14" i="8"/>
  <c r="BT14" i="8" s="1"/>
  <c r="CD24" i="8" s="1"/>
  <c r="W14" i="8"/>
  <c r="AV14" i="8" s="1"/>
  <c r="BF24" i="8" s="1"/>
  <c r="X14" i="8"/>
  <c r="AW14" i="8" s="1"/>
  <c r="BG24" i="8" s="1"/>
  <c r="Y14" i="8"/>
  <c r="Z14" i="8"/>
  <c r="AJ24" i="8" s="1"/>
  <c r="AA14" i="8"/>
  <c r="AZ14" i="8" s="1"/>
  <c r="BJ24" i="8" s="1"/>
  <c r="AB14" i="8"/>
  <c r="BA14" i="8" s="1"/>
  <c r="BK24" i="8" s="1"/>
  <c r="AC14" i="8"/>
  <c r="BB14" i="8" s="1"/>
  <c r="BL24" i="8" s="1"/>
  <c r="AD14" i="8"/>
  <c r="BC14" i="8" s="1"/>
  <c r="BM24" i="8" s="1"/>
  <c r="AU14" i="8"/>
  <c r="BE24" i="8" s="1"/>
  <c r="BV14" i="8"/>
  <c r="BY14" i="8"/>
  <c r="CI24" i="8" s="1"/>
  <c r="C15" i="8"/>
  <c r="D15" i="8"/>
  <c r="E15" i="8"/>
  <c r="F15" i="8"/>
  <c r="G15" i="8"/>
  <c r="H15" i="8"/>
  <c r="I15" i="8"/>
  <c r="I29" i="8" s="1"/>
  <c r="H41" i="8" s="1"/>
  <c r="J15" i="8"/>
  <c r="K15" i="8"/>
  <c r="L15" i="8"/>
  <c r="L29" i="8" s="1"/>
  <c r="K41" i="8" s="1"/>
  <c r="U15" i="8"/>
  <c r="AT15" i="8" s="1"/>
  <c r="BD25" i="8" s="1"/>
  <c r="V15" i="8"/>
  <c r="BT15" i="8" s="1"/>
  <c r="CD25" i="8" s="1"/>
  <c r="W15" i="8"/>
  <c r="AV15" i="8" s="1"/>
  <c r="BF25" i="8" s="1"/>
  <c r="X15" i="8"/>
  <c r="AW15" i="8" s="1"/>
  <c r="BG25" i="8" s="1"/>
  <c r="Y15" i="8"/>
  <c r="BW15" i="8" s="1"/>
  <c r="CG25" i="8" s="1"/>
  <c r="Z15" i="8"/>
  <c r="AY15" i="8" s="1"/>
  <c r="BI25" i="8" s="1"/>
  <c r="AA15" i="8"/>
  <c r="AZ15" i="8" s="1"/>
  <c r="BJ25" i="8" s="1"/>
  <c r="AB15" i="8"/>
  <c r="BA15" i="8" s="1"/>
  <c r="BK25" i="8" s="1"/>
  <c r="AC15" i="8"/>
  <c r="BB15" i="8" s="1"/>
  <c r="BL25" i="8" s="1"/>
  <c r="AD15" i="8"/>
  <c r="BC15" i="8" s="1"/>
  <c r="BM25" i="8" s="1"/>
  <c r="BU15" i="8"/>
  <c r="BZ15" i="8"/>
  <c r="CJ25" i="8" s="1"/>
  <c r="C16" i="8"/>
  <c r="D16" i="8"/>
  <c r="E16" i="8"/>
  <c r="F16" i="8"/>
  <c r="F30" i="8" s="1"/>
  <c r="O41" i="8" s="1"/>
  <c r="G16" i="8"/>
  <c r="H16" i="8"/>
  <c r="I16" i="8"/>
  <c r="J16" i="8"/>
  <c r="K16" i="8"/>
  <c r="L16" i="8"/>
  <c r="U16" i="8"/>
  <c r="AT16" i="8" s="1"/>
  <c r="BD26" i="8" s="1"/>
  <c r="V16" i="8"/>
  <c r="AU16" i="8" s="1"/>
  <c r="BE26" i="8" s="1"/>
  <c r="W16" i="8"/>
  <c r="BU16" i="8" s="1"/>
  <c r="CE26" i="8" s="1"/>
  <c r="X16" i="8"/>
  <c r="Y16" i="8"/>
  <c r="BW16" i="8" s="1"/>
  <c r="CG26" i="8" s="1"/>
  <c r="Z16" i="8"/>
  <c r="AY16" i="8" s="1"/>
  <c r="BI26" i="8" s="1"/>
  <c r="AA16" i="8"/>
  <c r="AZ16" i="8" s="1"/>
  <c r="AB16" i="8"/>
  <c r="BA16" i="8" s="1"/>
  <c r="BK26" i="8" s="1"/>
  <c r="AC16" i="8"/>
  <c r="BB16" i="8" s="1"/>
  <c r="AD16" i="8"/>
  <c r="BC16" i="8" s="1"/>
  <c r="BM26" i="8" s="1"/>
  <c r="AV16" i="8"/>
  <c r="AW16" i="8"/>
  <c r="BV16" i="8"/>
  <c r="CA16" i="8"/>
  <c r="U17" i="8"/>
  <c r="BS17" i="8" s="1"/>
  <c r="CC27" i="8" s="1"/>
  <c r="V17" i="8"/>
  <c r="BT17" i="8" s="1"/>
  <c r="CD27" i="8" s="1"/>
  <c r="W17" i="8"/>
  <c r="AV17" i="8" s="1"/>
  <c r="X17" i="8"/>
  <c r="BV17" i="8" s="1"/>
  <c r="CF27" i="8" s="1"/>
  <c r="Y17" i="8"/>
  <c r="AX17" i="8" s="1"/>
  <c r="Z17" i="8"/>
  <c r="AY17" i="8" s="1"/>
  <c r="BI27" i="8" s="1"/>
  <c r="AA17" i="8"/>
  <c r="AA27" i="8" s="1"/>
  <c r="AB17" i="8"/>
  <c r="BA17" i="8" s="1"/>
  <c r="BK27" i="8" s="1"/>
  <c r="AC17" i="8"/>
  <c r="CA17" i="8" s="1"/>
  <c r="CK27" i="8" s="1"/>
  <c r="AD17" i="8"/>
  <c r="BC17" i="8" s="1"/>
  <c r="BM27" i="8" s="1"/>
  <c r="BU17" i="8"/>
  <c r="CB17" i="8"/>
  <c r="C18" i="8"/>
  <c r="C31" i="8" s="1"/>
  <c r="B53" i="8" s="1"/>
  <c r="D18" i="8"/>
  <c r="E18" i="8"/>
  <c r="F18" i="8"/>
  <c r="G18" i="8"/>
  <c r="H18" i="8"/>
  <c r="I18" i="8"/>
  <c r="J18" i="8"/>
  <c r="K18" i="8"/>
  <c r="L18" i="8"/>
  <c r="V18" i="8"/>
  <c r="AF8" i="8" s="1"/>
  <c r="W18" i="8"/>
  <c r="AG8" i="8" s="1"/>
  <c r="X18" i="8"/>
  <c r="AH8" i="8" s="1"/>
  <c r="AB18" i="8"/>
  <c r="AL8" i="8" s="1"/>
  <c r="AD18" i="8"/>
  <c r="AN8" i="8" s="1"/>
  <c r="AF18" i="8"/>
  <c r="AG18" i="8"/>
  <c r="AH18" i="8"/>
  <c r="AJ18" i="8"/>
  <c r="AL18" i="8"/>
  <c r="BE18" i="8"/>
  <c r="BK18" i="8"/>
  <c r="CC18" i="8"/>
  <c r="CE18" i="8"/>
  <c r="CF18" i="8"/>
  <c r="V19" i="8"/>
  <c r="AF9" i="8" s="1"/>
  <c r="W19" i="8"/>
  <c r="BU19" i="8" s="1"/>
  <c r="CE9" i="8" s="1"/>
  <c r="Y19" i="8"/>
  <c r="AX19" i="8" s="1"/>
  <c r="BH9" i="8" s="1"/>
  <c r="AC19" i="8"/>
  <c r="CA19" i="8" s="1"/>
  <c r="CK9" i="8" s="1"/>
  <c r="AD19" i="8"/>
  <c r="AN9" i="8" s="1"/>
  <c r="AF19" i="8"/>
  <c r="AG19" i="8"/>
  <c r="AH19" i="8"/>
  <c r="AM19" i="8"/>
  <c r="AN19" i="8"/>
  <c r="BC19" i="8"/>
  <c r="BM9" i="8" s="1"/>
  <c r="BF19" i="8"/>
  <c r="BH19" i="8"/>
  <c r="CD19" i="8"/>
  <c r="CJ19" i="8"/>
  <c r="C20" i="8"/>
  <c r="C32" i="8" s="1"/>
  <c r="B65" i="8" s="1"/>
  <c r="D20" i="8"/>
  <c r="D32" i="8" s="1"/>
  <c r="C65" i="8" s="1"/>
  <c r="E20" i="8"/>
  <c r="E32" i="8" s="1"/>
  <c r="D65" i="8" s="1"/>
  <c r="F20" i="8"/>
  <c r="F32" i="8" s="1"/>
  <c r="E65" i="8" s="1"/>
  <c r="G20" i="8"/>
  <c r="G32" i="8" s="1"/>
  <c r="F65" i="8" s="1"/>
  <c r="H20" i="8"/>
  <c r="H32" i="8" s="1"/>
  <c r="G65" i="8" s="1"/>
  <c r="I20" i="8"/>
  <c r="I32" i="8" s="1"/>
  <c r="H65" i="8" s="1"/>
  <c r="J20" i="8"/>
  <c r="J32" i="8" s="1"/>
  <c r="I65" i="8" s="1"/>
  <c r="K20" i="8"/>
  <c r="K32" i="8" s="1"/>
  <c r="J65" i="8" s="1"/>
  <c r="L20" i="8"/>
  <c r="U20" i="8"/>
  <c r="AT20" i="8" s="1"/>
  <c r="BD10" i="8" s="1"/>
  <c r="V20" i="8"/>
  <c r="AF10" i="8" s="1"/>
  <c r="AA20" i="8"/>
  <c r="AK10" i="8" s="1"/>
  <c r="AB20" i="8"/>
  <c r="AL10" i="8" s="1"/>
  <c r="AD20" i="8"/>
  <c r="AN10" i="8" s="1"/>
  <c r="AE20" i="8"/>
  <c r="AF20" i="8"/>
  <c r="AK20" i="8"/>
  <c r="AL20" i="8"/>
  <c r="AN20" i="8"/>
  <c r="BC20" i="8"/>
  <c r="BM10" i="8" s="1"/>
  <c r="BE20" i="8"/>
  <c r="BJ20" i="8"/>
  <c r="BT20" i="8"/>
  <c r="CD10" i="8" s="1"/>
  <c r="CD20" i="8"/>
  <c r="CI20" i="8"/>
  <c r="V21" i="8"/>
  <c r="AF11" i="8" s="1"/>
  <c r="W21" i="8"/>
  <c r="AG11" i="8" s="1"/>
  <c r="Y21" i="8"/>
  <c r="AI11" i="8" s="1"/>
  <c r="AB21" i="8"/>
  <c r="AL11" i="8" s="1"/>
  <c r="AD21" i="8"/>
  <c r="AN11" i="8" s="1"/>
  <c r="AF21" i="8"/>
  <c r="AI21" i="8"/>
  <c r="AL21" i="8"/>
  <c r="AN21" i="8"/>
  <c r="BW21" i="8"/>
  <c r="CG11" i="8" s="1"/>
  <c r="CJ21" i="8"/>
  <c r="U22" i="8"/>
  <c r="AE12" i="8" s="1"/>
  <c r="V22" i="8"/>
  <c r="AF12" i="8" s="1"/>
  <c r="Z22" i="8"/>
  <c r="AJ12" i="8" s="1"/>
  <c r="AC22" i="8"/>
  <c r="AM12" i="8" s="1"/>
  <c r="AE22" i="8"/>
  <c r="AG22" i="8"/>
  <c r="AJ22" i="8"/>
  <c r="AK22" i="8"/>
  <c r="AL22" i="8"/>
  <c r="AM22" i="8"/>
  <c r="AN22" i="8"/>
  <c r="BT22" i="8"/>
  <c r="CD12" i="8" s="1"/>
  <c r="W23" i="8"/>
  <c r="AG13" i="8" s="1"/>
  <c r="X23" i="8"/>
  <c r="AH13" i="8" s="1"/>
  <c r="Z23" i="8"/>
  <c r="AJ13" i="8" s="1"/>
  <c r="AA23" i="8"/>
  <c r="AZ23" i="8" s="1"/>
  <c r="BJ13" i="8" s="1"/>
  <c r="AD23" i="8"/>
  <c r="AN13" i="8" s="1"/>
  <c r="AG23" i="8"/>
  <c r="AI23" i="8"/>
  <c r="AJ23" i="8"/>
  <c r="AK23" i="8"/>
  <c r="AN23" i="8"/>
  <c r="CF23" i="8"/>
  <c r="CH23" i="8"/>
  <c r="V24" i="8"/>
  <c r="AF14" i="8" s="1"/>
  <c r="X24" i="8"/>
  <c r="AH14" i="8" s="1"/>
  <c r="Y24" i="8"/>
  <c r="BW24" i="8" s="1"/>
  <c r="CG14" i="8" s="1"/>
  <c r="Z24" i="8"/>
  <c r="AJ14" i="8" s="1"/>
  <c r="AA24" i="8"/>
  <c r="AK14" i="8" s="1"/>
  <c r="AC24" i="8"/>
  <c r="CA24" i="8" s="1"/>
  <c r="CK14" i="8" s="1"/>
  <c r="AD24" i="8"/>
  <c r="AN14" i="8" s="1"/>
  <c r="AF24" i="8"/>
  <c r="AH24" i="8"/>
  <c r="AK24" i="8"/>
  <c r="AN24" i="8"/>
  <c r="CF24" i="8"/>
  <c r="V25" i="8"/>
  <c r="AF15" i="8" s="1"/>
  <c r="W25" i="8"/>
  <c r="AG15" i="8" s="1"/>
  <c r="X25" i="8"/>
  <c r="AH15" i="8" s="1"/>
  <c r="AA25" i="8"/>
  <c r="BY25" i="8" s="1"/>
  <c r="CI15" i="8" s="1"/>
  <c r="AB25" i="8"/>
  <c r="AL15" i="8" s="1"/>
  <c r="AC25" i="8"/>
  <c r="CA25" i="8" s="1"/>
  <c r="CK15" i="8" s="1"/>
  <c r="AD25" i="8"/>
  <c r="AN15" i="8" s="1"/>
  <c r="AF25" i="8"/>
  <c r="AG25" i="8"/>
  <c r="AI25" i="8"/>
  <c r="AK25" i="8"/>
  <c r="AL25" i="8"/>
  <c r="AM25" i="8"/>
  <c r="AN25" i="8"/>
  <c r="CE25" i="8"/>
  <c r="C26" i="8"/>
  <c r="C30" i="8" s="1"/>
  <c r="L41" i="8" s="1"/>
  <c r="D26" i="8"/>
  <c r="D29" i="8" s="1"/>
  <c r="C41" i="8" s="1"/>
  <c r="E26" i="8"/>
  <c r="E29" i="8" s="1"/>
  <c r="D41" i="8" s="1"/>
  <c r="F26" i="8"/>
  <c r="G26" i="8"/>
  <c r="G29" i="8" s="1"/>
  <c r="F41" i="8" s="1"/>
  <c r="H26" i="8"/>
  <c r="H30" i="8" s="1"/>
  <c r="Q41" i="8" s="1"/>
  <c r="I26" i="8"/>
  <c r="I30" i="8" s="1"/>
  <c r="R41" i="8" s="1"/>
  <c r="J26" i="8"/>
  <c r="J29" i="8" s="1"/>
  <c r="I41" i="8" s="1"/>
  <c r="K26" i="8"/>
  <c r="K29" i="8" s="1"/>
  <c r="J41" i="8" s="1"/>
  <c r="L26" i="8"/>
  <c r="L31" i="8" s="1"/>
  <c r="K53" i="8" s="1"/>
  <c r="U26" i="8"/>
  <c r="AE16" i="8" s="1"/>
  <c r="W26" i="8"/>
  <c r="AG16" i="8" s="1"/>
  <c r="X26" i="8"/>
  <c r="AH16" i="8" s="1"/>
  <c r="Z26" i="8"/>
  <c r="AJ16" i="8" s="1"/>
  <c r="AA26" i="8"/>
  <c r="AK16" i="8" s="1"/>
  <c r="AB26" i="8"/>
  <c r="AL16" i="8" s="1"/>
  <c r="AC26" i="8"/>
  <c r="AM16" i="8" s="1"/>
  <c r="AD26" i="8"/>
  <c r="AN16" i="8" s="1"/>
  <c r="AG26" i="8"/>
  <c r="AH26" i="8"/>
  <c r="AI26" i="8"/>
  <c r="AJ26" i="8"/>
  <c r="AK26" i="8"/>
  <c r="AL26" i="8"/>
  <c r="AN26" i="8"/>
  <c r="BA26" i="8"/>
  <c r="BK16" i="8" s="1"/>
  <c r="BF26" i="8"/>
  <c r="BG26" i="8"/>
  <c r="BJ26" i="8"/>
  <c r="BL26" i="8"/>
  <c r="BU26" i="8"/>
  <c r="CE16" i="8" s="1"/>
  <c r="BY26" i="8"/>
  <c r="CI16" i="8" s="1"/>
  <c r="BZ26" i="8"/>
  <c r="CJ16" i="8" s="1"/>
  <c r="CF26" i="8"/>
  <c r="CK26" i="8"/>
  <c r="W27" i="8"/>
  <c r="AG17" i="8" s="1"/>
  <c r="X27" i="8"/>
  <c r="AH17" i="8" s="1"/>
  <c r="Z27" i="8"/>
  <c r="AJ17" i="8" s="1"/>
  <c r="AB27" i="8"/>
  <c r="AL17" i="8" s="1"/>
  <c r="AG27" i="8"/>
  <c r="AH27" i="8"/>
  <c r="AI27" i="8"/>
  <c r="AJ27" i="8"/>
  <c r="AL27" i="8"/>
  <c r="BF27" i="8"/>
  <c r="BH27" i="8"/>
  <c r="CE27" i="8"/>
  <c r="CL27" i="8"/>
  <c r="F29" i="8"/>
  <c r="E41" i="8" s="1"/>
  <c r="K30" i="8"/>
  <c r="T41" i="8" s="1"/>
  <c r="D31" i="8"/>
  <c r="C53" i="8" s="1"/>
  <c r="G31" i="8"/>
  <c r="F53" i="8" s="1"/>
  <c r="L32" i="8"/>
  <c r="K65" i="8" s="1"/>
  <c r="M79" i="8"/>
  <c r="N79" i="8"/>
  <c r="R79" i="8"/>
  <c r="S79" i="8"/>
  <c r="L80" i="8"/>
  <c r="N80" i="8"/>
  <c r="Q80" i="8"/>
  <c r="S80" i="8"/>
  <c r="L81" i="8"/>
  <c r="M81" i="8"/>
  <c r="Q81" i="8"/>
  <c r="R81" i="8"/>
  <c r="AJ8" i="8" l="1"/>
  <c r="BX18" i="8"/>
  <c r="CH8" i="8" s="1"/>
  <c r="X22" i="8"/>
  <c r="AW11" i="8"/>
  <c r="BG21" i="8" s="1"/>
  <c r="AY8" i="8"/>
  <c r="BI18" i="8" s="1"/>
  <c r="AH23" i="8"/>
  <c r="W22" i="8"/>
  <c r="AV22" i="8" s="1"/>
  <c r="BF12" i="8" s="1"/>
  <c r="AG21" i="8"/>
  <c r="AI19" i="8"/>
  <c r="X19" i="8"/>
  <c r="AH9" i="8" s="1"/>
  <c r="BS10" i="8"/>
  <c r="CC20" i="8" s="1"/>
  <c r="BZ27" i="8"/>
  <c r="CJ17" i="8" s="1"/>
  <c r="AH22" i="8"/>
  <c r="AC20" i="8"/>
  <c r="AM10" i="8" s="1"/>
  <c r="BX16" i="8"/>
  <c r="CH26" i="8" s="1"/>
  <c r="CB14" i="8"/>
  <c r="CL24" i="8" s="1"/>
  <c r="BX8" i="8"/>
  <c r="CH18" i="8" s="1"/>
  <c r="AM20" i="8"/>
  <c r="BU18" i="8"/>
  <c r="CE8" i="8" s="1"/>
  <c r="BU27" i="8"/>
  <c r="CE17" i="8" s="1"/>
  <c r="D30" i="8"/>
  <c r="M41" i="8" s="1"/>
  <c r="U19" i="8"/>
  <c r="BS19" i="8" s="1"/>
  <c r="CC9" i="8" s="1"/>
  <c r="Y27" i="8"/>
  <c r="AI17" i="8" s="1"/>
  <c r="AE25" i="8"/>
  <c r="U25" i="8"/>
  <c r="BS25" i="8" s="1"/>
  <c r="CC15" i="8" s="1"/>
  <c r="BY20" i="8"/>
  <c r="CI10" i="8" s="1"/>
  <c r="X20" i="8"/>
  <c r="AH10" i="8" s="1"/>
  <c r="AE19" i="8"/>
  <c r="BX17" i="8"/>
  <c r="CH27" i="8" s="1"/>
  <c r="BS15" i="8"/>
  <c r="CC25" i="8" s="1"/>
  <c r="BU25" i="8"/>
  <c r="CE15" i="8" s="1"/>
  <c r="I31" i="8"/>
  <c r="H53" i="8" s="1"/>
  <c r="AF26" i="8"/>
  <c r="V26" i="8"/>
  <c r="AF16" i="8" s="1"/>
  <c r="F31" i="8"/>
  <c r="E53" i="8" s="1"/>
  <c r="AG24" i="8"/>
  <c r="W24" i="8"/>
  <c r="AV24" i="8" s="1"/>
  <c r="BF14" i="8" s="1"/>
  <c r="Y23" i="8"/>
  <c r="AA22" i="8"/>
  <c r="AK12" i="8" s="1"/>
  <c r="X21" i="8"/>
  <c r="AH11" i="8" s="1"/>
  <c r="AH20" i="8"/>
  <c r="AN18" i="8"/>
  <c r="BV10" i="8"/>
  <c r="CF20" i="8" s="1"/>
  <c r="V27" i="8"/>
  <c r="Y26" i="8"/>
  <c r="AM24" i="8"/>
  <c r="AT22" i="8"/>
  <c r="BD12" i="8" s="1"/>
  <c r="BY12" i="8"/>
  <c r="CI22" i="8" s="1"/>
  <c r="BX10" i="8"/>
  <c r="CH20" i="8" s="1"/>
  <c r="AD27" i="8"/>
  <c r="AN17" i="8" s="1"/>
  <c r="BY23" i="8"/>
  <c r="CI13" i="8" s="1"/>
  <c r="AJ20" i="8"/>
  <c r="Z20" i="8"/>
  <c r="AJ10" i="8" s="1"/>
  <c r="BZ16" i="8"/>
  <c r="CJ26" i="8" s="1"/>
  <c r="AF27" i="8"/>
  <c r="L30" i="8"/>
  <c r="U41" i="8" s="1"/>
  <c r="AN27" i="8"/>
  <c r="CB25" i="8"/>
  <c r="CL15" i="8" s="1"/>
  <c r="BZ21" i="8"/>
  <c r="CJ11" i="8" s="1"/>
  <c r="BZ17" i="8"/>
  <c r="CJ27" i="8" s="1"/>
  <c r="BS14" i="8"/>
  <c r="CC24" i="8" s="1"/>
  <c r="BC13" i="8"/>
  <c r="BM23" i="8" s="1"/>
  <c r="AX16" i="8"/>
  <c r="BH26" i="8" s="1"/>
  <c r="Y18" i="8"/>
  <c r="BW18" i="8" s="1"/>
  <c r="CG8" i="8" s="1"/>
  <c r="BB24" i="8"/>
  <c r="BL14" i="8" s="1"/>
  <c r="AE24" i="8"/>
  <c r="BA21" i="8"/>
  <c r="BK11" i="8" s="1"/>
  <c r="AU20" i="8"/>
  <c r="BE10" i="8" s="1"/>
  <c r="AI18" i="8"/>
  <c r="AV25" i="8"/>
  <c r="BF15" i="8" s="1"/>
  <c r="U24" i="8"/>
  <c r="BS22" i="8"/>
  <c r="CC12" i="8" s="1"/>
  <c r="CA20" i="8"/>
  <c r="CK10" i="8" s="1"/>
  <c r="CA15" i="8"/>
  <c r="CK25" i="8" s="1"/>
  <c r="BA12" i="8"/>
  <c r="BK22" i="8" s="1"/>
  <c r="BB10" i="8"/>
  <c r="BL20" i="8" s="1"/>
  <c r="AY26" i="8"/>
  <c r="BI16" i="8" s="1"/>
  <c r="BU21" i="8"/>
  <c r="CE11" i="8" s="1"/>
  <c r="BA20" i="8"/>
  <c r="BK10" i="8" s="1"/>
  <c r="AX26" i="8"/>
  <c r="BH16" i="8" s="1"/>
  <c r="BC25" i="8"/>
  <c r="BM15" i="8" s="1"/>
  <c r="BY24" i="8"/>
  <c r="CI14" i="8" s="1"/>
  <c r="AW24" i="8"/>
  <c r="BG14" i="8" s="1"/>
  <c r="BV23" i="8"/>
  <c r="CF13" i="8" s="1"/>
  <c r="AY22" i="8"/>
  <c r="BI12" i="8" s="1"/>
  <c r="BS20" i="8"/>
  <c r="CC10" i="8" s="1"/>
  <c r="AZ20" i="8"/>
  <c r="BJ10" i="8" s="1"/>
  <c r="AY18" i="8"/>
  <c r="BI8" i="8" s="1"/>
  <c r="BC11" i="8"/>
  <c r="BM21" i="8" s="1"/>
  <c r="CB9" i="8"/>
  <c r="CL19" i="8" s="1"/>
  <c r="BA25" i="8"/>
  <c r="BK15" i="8" s="1"/>
  <c r="BV24" i="8"/>
  <c r="CF14" i="8" s="1"/>
  <c r="AW22" i="8"/>
  <c r="BG12" i="8" s="1"/>
  <c r="BZ18" i="8"/>
  <c r="CJ8" i="8" s="1"/>
  <c r="AV18" i="8"/>
  <c r="BF8" i="8" s="1"/>
  <c r="AW17" i="8"/>
  <c r="BG27" i="8" s="1"/>
  <c r="BU14" i="8"/>
  <c r="CE24" i="8" s="1"/>
  <c r="CA9" i="8"/>
  <c r="CK19" i="8" s="1"/>
  <c r="J30" i="8"/>
  <c r="S41" i="8" s="1"/>
  <c r="J31" i="8"/>
  <c r="I53" i="8" s="1"/>
  <c r="AY23" i="8"/>
  <c r="BI13" i="8" s="1"/>
  <c r="CA11" i="8"/>
  <c r="CK21" i="8" s="1"/>
  <c r="BZ25" i="8"/>
  <c r="CJ15" i="8" s="1"/>
  <c r="AU25" i="8"/>
  <c r="BE15" i="8" s="1"/>
  <c r="AX23" i="8"/>
  <c r="BH13" i="8" s="1"/>
  <c r="AV21" i="8"/>
  <c r="BF11" i="8" s="1"/>
  <c r="AW19" i="8"/>
  <c r="BG9" i="8" s="1"/>
  <c r="AW27" i="8"/>
  <c r="BG17" i="8" s="1"/>
  <c r="AW23" i="8"/>
  <c r="BG13" i="8" s="1"/>
  <c r="BV19" i="8"/>
  <c r="CF9" i="8" s="1"/>
  <c r="H31" i="8"/>
  <c r="G53" i="8" s="1"/>
  <c r="CB16" i="8"/>
  <c r="CL26" i="8" s="1"/>
  <c r="BT19" i="8"/>
  <c r="CD9" i="8" s="1"/>
  <c r="AE10" i="8"/>
  <c r="BV27" i="8"/>
  <c r="CF17" i="8" s="1"/>
  <c r="AZ26" i="8"/>
  <c r="BJ16" i="8" s="1"/>
  <c r="BX23" i="8"/>
  <c r="CH13" i="8" s="1"/>
  <c r="BB20" i="8"/>
  <c r="BL10" i="8" s="1"/>
  <c r="AY14" i="8"/>
  <c r="BI24" i="8" s="1"/>
  <c r="AJ9" i="8"/>
  <c r="AY19" i="8"/>
  <c r="BI9" i="8" s="1"/>
  <c r="BX19" i="8"/>
  <c r="CH9" i="8" s="1"/>
  <c r="AK17" i="8"/>
  <c r="BY27" i="8"/>
  <c r="CI17" i="8" s="1"/>
  <c r="AV23" i="8"/>
  <c r="BF13" i="8" s="1"/>
  <c r="AY9" i="8"/>
  <c r="BI19" i="8" s="1"/>
  <c r="K31" i="8"/>
  <c r="J53" i="8" s="1"/>
  <c r="CB27" i="8"/>
  <c r="CL17" i="8" s="1"/>
  <c r="BT27" i="8"/>
  <c r="CD17" i="8" s="1"/>
  <c r="BX26" i="8"/>
  <c r="CH16" i="8" s="1"/>
  <c r="BX24" i="8"/>
  <c r="CH14" i="8" s="1"/>
  <c r="AU24" i="8"/>
  <c r="BE14" i="8" s="1"/>
  <c r="AF23" i="8"/>
  <c r="V23" i="8"/>
  <c r="BB22" i="8"/>
  <c r="BL12" i="8" s="1"/>
  <c r="AD22" i="8"/>
  <c r="CB21" i="8"/>
  <c r="CL11" i="8" s="1"/>
  <c r="AX21" i="8"/>
  <c r="BH11" i="8" s="1"/>
  <c r="BV20" i="8"/>
  <c r="CF10" i="8" s="1"/>
  <c r="W20" i="8"/>
  <c r="AV20" i="8" s="1"/>
  <c r="BF10" i="8" s="1"/>
  <c r="AU19" i="8"/>
  <c r="BE9" i="8" s="1"/>
  <c r="BC18" i="8"/>
  <c r="BM8" i="8" s="1"/>
  <c r="AM18" i="8"/>
  <c r="AE18" i="8"/>
  <c r="BY17" i="8"/>
  <c r="CI27" i="8" s="1"/>
  <c r="BB17" i="8"/>
  <c r="BL27" i="8" s="1"/>
  <c r="BT16" i="8"/>
  <c r="CD26" i="8" s="1"/>
  <c r="BV15" i="8"/>
  <c r="CF25" i="8" s="1"/>
  <c r="AU15" i="8"/>
  <c r="BE25" i="8" s="1"/>
  <c r="BA13" i="8"/>
  <c r="BK23" i="8" s="1"/>
  <c r="BU11" i="8"/>
  <c r="CE21" i="8" s="1"/>
  <c r="BX9" i="8"/>
  <c r="CH19" i="8" s="1"/>
  <c r="AM27" i="8"/>
  <c r="BV25" i="8"/>
  <c r="CF15" i="8" s="1"/>
  <c r="AW21" i="8"/>
  <c r="BG11" i="8" s="1"/>
  <c r="BV26" i="8"/>
  <c r="CF16" i="8" s="1"/>
  <c r="BT24" i="8"/>
  <c r="CD14" i="8" s="1"/>
  <c r="BC24" i="8"/>
  <c r="BM14" i="8" s="1"/>
  <c r="BU23" i="8"/>
  <c r="CE13" i="8" s="1"/>
  <c r="BC23" i="8"/>
  <c r="BM13" i="8" s="1"/>
  <c r="AL23" i="8"/>
  <c r="AB23" i="8"/>
  <c r="CA22" i="8"/>
  <c r="CK12" i="8" s="1"/>
  <c r="AZ22" i="8"/>
  <c r="BJ12" i="8" s="1"/>
  <c r="AB22" i="8"/>
  <c r="AK18" i="8"/>
  <c r="AC18" i="8"/>
  <c r="U18" i="8"/>
  <c r="BW17" i="8"/>
  <c r="CG27" i="8" s="1"/>
  <c r="AZ17" i="8"/>
  <c r="BJ27" i="8" s="1"/>
  <c r="CB15" i="8"/>
  <c r="CL25" i="8" s="1"/>
  <c r="CA14" i="8"/>
  <c r="CK24" i="8" s="1"/>
  <c r="BT12" i="8"/>
  <c r="CD22" i="8" s="1"/>
  <c r="BW19" i="8"/>
  <c r="CG9" i="8" s="1"/>
  <c r="AK27" i="8"/>
  <c r="AC27" i="8"/>
  <c r="U27" i="8"/>
  <c r="BT25" i="8"/>
  <c r="CD15" i="8" s="1"/>
  <c r="AU21" i="8"/>
  <c r="BE11" i="8" s="1"/>
  <c r="CB20" i="8"/>
  <c r="CL10" i="8" s="1"/>
  <c r="AL19" i="8"/>
  <c r="BV18" i="8"/>
  <c r="CF8" i="8" s="1"/>
  <c r="AW18" i="8"/>
  <c r="BG8" i="8" s="1"/>
  <c r="BZ14" i="8"/>
  <c r="CJ24" i="8" s="1"/>
  <c r="AM14" i="8"/>
  <c r="CB12" i="8"/>
  <c r="CL22" i="8" s="1"/>
  <c r="AU12" i="8"/>
  <c r="BE22" i="8" s="1"/>
  <c r="CA8" i="8"/>
  <c r="CK18" i="8" s="1"/>
  <c r="AE27" i="8"/>
  <c r="BX27" i="8"/>
  <c r="CH17" i="8" s="1"/>
  <c r="CB26" i="8"/>
  <c r="CL16" i="8" s="1"/>
  <c r="BT26" i="8"/>
  <c r="CD16" i="8" s="1"/>
  <c r="AJ25" i="8"/>
  <c r="CB24" i="8"/>
  <c r="CL14" i="8" s="1"/>
  <c r="AL24" i="8"/>
  <c r="CB23" i="8"/>
  <c r="CL13" i="8" s="1"/>
  <c r="BY22" i="8"/>
  <c r="CI12" i="8" s="1"/>
  <c r="BV21" i="8"/>
  <c r="CF11" i="8" s="1"/>
  <c r="AA18" i="8"/>
  <c r="BY18" i="8" s="1"/>
  <c r="CI8" i="8" s="1"/>
  <c r="AU17" i="8"/>
  <c r="BE27" i="8" s="1"/>
  <c r="AV13" i="8"/>
  <c r="BF23" i="8" s="1"/>
  <c r="AI9" i="8"/>
  <c r="B68" i="8" a="1"/>
  <c r="B68" i="8" s="1"/>
  <c r="D77" i="8" s="1"/>
  <c r="C29" i="8"/>
  <c r="B41" i="8" s="1"/>
  <c r="BW27" i="8"/>
  <c r="CG17" i="8" s="1"/>
  <c r="AV27" i="8"/>
  <c r="BF17" i="8" s="1"/>
  <c r="CA26" i="8"/>
  <c r="CK16" i="8" s="1"/>
  <c r="BS26" i="8"/>
  <c r="CC16" i="8" s="1"/>
  <c r="AM26" i="8"/>
  <c r="AE26" i="8"/>
  <c r="AW25" i="8"/>
  <c r="BG15" i="8" s="1"/>
  <c r="AZ24" i="8"/>
  <c r="BJ14" i="8" s="1"/>
  <c r="AB24" i="8"/>
  <c r="BX22" i="8"/>
  <c r="CH12" i="8" s="1"/>
  <c r="AU22" i="8"/>
  <c r="BE12" i="8" s="1"/>
  <c r="BC21" i="8"/>
  <c r="BM11" i="8" s="1"/>
  <c r="Z21" i="8"/>
  <c r="BZ20" i="8"/>
  <c r="CJ10" i="8" s="1"/>
  <c r="CB19" i="8"/>
  <c r="CL9" i="8" s="1"/>
  <c r="AJ19" i="8"/>
  <c r="AB19" i="8"/>
  <c r="CB18" i="8"/>
  <c r="CL8" i="8" s="1"/>
  <c r="BT18" i="8"/>
  <c r="CD8" i="8" s="1"/>
  <c r="AU18" i="8"/>
  <c r="BE8" i="8" s="1"/>
  <c r="AT17" i="8"/>
  <c r="BD27" i="8" s="1"/>
  <c r="BY15" i="8"/>
  <c r="CI25" i="8" s="1"/>
  <c r="BX14" i="8"/>
  <c r="CH24" i="8" s="1"/>
  <c r="AU13" i="8"/>
  <c r="BE23" i="8" s="1"/>
  <c r="BX11" i="8"/>
  <c r="CH21" i="8" s="1"/>
  <c r="AY11" i="8"/>
  <c r="BI21" i="8" s="1"/>
  <c r="BY8" i="8"/>
  <c r="CI18" i="8" s="1"/>
  <c r="AH25" i="8"/>
  <c r="Z25" i="8"/>
  <c r="AY24" i="8"/>
  <c r="BI14" i="8" s="1"/>
  <c r="BT21" i="8"/>
  <c r="CD11" i="8" s="1"/>
  <c r="AW20" i="8"/>
  <c r="BG10" i="8" s="1"/>
  <c r="BX15" i="8"/>
  <c r="CH25" i="8" s="1"/>
  <c r="B43" i="10"/>
  <c r="B62" i="10" s="1"/>
  <c r="E70" i="10"/>
  <c r="B42" i="10"/>
  <c r="B61" i="10" s="1"/>
  <c r="E61" i="10" s="1"/>
  <c r="C69" i="10" s="1"/>
  <c r="E69" i="10"/>
  <c r="D75" i="10" s="1"/>
  <c r="F75" i="10" s="1"/>
  <c r="D73" i="10"/>
  <c r="F73" i="10" s="1"/>
  <c r="E62" i="10"/>
  <c r="C70" i="10" s="1"/>
  <c r="E73" i="10"/>
  <c r="G74" i="10"/>
  <c r="B40" i="10"/>
  <c r="B59" i="10" s="1"/>
  <c r="E59" i="10" s="1"/>
  <c r="C67" i="10" s="1"/>
  <c r="B19" i="9"/>
  <c r="C18" i="11" s="1"/>
  <c r="AX22" i="8"/>
  <c r="BH12" i="8" s="1"/>
  <c r="AI12" i="8"/>
  <c r="BW22" i="8"/>
  <c r="CG12" i="8" s="1"/>
  <c r="BB21" i="8"/>
  <c r="BL11" i="8" s="1"/>
  <c r="AM11" i="8"/>
  <c r="CA21" i="8"/>
  <c r="CK11" i="8" s="1"/>
  <c r="AT21" i="8"/>
  <c r="BD11" i="8" s="1"/>
  <c r="AE11" i="8"/>
  <c r="BS21" i="8"/>
  <c r="CC11" i="8" s="1"/>
  <c r="D80" i="8"/>
  <c r="BB23" i="8"/>
  <c r="BL13" i="8" s="1"/>
  <c r="AM13" i="8"/>
  <c r="CA23" i="8"/>
  <c r="CK13" i="8" s="1"/>
  <c r="AT23" i="8"/>
  <c r="BD13" i="8" s="1"/>
  <c r="AE13" i="8"/>
  <c r="BS23" i="8"/>
  <c r="CC13" i="8" s="1"/>
  <c r="E31" i="8"/>
  <c r="D53" i="8" s="1"/>
  <c r="G30" i="8"/>
  <c r="P41" i="8" s="1"/>
  <c r="AZ27" i="8"/>
  <c r="BJ17" i="8" s="1"/>
  <c r="AV26" i="8"/>
  <c r="BF16" i="8" s="1"/>
  <c r="AX14" i="8"/>
  <c r="BH24" i="8" s="1"/>
  <c r="AI24" i="8"/>
  <c r="CA13" i="8"/>
  <c r="CK23" i="8" s="1"/>
  <c r="BS13" i="8"/>
  <c r="CC23" i="8" s="1"/>
  <c r="BY11" i="8"/>
  <c r="CI21" i="8" s="1"/>
  <c r="H29" i="8"/>
  <c r="G41" i="8" s="1"/>
  <c r="AY27" i="8"/>
  <c r="BI17" i="8" s="1"/>
  <c r="BC26" i="8"/>
  <c r="BM16" i="8" s="1"/>
  <c r="AU26" i="8"/>
  <c r="BE16" i="8" s="1"/>
  <c r="BY16" i="8"/>
  <c r="CI26" i="8" s="1"/>
  <c r="BW14" i="8"/>
  <c r="CG24" i="8" s="1"/>
  <c r="AG14" i="8"/>
  <c r="BU12" i="8"/>
  <c r="CE22" i="8" s="1"/>
  <c r="E30" i="8"/>
  <c r="N41" i="8" s="1"/>
  <c r="AX27" i="8"/>
  <c r="BH17" i="8" s="1"/>
  <c r="BB26" i="8"/>
  <c r="BL16" i="8" s="1"/>
  <c r="AT26" i="8"/>
  <c r="BD16" i="8" s="1"/>
  <c r="AX18" i="8"/>
  <c r="BH8" i="8" s="1"/>
  <c r="Y25" i="8"/>
  <c r="AX15" i="8"/>
  <c r="BH25" i="8" s="1"/>
  <c r="BY13" i="8"/>
  <c r="CI23" i="8" s="1"/>
  <c r="AK13" i="8"/>
  <c r="BW8" i="8"/>
  <c r="AM15" i="8"/>
  <c r="BB25" i="8"/>
  <c r="BL15" i="8" s="1"/>
  <c r="AX24" i="8"/>
  <c r="BH14" i="8" s="1"/>
  <c r="AI14" i="8"/>
  <c r="BU22" i="8"/>
  <c r="CE12" i="8" s="1"/>
  <c r="AK21" i="8"/>
  <c r="BU20" i="8"/>
  <c r="CE10" i="8" s="1"/>
  <c r="AG20" i="8"/>
  <c r="AX20" i="8"/>
  <c r="BH10" i="8" s="1"/>
  <c r="AI10" i="8"/>
  <c r="AG9" i="8"/>
  <c r="AV19" i="8"/>
  <c r="BF9" i="8" s="1"/>
  <c r="BB11" i="8"/>
  <c r="BL21" i="8" s="1"/>
  <c r="AM21" i="8"/>
  <c r="AT11" i="8"/>
  <c r="BD21" i="8" s="1"/>
  <c r="AE21" i="8"/>
  <c r="AX10" i="8"/>
  <c r="BH20" i="8" s="1"/>
  <c r="AI20" i="8"/>
  <c r="BS9" i="8"/>
  <c r="CC19" i="8" s="1"/>
  <c r="AA19" i="8"/>
  <c r="AZ9" i="8"/>
  <c r="AA21" i="8"/>
  <c r="BW10" i="8"/>
  <c r="CG20" i="8" s="1"/>
  <c r="AG10" i="8"/>
  <c r="AK15" i="8"/>
  <c r="AZ25" i="8"/>
  <c r="BJ15" i="8" s="1"/>
  <c r="AE9" i="8"/>
  <c r="AT19" i="8"/>
  <c r="BD9" i="8" s="1"/>
  <c r="BB13" i="8"/>
  <c r="BL23" i="8" s="1"/>
  <c r="AM23" i="8"/>
  <c r="AT13" i="8"/>
  <c r="BD23" i="8" s="1"/>
  <c r="AE23" i="8"/>
  <c r="AX12" i="8"/>
  <c r="BH22" i="8" s="1"/>
  <c r="AI22" i="8"/>
  <c r="BY9" i="8"/>
  <c r="CI19" i="8" s="1"/>
  <c r="BA27" i="8"/>
  <c r="BK17" i="8" s="1"/>
  <c r="AW26" i="8"/>
  <c r="BG16" i="8" s="1"/>
  <c r="AM9" i="8"/>
  <c r="BB19" i="8"/>
  <c r="BL9" i="8" s="1"/>
  <c r="BS16" i="8"/>
  <c r="CC26" i="8" s="1"/>
  <c r="AG12" i="8"/>
  <c r="BA18" i="8"/>
  <c r="BK8" i="8" s="1"/>
  <c r="AI8" i="8" l="1"/>
  <c r="BX20" i="8"/>
  <c r="CH10" i="8" s="1"/>
  <c r="AY20" i="8"/>
  <c r="BI10" i="8" s="1"/>
  <c r="AI13" i="8"/>
  <c r="BW23" i="8"/>
  <c r="CG13" i="8" s="1"/>
  <c r="AE15" i="8"/>
  <c r="AH12" i="8"/>
  <c r="BV22" i="8"/>
  <c r="CF12" i="8" s="1"/>
  <c r="AT25" i="8"/>
  <c r="BD15" i="8" s="1"/>
  <c r="BU24" i="8"/>
  <c r="CE14" i="8" s="1"/>
  <c r="BC27" i="8"/>
  <c r="BM17" i="8" s="1"/>
  <c r="AE14" i="8"/>
  <c r="AT24" i="8"/>
  <c r="BD14" i="8" s="1"/>
  <c r="BS24" i="8"/>
  <c r="CC14" i="8" s="1"/>
  <c r="AI16" i="8"/>
  <c r="BW26" i="8"/>
  <c r="CG16" i="8" s="1"/>
  <c r="AF17" i="8"/>
  <c r="AU27" i="8"/>
  <c r="BE17" i="8" s="1"/>
  <c r="CA18" i="8"/>
  <c r="CK8" i="8" s="1"/>
  <c r="AM8" i="8"/>
  <c r="BB18" i="8"/>
  <c r="BL8" i="8" s="1"/>
  <c r="AF13" i="8"/>
  <c r="BT23" i="8"/>
  <c r="CD13" i="8" s="1"/>
  <c r="AU23" i="8"/>
  <c r="BE13" i="8" s="1"/>
  <c r="AK8" i="8"/>
  <c r="AL9" i="8"/>
  <c r="BZ19" i="8"/>
  <c r="CJ9" i="8" s="1"/>
  <c r="BA19" i="8"/>
  <c r="BK9" i="8" s="1"/>
  <c r="AL14" i="8"/>
  <c r="BZ24" i="8"/>
  <c r="CJ14" i="8" s="1"/>
  <c r="BA24" i="8"/>
  <c r="BK14" i="8" s="1"/>
  <c r="AL12" i="8"/>
  <c r="BA22" i="8"/>
  <c r="BK12" i="8" s="1"/>
  <c r="BZ22" i="8"/>
  <c r="CJ12" i="8" s="1"/>
  <c r="B80" i="8"/>
  <c r="AL13" i="8"/>
  <c r="BZ23" i="8"/>
  <c r="CJ13" i="8" s="1"/>
  <c r="BA23" i="8"/>
  <c r="BK13" i="8" s="1"/>
  <c r="AZ18" i="8"/>
  <c r="BJ8" i="8" s="1"/>
  <c r="D81" i="8"/>
  <c r="AJ15" i="8"/>
  <c r="AY25" i="8"/>
  <c r="BI15" i="8" s="1"/>
  <c r="BX25" i="8"/>
  <c r="CH15" i="8" s="1"/>
  <c r="AJ11" i="8"/>
  <c r="AY21" i="8"/>
  <c r="BI11" i="8" s="1"/>
  <c r="BX21" i="8"/>
  <c r="CH11" i="8" s="1"/>
  <c r="AE17" i="8"/>
  <c r="AT27" i="8"/>
  <c r="BD17" i="8" s="1"/>
  <c r="BS27" i="8"/>
  <c r="CC17" i="8" s="1"/>
  <c r="AM17" i="8"/>
  <c r="BB27" i="8"/>
  <c r="BL17" i="8" s="1"/>
  <c r="CA27" i="8"/>
  <c r="CK17" i="8" s="1"/>
  <c r="AE8" i="8"/>
  <c r="AT18" i="8"/>
  <c r="BD8" i="8" s="1"/>
  <c r="BS18" i="8"/>
  <c r="CC8" i="8" s="1"/>
  <c r="AN12" i="8"/>
  <c r="CB22" i="8"/>
  <c r="CL12" i="8" s="1"/>
  <c r="BC22" i="8"/>
  <c r="BM12" i="8" s="1"/>
  <c r="C75" i="10"/>
  <c r="B75" i="10"/>
  <c r="G75" i="10" s="1"/>
  <c r="B73" i="10"/>
  <c r="G73" i="10" s="1"/>
  <c r="B79" i="10" s="1"/>
  <c r="C73" i="10"/>
  <c r="BW25" i="8"/>
  <c r="CG15" i="8" s="1"/>
  <c r="AX25" i="8"/>
  <c r="BH15" i="8" s="1"/>
  <c r="AI15" i="8"/>
  <c r="BJ19" i="8"/>
  <c r="B69" i="8" a="1"/>
  <c r="B69" i="8" s="1"/>
  <c r="D78" i="8" s="1"/>
  <c r="B57" i="8" a="1"/>
  <c r="B57" i="8" s="1"/>
  <c r="C78" i="8" s="1"/>
  <c r="BY19" i="8"/>
  <c r="CI9" i="8" s="1"/>
  <c r="AK9" i="8"/>
  <c r="AZ19" i="8"/>
  <c r="BJ9" i="8" s="1"/>
  <c r="B56" i="8" a="1"/>
  <c r="B56" i="8" s="1"/>
  <c r="C77" i="8" s="1"/>
  <c r="C80" i="8"/>
  <c r="B58" i="8" a="1"/>
  <c r="B58" i="8" s="1"/>
  <c r="C79" i="8" s="1"/>
  <c r="B70" i="8" a="1"/>
  <c r="B70" i="8" s="1"/>
  <c r="D79" i="8" s="1"/>
  <c r="CG18" i="8"/>
  <c r="AZ21" i="8"/>
  <c r="BJ11" i="8" s="1"/>
  <c r="BY21" i="8"/>
  <c r="CI11" i="8" s="1"/>
  <c r="AK11" i="8"/>
  <c r="B46" i="8" l="1" a="1"/>
  <c r="B46" i="8" s="1"/>
  <c r="B79" i="8" s="1"/>
  <c r="B87" i="8" s="1" a="1"/>
  <c r="B87" i="8" s="1"/>
  <c r="D87" i="8" s="1" a="1"/>
  <c r="D87" i="8" s="1"/>
  <c r="D11" i="11" s="1"/>
  <c r="I11" i="11" s="1"/>
  <c r="C81" i="8"/>
  <c r="B45" i="8" a="1"/>
  <c r="B45" i="8" s="1"/>
  <c r="B78" i="8" s="1"/>
  <c r="B44" i="8" a="1"/>
  <c r="B44" i="8" s="1"/>
  <c r="B77" i="8" s="1"/>
  <c r="B86" i="8" l="1" a="1"/>
  <c r="B86" i="8" s="1"/>
  <c r="D86" i="8" s="1"/>
  <c r="D8" i="11" s="1"/>
  <c r="I8" i="11" s="1"/>
  <c r="B85" i="8" a="1"/>
  <c r="B85" i="8" s="1"/>
  <c r="D85" i="8" s="1"/>
  <c r="D5" i="11" s="1"/>
  <c r="I5" i="11" s="1"/>
  <c r="B90" i="8"/>
  <c r="B81" i="8"/>
  <c r="C87" i="8" s="1" a="1"/>
  <c r="C87" i="8" s="1"/>
  <c r="C130" i="4"/>
  <c r="C131" i="4"/>
  <c r="C129" i="4"/>
  <c r="D130" i="4"/>
  <c r="D131" i="4"/>
  <c r="D129" i="4"/>
  <c r="AE96" i="4"/>
  <c r="AF96" i="4"/>
  <c r="AG96" i="4"/>
  <c r="AH96" i="4"/>
  <c r="AI96" i="4"/>
  <c r="AJ96" i="4"/>
  <c r="AK96" i="4"/>
  <c r="AL96" i="4"/>
  <c r="AM96" i="4"/>
  <c r="AE97" i="4"/>
  <c r="AF97" i="4"/>
  <c r="AG97" i="4"/>
  <c r="AH97" i="4"/>
  <c r="AI97" i="4"/>
  <c r="AJ97" i="4"/>
  <c r="AK97" i="4"/>
  <c r="AL97" i="4"/>
  <c r="AM97" i="4"/>
  <c r="AE98" i="4"/>
  <c r="AF98" i="4"/>
  <c r="AG98" i="4"/>
  <c r="AH98" i="4"/>
  <c r="AI98" i="4"/>
  <c r="AJ98" i="4"/>
  <c r="AK98" i="4"/>
  <c r="AL98" i="4"/>
  <c r="AM98" i="4"/>
  <c r="AE99" i="4"/>
  <c r="AF99" i="4"/>
  <c r="AG99" i="4"/>
  <c r="AH99" i="4"/>
  <c r="AI99" i="4"/>
  <c r="AJ99" i="4"/>
  <c r="AK99" i="4"/>
  <c r="AL99" i="4"/>
  <c r="AM99" i="4"/>
  <c r="AE100" i="4"/>
  <c r="AF100" i="4"/>
  <c r="AG100" i="4"/>
  <c r="AH100" i="4"/>
  <c r="AI100" i="4"/>
  <c r="AJ100" i="4"/>
  <c r="AK100" i="4"/>
  <c r="AL100" i="4"/>
  <c r="AM100" i="4"/>
  <c r="AE101" i="4"/>
  <c r="AF101" i="4"/>
  <c r="AG101" i="4"/>
  <c r="AH101" i="4"/>
  <c r="AI101" i="4"/>
  <c r="AJ101" i="4"/>
  <c r="AK101" i="4"/>
  <c r="AL101" i="4"/>
  <c r="AM101" i="4"/>
  <c r="AE102" i="4"/>
  <c r="AF102" i="4"/>
  <c r="AG102" i="4"/>
  <c r="AH102" i="4"/>
  <c r="AI102" i="4"/>
  <c r="AJ102" i="4"/>
  <c r="AK102" i="4"/>
  <c r="AL102" i="4"/>
  <c r="AM102" i="4"/>
  <c r="AE103" i="4"/>
  <c r="AF103" i="4"/>
  <c r="AG103" i="4"/>
  <c r="AH103" i="4"/>
  <c r="AI103" i="4"/>
  <c r="AJ103" i="4"/>
  <c r="AK103" i="4"/>
  <c r="AL103" i="4"/>
  <c r="AM103" i="4"/>
  <c r="AE104" i="4"/>
  <c r="AF104" i="4"/>
  <c r="AG104" i="4"/>
  <c r="AH104" i="4"/>
  <c r="AI104" i="4"/>
  <c r="AJ104" i="4"/>
  <c r="AK104" i="4"/>
  <c r="AL104" i="4"/>
  <c r="AM104" i="4"/>
  <c r="AE105" i="4"/>
  <c r="AF105" i="4"/>
  <c r="AG105" i="4"/>
  <c r="AH105" i="4"/>
  <c r="AI105" i="4"/>
  <c r="AJ105" i="4"/>
  <c r="AK105" i="4"/>
  <c r="AL105" i="4"/>
  <c r="AM105" i="4"/>
  <c r="AD97" i="4"/>
  <c r="AD98" i="4"/>
  <c r="AD99" i="4"/>
  <c r="AD100" i="4"/>
  <c r="AD101" i="4"/>
  <c r="AD102" i="4"/>
  <c r="AD103" i="4"/>
  <c r="AD104" i="4"/>
  <c r="AD105" i="4"/>
  <c r="AD96" i="4"/>
  <c r="C16" i="11" l="1"/>
  <c r="C21" i="11" s="1"/>
  <c r="C86" i="8" a="1"/>
  <c r="C86" i="8" s="1"/>
  <c r="C85" i="8" a="1"/>
  <c r="C85" i="8" s="1"/>
  <c r="Q97" i="4"/>
  <c r="R97" i="4"/>
  <c r="S97" i="4"/>
  <c r="T97" i="4"/>
  <c r="U97" i="4"/>
  <c r="V97" i="4"/>
  <c r="W97" i="4"/>
  <c r="X97" i="4"/>
  <c r="Y97" i="4"/>
  <c r="Z97" i="4"/>
  <c r="Q98" i="4"/>
  <c r="R98" i="4"/>
  <c r="S98" i="4"/>
  <c r="T98" i="4"/>
  <c r="U98" i="4"/>
  <c r="V98" i="4"/>
  <c r="W98" i="4"/>
  <c r="X98" i="4"/>
  <c r="Y98" i="4"/>
  <c r="Z98" i="4"/>
  <c r="Q99" i="4"/>
  <c r="R99" i="4"/>
  <c r="S99" i="4"/>
  <c r="T99" i="4"/>
  <c r="U99" i="4"/>
  <c r="V99" i="4"/>
  <c r="W99" i="4"/>
  <c r="X99" i="4"/>
  <c r="Y99" i="4"/>
  <c r="Z99" i="4"/>
  <c r="Q100" i="4"/>
  <c r="R100" i="4"/>
  <c r="S100" i="4"/>
  <c r="T100" i="4"/>
  <c r="U100" i="4"/>
  <c r="V100" i="4"/>
  <c r="W100" i="4"/>
  <c r="X100" i="4"/>
  <c r="Y100" i="4"/>
  <c r="Z100" i="4"/>
  <c r="Q101" i="4"/>
  <c r="R101" i="4"/>
  <c r="S101" i="4"/>
  <c r="T101" i="4"/>
  <c r="U101" i="4"/>
  <c r="V101" i="4"/>
  <c r="W101" i="4"/>
  <c r="X101" i="4"/>
  <c r="Y101" i="4"/>
  <c r="Z101" i="4"/>
  <c r="Q102" i="4"/>
  <c r="R102" i="4"/>
  <c r="S102" i="4"/>
  <c r="T102" i="4"/>
  <c r="U102" i="4"/>
  <c r="V102" i="4"/>
  <c r="W102" i="4"/>
  <c r="X102" i="4"/>
  <c r="Y102" i="4"/>
  <c r="Z102" i="4"/>
  <c r="Q103" i="4"/>
  <c r="R103" i="4"/>
  <c r="S103" i="4"/>
  <c r="T103" i="4"/>
  <c r="U103" i="4"/>
  <c r="V103" i="4"/>
  <c r="W103" i="4"/>
  <c r="X103" i="4"/>
  <c r="Y103" i="4"/>
  <c r="Z103" i="4"/>
  <c r="Q104" i="4"/>
  <c r="R104" i="4"/>
  <c r="S104" i="4"/>
  <c r="T104" i="4"/>
  <c r="U104" i="4"/>
  <c r="V104" i="4"/>
  <c r="W104" i="4"/>
  <c r="X104" i="4"/>
  <c r="Y104" i="4"/>
  <c r="Z104" i="4"/>
  <c r="Q105" i="4"/>
  <c r="R105" i="4"/>
  <c r="S105" i="4"/>
  <c r="T105" i="4"/>
  <c r="U105" i="4"/>
  <c r="V105" i="4"/>
  <c r="W105" i="4"/>
  <c r="X105" i="4"/>
  <c r="Y105" i="4"/>
  <c r="Z105" i="4"/>
  <c r="R96" i="4"/>
  <c r="S96" i="4"/>
  <c r="T96" i="4"/>
  <c r="U96" i="4"/>
  <c r="V96" i="4"/>
  <c r="W96" i="4"/>
  <c r="X96" i="4"/>
  <c r="Y96" i="4"/>
  <c r="Z96" i="4"/>
  <c r="Q96" i="4"/>
  <c r="C80" i="4"/>
  <c r="G85" i="4" s="1"/>
  <c r="N19" i="4"/>
  <c r="C85" i="4" s="1"/>
  <c r="N20" i="4"/>
  <c r="C86" i="4" s="1"/>
  <c r="N18" i="4"/>
  <c r="C84" i="4" s="1"/>
  <c r="O17" i="4"/>
  <c r="E25" i="4" s="1"/>
  <c r="F25" i="4" s="1"/>
  <c r="K19" i="4"/>
  <c r="O19" i="4" s="1"/>
  <c r="E27" i="4" s="1"/>
  <c r="F27" i="4" s="1"/>
  <c r="L26" i="4" s="1"/>
  <c r="N39" i="4" s="1"/>
  <c r="K43" i="4" s="1"/>
  <c r="K20" i="4"/>
  <c r="O20" i="4" s="1"/>
  <c r="E28" i="4" s="1"/>
  <c r="F28" i="4" s="1"/>
  <c r="L27" i="4" s="1"/>
  <c r="H48" i="4" s="1"/>
  <c r="D54" i="4" s="1"/>
  <c r="J20" i="4"/>
  <c r="L20" i="4" s="1"/>
  <c r="J19" i="4"/>
  <c r="L19" i="4" s="1"/>
  <c r="K18" i="4"/>
  <c r="O18" i="4" s="1"/>
  <c r="E26" i="4" s="1"/>
  <c r="F26" i="4" s="1"/>
  <c r="J18" i="4"/>
  <c r="L18" i="4" s="1"/>
  <c r="H85" i="4" l="1"/>
  <c r="G86" i="4"/>
  <c r="H86" i="4" s="1"/>
  <c r="J86" i="4" s="1"/>
  <c r="G84" i="4"/>
  <c r="H84" i="4" s="1"/>
  <c r="J84" i="4" s="1"/>
  <c r="C48" i="4"/>
  <c r="D53" i="4" s="1"/>
  <c r="M48" i="4"/>
  <c r="D55" i="4" s="1"/>
  <c r="I39" i="4"/>
  <c r="F43" i="4" s="1"/>
  <c r="D39" i="4"/>
  <c r="A43" i="4" s="1"/>
  <c r="L25" i="4"/>
  <c r="K85" i="4" l="1"/>
  <c r="J85" i="4"/>
  <c r="M39" i="4"/>
  <c r="H39" i="4"/>
  <c r="C39" i="4"/>
  <c r="A42" i="4" l="1"/>
  <c r="C56" i="4" s="1"/>
  <c r="C47" i="4"/>
  <c r="C53" i="4" s="1"/>
  <c r="F42" i="4"/>
  <c r="H47" i="4"/>
  <c r="C54" i="4" s="1"/>
  <c r="K42" i="4"/>
  <c r="M47" i="4"/>
  <c r="C55" i="4" s="1"/>
</calcChain>
</file>

<file path=xl/sharedStrings.xml><?xml version="1.0" encoding="utf-8"?>
<sst xmlns="http://schemas.openxmlformats.org/spreadsheetml/2006/main" count="681" uniqueCount="316">
  <si>
    <t>Risk Class</t>
  </si>
  <si>
    <t>GIRR</t>
  </si>
  <si>
    <t xml:space="preserve">Credit Spread Risk </t>
  </si>
  <si>
    <t>Non - Securitization</t>
  </si>
  <si>
    <t>Equity Risk</t>
  </si>
  <si>
    <t>Commodity Risk</t>
  </si>
  <si>
    <t>FX Risk</t>
  </si>
  <si>
    <t>Securitization - Non correlation trading portfolio</t>
  </si>
  <si>
    <t>Securitization - Correlation trading portfolio</t>
  </si>
  <si>
    <t>Risk Measure</t>
  </si>
  <si>
    <t>Curvature</t>
  </si>
  <si>
    <t>Vega</t>
  </si>
  <si>
    <t>Risk Bucket</t>
  </si>
  <si>
    <t>S. No.</t>
  </si>
  <si>
    <t>Risk Factor</t>
  </si>
  <si>
    <t>Linear</t>
  </si>
  <si>
    <t>All</t>
  </si>
  <si>
    <t>Delta</t>
  </si>
  <si>
    <t>Additional potential loss beyond Delta Risk due to change in a risk factor for financial instruments with Optionality. In the SA approach, it is based on 2 stress scenarios using upward and downward shock to each regulatory risk factor.</t>
  </si>
  <si>
    <t>Potential loss resulting from the change in value of a Derivative due to a change in the implied volatility of its underlying.</t>
  </si>
  <si>
    <t>Linear change in value of a financial instrument due to value of a risk factor. Potential loss due to a change in the price of an Equity or Commodity, or a change in the Interest rate, credit spread or FX rate.</t>
  </si>
  <si>
    <t>Only for Options</t>
  </si>
  <si>
    <t>Mkt Cap
Economy (emerging or advanced)
Sector - 13 total</t>
  </si>
  <si>
    <t>Non Linear</t>
  </si>
  <si>
    <t>Bucket Number</t>
  </si>
  <si>
    <t>Market Cap</t>
  </si>
  <si>
    <t>Economy</t>
  </si>
  <si>
    <t>Sector</t>
  </si>
  <si>
    <t>Small</t>
  </si>
  <si>
    <t>Large</t>
  </si>
  <si>
    <t>Emerging</t>
  </si>
  <si>
    <t>Advanced</t>
  </si>
  <si>
    <t>Telecommunications, Industrials</t>
  </si>
  <si>
    <t>Basic materials, Energy</t>
  </si>
  <si>
    <t>Financial, Technology</t>
  </si>
  <si>
    <t>All sectors</t>
  </si>
  <si>
    <t>Residual Bucket</t>
  </si>
  <si>
    <t>Long / Short</t>
  </si>
  <si>
    <t>Bucket #</t>
  </si>
  <si>
    <t>Underlying Price</t>
  </si>
  <si>
    <t>Strike</t>
  </si>
  <si>
    <t>Option Maturity</t>
  </si>
  <si>
    <t>d1</t>
  </si>
  <si>
    <t>Option Price</t>
  </si>
  <si>
    <t>Delta Cash</t>
  </si>
  <si>
    <t>Long</t>
  </si>
  <si>
    <t>N/A</t>
  </si>
  <si>
    <t>Instrument</t>
  </si>
  <si>
    <t>Implied Vol</t>
  </si>
  <si>
    <t>Delta across Positions</t>
  </si>
  <si>
    <t>Delta Risk Weight</t>
  </si>
  <si>
    <t>Consumer, Utilities, HealthCare</t>
  </si>
  <si>
    <t>WTD Delta 
Sensitivity</t>
  </si>
  <si>
    <t>d2</t>
  </si>
  <si>
    <t>Interest Rate</t>
  </si>
  <si>
    <t>N (d2)</t>
  </si>
  <si>
    <t>N(d1) = Delta</t>
  </si>
  <si>
    <t>Some Trading Desks may go.</t>
  </si>
  <si>
    <t>Trading Book - daily MTM. Assets are traded regularly.</t>
  </si>
  <si>
    <t>Banking book - refers to assets on a Bank's Balance sheet that are supposed to be HTM. 
Unless there is a reason to believe that the Counter-Party will default on its obligation, thet are held at Historical cost.</t>
  </si>
  <si>
    <t>Capital words means Unexpected capital.</t>
  </si>
  <si>
    <r>
      <t xml:space="preserve">Capital requirement may go up by 40%. </t>
    </r>
    <r>
      <rPr>
        <b/>
        <sz val="11"/>
        <color rgb="FFFF0000"/>
        <rFont val="Calibri"/>
        <family val="2"/>
        <scheme val="minor"/>
      </rPr>
      <t>Correlation Trading Business</t>
    </r>
    <r>
      <rPr>
        <sz val="11"/>
        <color theme="1"/>
        <rFont val="Calibri"/>
        <family val="2"/>
        <scheme val="minor"/>
      </rPr>
      <t xml:space="preserve"> has been shut down.</t>
    </r>
  </si>
  <si>
    <t>IMA s determined at desk level using the decision framework.</t>
  </si>
  <si>
    <t>Curvature is not Gamma.</t>
  </si>
  <si>
    <t>Each instrument with Optionality is subject to Vega Risk and Curvature Risk.</t>
  </si>
  <si>
    <t>Delta is calculated for all instruments.</t>
  </si>
  <si>
    <t>Equity A</t>
  </si>
  <si>
    <t>European Call on A</t>
  </si>
  <si>
    <t>European Call on B</t>
  </si>
  <si>
    <t>European Call on C</t>
  </si>
  <si>
    <t>Short</t>
  </si>
  <si>
    <t>Risk Weight for 
Equity Spot Price</t>
  </si>
  <si>
    <t>Risk Weight for 
Equity Repo Rate</t>
  </si>
  <si>
    <t>e = 2.7183</t>
  </si>
  <si>
    <t>Name</t>
  </si>
  <si>
    <t>Eq A</t>
  </si>
  <si>
    <t>Eq B</t>
  </si>
  <si>
    <t>Eq C</t>
  </si>
  <si>
    <t>Gamma - market input to shock is spot price.</t>
  </si>
  <si>
    <t>Delta across Names</t>
  </si>
  <si>
    <t>Intrabucket Correlations</t>
  </si>
  <si>
    <t>Bucket</t>
  </si>
  <si>
    <t>Correlation (Rho)</t>
  </si>
  <si>
    <t>1-4</t>
  </si>
  <si>
    <t>5-8</t>
  </si>
  <si>
    <t>9</t>
  </si>
  <si>
    <t>10</t>
  </si>
  <si>
    <t>Equity B</t>
  </si>
  <si>
    <t>Bucket 6</t>
  </si>
  <si>
    <t>Bucket 8</t>
  </si>
  <si>
    <t>Correlations between EQ A and EQ B (Bucket 6) - Base</t>
  </si>
  <si>
    <t>Correlations between EQ A and EQ B (Bucket 6) - High</t>
  </si>
  <si>
    <t>Intrabucket Charges - Base</t>
  </si>
  <si>
    <t>Correlations between EQ A and EQ B (Bucket 6) - Low</t>
  </si>
  <si>
    <t>Intrabucket Charges - High</t>
  </si>
  <si>
    <t>Intrabucket Capital Charges</t>
  </si>
  <si>
    <t>Intrabucket Correlation (Base)</t>
  </si>
  <si>
    <t>Intrabucket Correlation (High)</t>
  </si>
  <si>
    <t>Intrabucket Correlation (Low)</t>
  </si>
  <si>
    <t>Base Interbucket Correlations</t>
  </si>
  <si>
    <t>High Interbucket Correlations</t>
  </si>
  <si>
    <t>Low Interbucket Correlations</t>
  </si>
  <si>
    <t>Weighted Sensitivity (Simple)</t>
  </si>
  <si>
    <t>Weighted Sensitivity (Adjusted)</t>
  </si>
  <si>
    <t>No diversification benefit between DELTA and VEGA. They must be added up.</t>
  </si>
  <si>
    <t>Vega Risk Weights</t>
  </si>
  <si>
    <t>Liquidity Horizon (days)</t>
  </si>
  <si>
    <t>Buckets (5 to 8)</t>
  </si>
  <si>
    <t>Risk Weight</t>
  </si>
  <si>
    <t>Instruments</t>
  </si>
  <si>
    <t>WS k</t>
  </si>
  <si>
    <t>Vega Charges across Tenors</t>
  </si>
  <si>
    <t>STD Risk Weight</t>
  </si>
  <si>
    <r>
      <t xml:space="preserve">Vega - market input to shock is </t>
    </r>
    <r>
      <rPr>
        <b/>
        <sz val="11"/>
        <color rgb="FFFF0000"/>
        <rFont val="Calibri"/>
        <family val="2"/>
        <scheme val="minor"/>
      </rPr>
      <t>Volatility</t>
    </r>
    <r>
      <rPr>
        <sz val="11"/>
        <color theme="1"/>
        <rFont val="Calibri"/>
        <family val="2"/>
        <scheme val="minor"/>
      </rPr>
      <t>. Vega = Implied Volatility * Vega * Risk Weight</t>
    </r>
  </si>
  <si>
    <t>Equity spot price is the biggest risk factor. Equity Delta does not have vertices.</t>
  </si>
  <si>
    <t>Trading Book is MTM daily under Basel 2 and 3.</t>
  </si>
  <si>
    <t>Alpha</t>
  </si>
  <si>
    <t>Delta Correlation (Bkt 5 - 8)</t>
  </si>
  <si>
    <t>2) Equity Vega</t>
  </si>
  <si>
    <t>1) Equity Delta</t>
  </si>
  <si>
    <t>Name 1</t>
  </si>
  <si>
    <t>Name 2</t>
  </si>
  <si>
    <t>Intrabucket correlations - Low Correlations (bucket 5-8)</t>
  </si>
  <si>
    <t>Intrabucket Correlation -
Base Correlations (Bkt 5-8)</t>
  </si>
  <si>
    <t>Intrabucket correlations - 
High Correlations (bucket 5-8)</t>
  </si>
  <si>
    <t>Tenor</t>
  </si>
  <si>
    <t>Weighted Sensitivities</t>
  </si>
  <si>
    <t>European Call on EQ A</t>
  </si>
  <si>
    <t>European Call on EQ B</t>
  </si>
  <si>
    <t>IntraBucket Charge - Base</t>
  </si>
  <si>
    <t>IntraBucket Charge - High</t>
  </si>
  <si>
    <t>IntraBucket Charge - Low</t>
  </si>
  <si>
    <t>New standardised approach increases risk sensitivity
of RWA calculation.</t>
  </si>
  <si>
    <t>Internal models approach using Expected Shortfall (ES) instead of Value-at-Risk (VaR)</t>
  </si>
  <si>
    <t>Varying liquidity horizons included in the internal models approach.
Replaces the static 10 day liquidity horizon currently assumed in the VaR framework.</t>
  </si>
  <si>
    <t>Reconciliation</t>
  </si>
  <si>
    <t>Interbucket (Low Correlation)</t>
  </si>
  <si>
    <t>Interbucket (High Correlation)</t>
  </si>
  <si>
    <t>Interbucket (base correlation)</t>
  </si>
  <si>
    <t>Delta GIRR</t>
  </si>
  <si>
    <t>Adj Agg (Under SQRT)</t>
  </si>
  <si>
    <t>Agg Value (under SQRT)</t>
  </si>
  <si>
    <t>NZD</t>
  </si>
  <si>
    <t>Weighted Sensitivity (Adjusted) - Sb (Adjusted)</t>
  </si>
  <si>
    <t>USD</t>
  </si>
  <si>
    <t>Weighted Sensitivity (Simple Summation) - Sb</t>
  </si>
  <si>
    <t>EUR</t>
  </si>
  <si>
    <t>Intrabucket (Low Correlation)</t>
  </si>
  <si>
    <t>Intrabucket (High Correlation)</t>
  </si>
  <si>
    <r>
      <t xml:space="preserve">Low Interbucket Correlation (0.75X) - </t>
    </r>
    <r>
      <rPr>
        <b/>
        <sz val="11"/>
        <color theme="1"/>
        <rFont val="Calibri"/>
        <family val="2"/>
        <scheme val="minor"/>
      </rPr>
      <t>Para 54</t>
    </r>
  </si>
  <si>
    <r>
      <t xml:space="preserve">High Interbucket Correlation (1.25X) - </t>
    </r>
    <r>
      <rPr>
        <b/>
        <sz val="11"/>
        <color theme="1"/>
        <rFont val="Calibri"/>
        <family val="2"/>
        <scheme val="minor"/>
      </rPr>
      <t>Para 54</t>
    </r>
  </si>
  <si>
    <t>Base Interbucket Correlation</t>
  </si>
  <si>
    <t>Intrabucket (base correlation) - Kb</t>
  </si>
  <si>
    <t>Paragraph 81</t>
  </si>
  <si>
    <t>NZD (at low correlation)</t>
  </si>
  <si>
    <t>NZD (at high correlation)</t>
  </si>
  <si>
    <t>NZD (at base correlation)</t>
  </si>
  <si>
    <t>Tenors</t>
  </si>
  <si>
    <t>Curve 1</t>
  </si>
  <si>
    <t>3. NZD</t>
  </si>
  <si>
    <t>USD (at low correlation)</t>
  </si>
  <si>
    <t>USD (at high correlation)</t>
  </si>
  <si>
    <t>USD (at base correlation)</t>
  </si>
  <si>
    <t>2. USD</t>
  </si>
  <si>
    <t>EUR (at low correlation)</t>
  </si>
  <si>
    <t>EUR (at high correlation)</t>
  </si>
  <si>
    <t>EUR (at base correlation)</t>
  </si>
  <si>
    <t>Curve 2</t>
  </si>
  <si>
    <t>1. EUR</t>
  </si>
  <si>
    <t>Selected Currency</t>
  </si>
  <si>
    <t>Non-Selected Currency</t>
  </si>
  <si>
    <t>Curve 4</t>
  </si>
  <si>
    <t>Curve B</t>
  </si>
  <si>
    <t>Curve 3</t>
  </si>
  <si>
    <t>Reporting Currency Sensitivities</t>
  </si>
  <si>
    <t>Curve A</t>
  </si>
  <si>
    <t>FX Rate (EUR per unit CCY)</t>
  </si>
  <si>
    <t>Intrabucket Correlation between vertices - Same Curve, Different Vertex (Low - 0.75X)</t>
  </si>
  <si>
    <t>Intrabucket Correlation between vertices - Same Curve, Different Vertex (High - 1.25X)</t>
  </si>
  <si>
    <t>Exposure Currency Sensitivities (Sk)</t>
  </si>
  <si>
    <t>1. GIRR Delta (EUR is the reporting currency)</t>
  </si>
  <si>
    <t>GIRR based capital charge</t>
  </si>
  <si>
    <t>RRAO based capital charge</t>
  </si>
  <si>
    <t>Risk Weights</t>
  </si>
  <si>
    <t>Exotic Underlying</t>
  </si>
  <si>
    <t>Other Residual Risk</t>
  </si>
  <si>
    <t>RRAO Classification</t>
  </si>
  <si>
    <t>Notional</t>
  </si>
  <si>
    <t>Charge</t>
  </si>
  <si>
    <t>I.001</t>
  </si>
  <si>
    <t>I.002</t>
  </si>
  <si>
    <t>I.003</t>
  </si>
  <si>
    <t>I.004</t>
  </si>
  <si>
    <t>I.005</t>
  </si>
  <si>
    <t>I.006</t>
  </si>
  <si>
    <t>I.007</t>
  </si>
  <si>
    <t>I.008</t>
  </si>
  <si>
    <t>I.009</t>
  </si>
  <si>
    <t>Total Charge</t>
  </si>
  <si>
    <t>PD * LGD * EAD</t>
  </si>
  <si>
    <t>=</t>
  </si>
  <si>
    <t>RW * JTD</t>
  </si>
  <si>
    <t>DRC based capital charge (example for non-securitization positions)</t>
  </si>
  <si>
    <t>Instrument Class</t>
  </si>
  <si>
    <t>Field</t>
  </si>
  <si>
    <t>Used For</t>
  </si>
  <si>
    <t>Senior debt</t>
  </si>
  <si>
    <t>LGD Value</t>
  </si>
  <si>
    <t>Covered bonds</t>
  </si>
  <si>
    <t>Category</t>
  </si>
  <si>
    <t>Bucket Selection</t>
  </si>
  <si>
    <t>Other</t>
  </si>
  <si>
    <t>Rating</t>
  </si>
  <si>
    <t>Risk Weight (or PD) Value</t>
  </si>
  <si>
    <t>Notional, Market Value, LGD</t>
  </si>
  <si>
    <t>JTD Calculation</t>
  </si>
  <si>
    <t>Obligor</t>
  </si>
  <si>
    <t xml:space="preserve">Notional </t>
  </si>
  <si>
    <t>LGD</t>
  </si>
  <si>
    <t>Market value</t>
  </si>
  <si>
    <t>A.001</t>
  </si>
  <si>
    <t>Covered Bond</t>
  </si>
  <si>
    <t>Corporate</t>
  </si>
  <si>
    <t>AA</t>
  </si>
  <si>
    <t>A.002</t>
  </si>
  <si>
    <t>Municipality</t>
  </si>
  <si>
    <t>AAA</t>
  </si>
  <si>
    <t>A.003</t>
  </si>
  <si>
    <t>Sovereign</t>
  </si>
  <si>
    <t>A.004</t>
  </si>
  <si>
    <t>Corporate Bond</t>
  </si>
  <si>
    <t>NR</t>
  </si>
  <si>
    <t>Stock 1</t>
  </si>
  <si>
    <t>BBB</t>
  </si>
  <si>
    <t>Long call on stock 1</t>
  </si>
  <si>
    <t>Gross JTD - Obligor Level</t>
  </si>
  <si>
    <t>Net JTD - Obligor Level</t>
  </si>
  <si>
    <t>Rating band</t>
  </si>
  <si>
    <t>Risk weight</t>
  </si>
  <si>
    <t>A</t>
  </si>
  <si>
    <t>BB</t>
  </si>
  <si>
    <t>B</t>
  </si>
  <si>
    <t>CCC</t>
  </si>
  <si>
    <t>Defaulted</t>
  </si>
  <si>
    <t>Issuer bucket</t>
  </si>
  <si>
    <t>Weighted Long net JtD</t>
  </si>
  <si>
    <t>Weighted Short net JtD</t>
  </si>
  <si>
    <t>Unweighted long net JtD</t>
  </si>
  <si>
    <t>Unweighted short net JtD</t>
  </si>
  <si>
    <t>Intrabucket aggregation</t>
  </si>
  <si>
    <t>Buckets</t>
  </si>
  <si>
    <t>Weighted long net JtD</t>
  </si>
  <si>
    <t>Default Risk Charge</t>
  </si>
  <si>
    <t>Interbucket aggregation</t>
  </si>
  <si>
    <t>Standardized Approach - Capital Charge Summary</t>
  </si>
  <si>
    <t>SBM</t>
  </si>
  <si>
    <t>Sum</t>
  </si>
  <si>
    <t>CSR</t>
  </si>
  <si>
    <t>FX</t>
  </si>
  <si>
    <t>EQ</t>
  </si>
  <si>
    <t>COMM</t>
  </si>
  <si>
    <t>Medium (Base) Correlation</t>
  </si>
  <si>
    <t>High Correlation</t>
  </si>
  <si>
    <t>Low Correlation</t>
  </si>
  <si>
    <t>SBM Charge</t>
  </si>
  <si>
    <t>DRC Charge</t>
  </si>
  <si>
    <t>RRAO Charge</t>
  </si>
  <si>
    <t>Total SA Charge</t>
  </si>
  <si>
    <t>Intrabucket Aggregation</t>
  </si>
  <si>
    <t>Interbucket Aggregation</t>
  </si>
  <si>
    <t>Intrabucket Correlation between vertices - Different Curves, Different Vertices (Base)</t>
  </si>
  <si>
    <t>Delta EQ</t>
  </si>
  <si>
    <t>Intrabucket (base correlation)</t>
  </si>
  <si>
    <t>Weighted Sensitivity (Simple Summation)</t>
  </si>
  <si>
    <t>Vega Equity</t>
  </si>
  <si>
    <t>Time to Maturity</t>
  </si>
  <si>
    <t>Risk Free Rate</t>
  </si>
  <si>
    <t>d1 (Shock up)</t>
  </si>
  <si>
    <t>d1 (Shock Down)</t>
  </si>
  <si>
    <t>Shocked Price Up</t>
  </si>
  <si>
    <t>Base Price</t>
  </si>
  <si>
    <t>CVR (Shock Up)</t>
  </si>
  <si>
    <t>CVR (Shock Down)</t>
  </si>
  <si>
    <t>CVR k</t>
  </si>
  <si>
    <t xml:space="preserve">Delta ρkl </t>
  </si>
  <si>
    <t>Delta Interbucket Correlation</t>
  </si>
  <si>
    <t>Interbucket Correlations Low</t>
  </si>
  <si>
    <t>Curvature Equity</t>
  </si>
  <si>
    <t>European Call on Equity A</t>
  </si>
  <si>
    <t>European Call on Equity C</t>
  </si>
  <si>
    <t>European Call on Equity B</t>
  </si>
  <si>
    <t>3) Equity Curvature (No need to calculate weighted sensitivity as Risk Weight * Sensitivity (as done in delta and vega))</t>
  </si>
  <si>
    <t>Volatility</t>
  </si>
  <si>
    <t>Underlying Price 
(Shocked Up)</t>
  </si>
  <si>
    <t>Underlying Price
 (Shocked Down)</t>
  </si>
  <si>
    <t>Shocked Price 
Down</t>
  </si>
  <si>
    <t>Intrabucket Charg - Base Correlation</t>
  </si>
  <si>
    <t>Intrabucket Charge - High Correlation</t>
  </si>
  <si>
    <t>Intrabucket Charge - Low Correlation</t>
  </si>
  <si>
    <t>Intra-bucket Aggregation</t>
  </si>
  <si>
    <t>Inter-bucket Aggregation</t>
  </si>
  <si>
    <t>Interbucket Correlations - Base</t>
  </si>
  <si>
    <t>Interbucket Correlations - High</t>
  </si>
  <si>
    <t>JTD +</t>
  </si>
  <si>
    <t>JTD -</t>
  </si>
  <si>
    <t>Net JTD</t>
  </si>
  <si>
    <t>Risk weight assignment</t>
  </si>
  <si>
    <t>Weighted Net JTD</t>
  </si>
  <si>
    <t>Unweighted long net JTD</t>
  </si>
  <si>
    <t>Weighted short net JTD</t>
  </si>
  <si>
    <t>Unweighted short net JTD</t>
  </si>
  <si>
    <t>WtS</t>
  </si>
  <si>
    <t xml:space="preserve">DRC b </t>
  </si>
  <si>
    <t xml:space="preserve">Aggregation </t>
  </si>
  <si>
    <t>Charge across buckets</t>
  </si>
  <si>
    <t>Gross JTD - Instrument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</si>
</sst>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US$&quot;* #,##0.00_-;\-&quot;US$&quot;* #,##0.00_-;_-&quot;US$&quot;* &quot;-&quot;??_-;_-@_-"/>
    <numFmt numFmtId="165" formatCode="_-* #,##0.00_-;\-* #,##0.00_-;_-* &quot;-&quot;??_-;_-@_-"/>
    <numFmt numFmtId="166" formatCode="0.0%"/>
    <numFmt numFmtId="167" formatCode="0.0"/>
    <numFmt numFmtId="168" formatCode="_-* #,##0.00\ &quot;€&quot;_-;\-* #,##0.00\ &quot;€&quot;_-;_-* &quot;-&quot;??\ &quot;€&quot;_-;_-@_-"/>
    <numFmt numFmtId="169" formatCode="yyyy\-mm\-dd;@"/>
    <numFmt numFmtId="170" formatCode="0.0000"/>
    <numFmt numFmtId="171" formatCode="0.0000%"/>
    <numFmt numFmtId="172" formatCode="&quot;Yes&quot;;[Red]&quot;No&quot;"/>
    <numFmt numFmtId="173" formatCode="0.00000"/>
    <numFmt numFmtId="174" formatCode="[&gt;0]General"/>
    <numFmt numFmtId="175" formatCode="0.000"/>
    <numFmt numFmtId="176" formatCode="_-[$$-409]* #,##0.00_ ;_-[$$-409]* \-#,##0.00\ ;_-[$$-409]* &quot;-&quot;??_ ;_-@_ "/>
    <numFmt numFmtId="177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name val="Calibri"/>
      <family val="2"/>
      <scheme val="minor"/>
    </font>
    <font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mediumGray">
        <fgColor indexed="45"/>
        <bgColor indexed="9"/>
      </patternFill>
    </fill>
    <fill>
      <patternFill patternType="lightGray">
        <fgColor indexed="45"/>
        <b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79">
    <xf numFmtId="0" fontId="0" fillId="0" borderId="0"/>
    <xf numFmtId="44" fontId="2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4" fillId="0" borderId="0">
      <alignment vertical="center"/>
    </xf>
    <xf numFmtId="3" fontId="5" fillId="4" borderId="1" applyFont="0" applyFill="0" applyProtection="0">
      <alignment horizontal="right" vertical="center"/>
    </xf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5" borderId="1" applyNumberFormat="0" applyFont="0" applyBorder="0" applyProtection="0">
      <alignment horizontal="center" vertical="center"/>
    </xf>
    <xf numFmtId="0" fontId="7" fillId="4" borderId="5" applyFont="0" applyBorder="0">
      <alignment horizontal="center" wrapText="1"/>
    </xf>
    <xf numFmtId="3" fontId="4" fillId="6" borderId="1" applyFont="0" applyProtection="0">
      <alignment horizontal="right" vertical="center"/>
    </xf>
    <xf numFmtId="10" fontId="4" fillId="6" borderId="1" applyFont="0" applyProtection="0">
      <alignment horizontal="right" vertical="center"/>
    </xf>
    <xf numFmtId="9" fontId="4" fillId="6" borderId="1" applyFont="0" applyProtection="0">
      <alignment horizontal="right" vertical="center"/>
    </xf>
    <xf numFmtId="0" fontId="4" fillId="6" borderId="5" applyNumberFormat="0" applyFont="0" applyBorder="0" applyProtection="0">
      <alignment horizontal="left" vertical="center"/>
    </xf>
    <xf numFmtId="169" fontId="4" fillId="7" borderId="1" applyFont="0">
      <alignment vertical="center"/>
      <protection locked="0"/>
    </xf>
    <xf numFmtId="3" fontId="4" fillId="7" borderId="1" applyFont="0">
      <alignment horizontal="right" vertical="center"/>
      <protection locked="0"/>
    </xf>
    <xf numFmtId="167" fontId="4" fillId="7" borderId="1" applyFont="0">
      <alignment horizontal="right" vertical="center"/>
      <protection locked="0"/>
    </xf>
    <xf numFmtId="170" fontId="4" fillId="8" borderId="1" applyFont="0">
      <alignment vertical="center"/>
      <protection locked="0"/>
    </xf>
    <xf numFmtId="10" fontId="4" fillId="7" borderId="1" applyFont="0">
      <alignment horizontal="right" vertical="center"/>
      <protection locked="0"/>
    </xf>
    <xf numFmtId="9" fontId="4" fillId="7" borderId="2" applyFont="0">
      <alignment horizontal="right" vertical="center"/>
      <protection locked="0"/>
    </xf>
    <xf numFmtId="171" fontId="4" fillId="7" borderId="1" applyFont="0">
      <alignment horizontal="right" vertical="center"/>
      <protection locked="0"/>
    </xf>
    <xf numFmtId="166" fontId="4" fillId="7" borderId="2" applyFont="0">
      <alignment horizontal="right" vertical="center"/>
      <protection locked="0"/>
    </xf>
    <xf numFmtId="0" fontId="4" fillId="7" borderId="1" applyFont="0">
      <alignment horizontal="center" vertical="center" wrapText="1"/>
      <protection locked="0"/>
    </xf>
    <xf numFmtId="49" fontId="4" fillId="7" borderId="1" applyFont="0">
      <alignment vertical="center"/>
      <protection locked="0"/>
    </xf>
    <xf numFmtId="0" fontId="4" fillId="0" borderId="0"/>
    <xf numFmtId="0" fontId="6" fillId="0" borderId="0"/>
    <xf numFmtId="0" fontId="2" fillId="0" borderId="0"/>
    <xf numFmtId="0" fontId="4" fillId="0" borderId="0">
      <alignment vertical="center"/>
    </xf>
    <xf numFmtId="0" fontId="2" fillId="0" borderId="0"/>
    <xf numFmtId="0" fontId="3" fillId="0" borderId="0"/>
    <xf numFmtId="3" fontId="4" fillId="9" borderId="1" applyFont="0">
      <alignment horizontal="right" vertical="center"/>
      <protection locked="0"/>
    </xf>
    <xf numFmtId="167" fontId="4" fillId="9" borderId="1" applyFont="0">
      <alignment horizontal="right" vertical="center"/>
      <protection locked="0"/>
    </xf>
    <xf numFmtId="10" fontId="4" fillId="9" borderId="1" applyFont="0">
      <alignment horizontal="right" vertical="center"/>
      <protection locked="0"/>
    </xf>
    <xf numFmtId="9" fontId="4" fillId="9" borderId="1" applyFont="0">
      <alignment horizontal="right" vertical="center"/>
      <protection locked="0"/>
    </xf>
    <xf numFmtId="171" fontId="4" fillId="9" borderId="1" applyFont="0">
      <alignment horizontal="right" vertical="center"/>
      <protection locked="0"/>
    </xf>
    <xf numFmtId="166" fontId="4" fillId="9" borderId="2" applyFont="0">
      <alignment horizontal="right" vertical="center"/>
      <protection locked="0"/>
    </xf>
    <xf numFmtId="0" fontId="4" fillId="9" borderId="1" applyFont="0">
      <alignment horizontal="center" vertical="center" wrapText="1"/>
      <protection locked="0"/>
    </xf>
    <xf numFmtId="0" fontId="4" fillId="9" borderId="1" applyNumberFormat="0" applyFont="0">
      <alignment horizontal="center" vertical="center" wrapText="1"/>
      <protection locked="0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4" fillId="10" borderId="1" applyFont="0">
      <alignment horizontal="right" vertical="center"/>
      <protection locked="0"/>
    </xf>
    <xf numFmtId="172" fontId="4" fillId="4" borderId="1" applyFont="0">
      <alignment horizontal="center" vertical="center"/>
    </xf>
    <xf numFmtId="3" fontId="4" fillId="4" borderId="1" applyFont="0">
      <alignment horizontal="right" vertical="center"/>
    </xf>
    <xf numFmtId="173" fontId="4" fillId="4" borderId="1" applyFont="0">
      <alignment horizontal="right" vertical="center"/>
    </xf>
    <xf numFmtId="167" fontId="4" fillId="4" borderId="1" applyFont="0">
      <alignment horizontal="right" vertical="center"/>
    </xf>
    <xf numFmtId="10" fontId="4" fillId="4" borderId="1" applyFont="0">
      <alignment horizontal="right" vertical="center"/>
    </xf>
    <xf numFmtId="9" fontId="4" fillId="4" borderId="1" applyFont="0">
      <alignment horizontal="right" vertical="center"/>
    </xf>
    <xf numFmtId="174" fontId="4" fillId="4" borderId="1" applyFont="0">
      <alignment horizontal="center" vertical="center" wrapText="1"/>
    </xf>
    <xf numFmtId="0" fontId="4" fillId="0" borderId="0"/>
    <xf numFmtId="169" fontId="4" fillId="11" borderId="1" applyFont="0">
      <alignment vertical="center"/>
    </xf>
    <xf numFmtId="1" fontId="4" fillId="11" borderId="1" applyFont="0">
      <alignment horizontal="right" vertical="center"/>
    </xf>
    <xf numFmtId="170" fontId="4" fillId="11" borderId="1" applyFont="0">
      <alignment vertical="center"/>
    </xf>
    <xf numFmtId="9" fontId="4" fillId="11" borderId="1" applyFont="0">
      <alignment horizontal="right" vertical="center"/>
    </xf>
    <xf numFmtId="171" fontId="4" fillId="11" borderId="1" applyFont="0">
      <alignment horizontal="right" vertical="center"/>
    </xf>
    <xf numFmtId="10" fontId="4" fillId="11" borderId="1" applyFont="0">
      <alignment horizontal="right" vertical="center"/>
    </xf>
    <xf numFmtId="0" fontId="4" fillId="11" borderId="1" applyFont="0">
      <alignment horizontal="center" vertical="center" wrapText="1"/>
    </xf>
    <xf numFmtId="49" fontId="4" fillId="11" borderId="1" applyFont="0">
      <alignment vertical="center"/>
    </xf>
    <xf numFmtId="170" fontId="4" fillId="12" borderId="1" applyFont="0">
      <alignment vertical="center"/>
    </xf>
    <xf numFmtId="9" fontId="4" fillId="12" borderId="1" applyFont="0">
      <alignment horizontal="right" vertical="center"/>
    </xf>
    <xf numFmtId="169" fontId="4" fillId="13" borderId="1">
      <alignment vertical="center"/>
    </xf>
    <xf numFmtId="170" fontId="4" fillId="14" borderId="1" applyFont="0">
      <alignment horizontal="right" vertical="center"/>
    </xf>
    <xf numFmtId="1" fontId="4" fillId="14" borderId="1" applyFont="0">
      <alignment horizontal="right" vertical="center"/>
    </xf>
    <xf numFmtId="170" fontId="4" fillId="14" borderId="1" applyFont="0">
      <alignment vertical="center"/>
    </xf>
    <xf numFmtId="167" fontId="4" fillId="14" borderId="1" applyFont="0">
      <alignment vertical="center"/>
    </xf>
    <xf numFmtId="10" fontId="4" fillId="14" borderId="1" applyFont="0">
      <alignment horizontal="right" vertical="center"/>
    </xf>
    <xf numFmtId="9" fontId="4" fillId="14" borderId="1" applyFont="0">
      <alignment horizontal="right" vertical="center"/>
    </xf>
    <xf numFmtId="171" fontId="4" fillId="14" borderId="1" applyFont="0">
      <alignment horizontal="right" vertical="center"/>
    </xf>
    <xf numFmtId="10" fontId="4" fillId="14" borderId="6" applyFont="0">
      <alignment horizontal="right" vertical="center"/>
    </xf>
    <xf numFmtId="0" fontId="4" fillId="14" borderId="1" applyFont="0">
      <alignment horizontal="center" vertical="center" wrapText="1"/>
    </xf>
    <xf numFmtId="49" fontId="4" fillId="14" borderId="1" applyFont="0">
      <alignment vertical="center"/>
    </xf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9" fontId="0" fillId="15" borderId="1" xfId="0" applyNumberFormat="1" applyFill="1" applyBorder="1" applyAlignment="1">
      <alignment horizontal="center"/>
    </xf>
    <xf numFmtId="10" fontId="0" fillId="15" borderId="1" xfId="0" applyNumberFormat="1" applyFill="1" applyBorder="1" applyAlignment="1">
      <alignment horizontal="center"/>
    </xf>
    <xf numFmtId="175" fontId="0" fillId="15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15" borderId="1" xfId="0" applyNumberForma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9" fontId="1" fillId="1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9" fontId="0" fillId="15" borderId="1" xfId="74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10" fontId="2" fillId="15" borderId="1" xfId="74" applyNumberFormat="1" applyFont="1" applyFill="1" applyBorder="1" applyAlignment="1">
      <alignment horizontal="center"/>
    </xf>
    <xf numFmtId="176" fontId="0" fillId="15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75" applyNumberFormat="1" applyFont="1" applyBorder="1" applyAlignment="1">
      <alignment horizontal="center" vertical="center"/>
    </xf>
    <xf numFmtId="166" fontId="0" fillId="0" borderId="13" xfId="74" applyNumberFormat="1" applyFont="1" applyBorder="1"/>
    <xf numFmtId="166" fontId="0" fillId="0" borderId="1" xfId="74" applyNumberFormat="1" applyFont="1" applyBorder="1"/>
    <xf numFmtId="166" fontId="0" fillId="0" borderId="14" xfId="74" applyNumberFormat="1" applyFont="1" applyBorder="1"/>
    <xf numFmtId="166" fontId="0" fillId="0" borderId="15" xfId="74" applyNumberFormat="1" applyFont="1" applyBorder="1"/>
    <xf numFmtId="166" fontId="0" fillId="0" borderId="16" xfId="74" applyNumberFormat="1" applyFont="1" applyBorder="1"/>
    <xf numFmtId="166" fontId="0" fillId="0" borderId="17" xfId="74" applyNumberFormat="1" applyFont="1" applyBorder="1"/>
    <xf numFmtId="166" fontId="0" fillId="0" borderId="18" xfId="74" applyNumberFormat="1" applyFont="1" applyBorder="1"/>
    <xf numFmtId="166" fontId="0" fillId="0" borderId="19" xfId="74" applyNumberFormat="1" applyFont="1" applyBorder="1"/>
    <xf numFmtId="166" fontId="0" fillId="0" borderId="20" xfId="74" applyNumberFormat="1" applyFont="1" applyBorder="1"/>
    <xf numFmtId="166" fontId="0" fillId="0" borderId="21" xfId="74" applyNumberFormat="1" applyFont="1" applyBorder="1"/>
    <xf numFmtId="166" fontId="0" fillId="0" borderId="6" xfId="74" applyNumberFormat="1" applyFont="1" applyBorder="1"/>
    <xf numFmtId="166" fontId="0" fillId="0" borderId="22" xfId="74" applyNumberFormat="1" applyFont="1" applyBorder="1"/>
    <xf numFmtId="0" fontId="1" fillId="2" borderId="5" xfId="0" applyFont="1" applyFill="1" applyBorder="1" applyAlignment="1">
      <alignment horizontal="center" vertical="center"/>
    </xf>
    <xf numFmtId="177" fontId="0" fillId="3" borderId="1" xfId="0" applyNumberFormat="1" applyFill="1" applyBorder="1"/>
    <xf numFmtId="0" fontId="11" fillId="17" borderId="1" xfId="0" applyFont="1" applyFill="1" applyBorder="1" applyAlignment="1">
      <alignment horizontal="center"/>
    </xf>
    <xf numFmtId="177" fontId="0" fillId="0" borderId="1" xfId="78" applyNumberFormat="1" applyFont="1" applyBorder="1"/>
    <xf numFmtId="0" fontId="12" fillId="18" borderId="1" xfId="0" applyFont="1" applyFill="1" applyBorder="1" applyAlignment="1">
      <alignment horizontal="left" vertical="center" wrapText="1"/>
    </xf>
    <xf numFmtId="177" fontId="0" fillId="3" borderId="1" xfId="78" applyNumberFormat="1" applyFont="1" applyFill="1" applyBorder="1"/>
    <xf numFmtId="0" fontId="12" fillId="18" borderId="1" xfId="0" applyFont="1" applyFill="1" applyBorder="1" applyAlignment="1">
      <alignment horizontal="center" vertical="center" wrapText="1"/>
    </xf>
    <xf numFmtId="9" fontId="0" fillId="0" borderId="1" xfId="0" applyNumberFormat="1" applyBorder="1"/>
    <xf numFmtId="43" fontId="0" fillId="0" borderId="1" xfId="78" applyFont="1" applyBorder="1"/>
    <xf numFmtId="0" fontId="12" fillId="18" borderId="1" xfId="0" applyFont="1" applyFill="1" applyBorder="1"/>
    <xf numFmtId="0" fontId="13" fillId="20" borderId="0" xfId="0" applyFont="1" applyFill="1"/>
    <xf numFmtId="43" fontId="0" fillId="0" borderId="20" xfId="78" applyFont="1" applyBorder="1"/>
    <xf numFmtId="0" fontId="0" fillId="0" borderId="18" xfId="0" applyBorder="1"/>
    <xf numFmtId="43" fontId="0" fillId="0" borderId="17" xfId="78" applyFont="1" applyBorder="1"/>
    <xf numFmtId="0" fontId="0" fillId="0" borderId="16" xfId="0" applyBorder="1"/>
    <xf numFmtId="43" fontId="0" fillId="0" borderId="15" xfId="78" applyFont="1" applyBorder="1"/>
    <xf numFmtId="0" fontId="0" fillId="0" borderId="13" xfId="0" applyBorder="1"/>
    <xf numFmtId="0" fontId="0" fillId="0" borderId="20" xfId="0" applyBorder="1"/>
    <xf numFmtId="0" fontId="0" fillId="0" borderId="19" xfId="0" applyBorder="1"/>
    <xf numFmtId="0" fontId="0" fillId="0" borderId="24" xfId="0" applyBorder="1"/>
    <xf numFmtId="43" fontId="0" fillId="0" borderId="16" xfId="78" applyFont="1" applyBorder="1"/>
    <xf numFmtId="0" fontId="0" fillId="0" borderId="25" xfId="0" applyBorder="1"/>
    <xf numFmtId="0" fontId="0" fillId="0" borderId="26" xfId="0" applyBorder="1"/>
    <xf numFmtId="43" fontId="0" fillId="0" borderId="0" xfId="0" applyNumberFormat="1"/>
    <xf numFmtId="177" fontId="0" fillId="0" borderId="20" xfId="78" applyNumberFormat="1" applyFont="1" applyBorder="1"/>
    <xf numFmtId="177" fontId="0" fillId="0" borderId="19" xfId="78" applyNumberFormat="1" applyFont="1" applyBorder="1"/>
    <xf numFmtId="177" fontId="0" fillId="0" borderId="18" xfId="78" applyNumberFormat="1" applyFont="1" applyBorder="1"/>
    <xf numFmtId="0" fontId="0" fillId="21" borderId="20" xfId="0" applyFill="1" applyBorder="1"/>
    <xf numFmtId="0" fontId="0" fillId="21" borderId="18" xfId="0" applyFill="1" applyBorder="1"/>
    <xf numFmtId="177" fontId="0" fillId="0" borderId="17" xfId="78" applyNumberFormat="1" applyFont="1" applyBorder="1"/>
    <xf numFmtId="177" fontId="0" fillId="0" borderId="16" xfId="78" applyNumberFormat="1" applyFont="1" applyBorder="1"/>
    <xf numFmtId="0" fontId="0" fillId="21" borderId="17" xfId="0" applyFill="1" applyBorder="1"/>
    <xf numFmtId="0" fontId="0" fillId="21" borderId="16" xfId="0" applyFill="1" applyBorder="1"/>
    <xf numFmtId="166" fontId="0" fillId="0" borderId="20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6" fontId="0" fillId="0" borderId="28" xfId="0" applyNumberFormat="1" applyBorder="1"/>
    <xf numFmtId="0" fontId="0" fillId="23" borderId="29" xfId="0" applyFill="1" applyBorder="1"/>
    <xf numFmtId="0" fontId="0" fillId="23" borderId="22" xfId="0" applyFill="1" applyBorder="1"/>
    <xf numFmtId="166" fontId="0" fillId="0" borderId="17" xfId="0" applyNumberFormat="1" applyBorder="1"/>
    <xf numFmtId="166" fontId="0" fillId="0" borderId="1" xfId="0" applyNumberFormat="1" applyBorder="1"/>
    <xf numFmtId="166" fontId="0" fillId="0" borderId="16" xfId="0" applyNumberFormat="1" applyBorder="1"/>
    <xf numFmtId="166" fontId="0" fillId="0" borderId="5" xfId="0" applyNumberFormat="1" applyBorder="1"/>
    <xf numFmtId="0" fontId="0" fillId="23" borderId="7" xfId="0" applyFill="1" applyBorder="1"/>
    <xf numFmtId="0" fontId="0" fillId="23" borderId="6" xfId="0" applyFill="1" applyBorder="1"/>
    <xf numFmtId="10" fontId="0" fillId="0" borderId="20" xfId="74" applyNumberFormat="1" applyFont="1" applyBorder="1"/>
    <xf numFmtId="10" fontId="0" fillId="0" borderId="19" xfId="74" applyNumberFormat="1" applyFont="1" applyBorder="1"/>
    <xf numFmtId="10" fontId="0" fillId="0" borderId="18" xfId="74" applyNumberFormat="1" applyFont="1" applyBorder="1"/>
    <xf numFmtId="10" fontId="0" fillId="0" borderId="17" xfId="74" applyNumberFormat="1" applyFont="1" applyBorder="1"/>
    <xf numFmtId="10" fontId="0" fillId="0" borderId="1" xfId="74" applyNumberFormat="1" applyFont="1" applyBorder="1"/>
    <xf numFmtId="10" fontId="0" fillId="0" borderId="16" xfId="74" applyNumberFormat="1" applyFont="1" applyBorder="1"/>
    <xf numFmtId="166" fontId="0" fillId="0" borderId="32" xfId="0" applyNumberFormat="1" applyBorder="1"/>
    <xf numFmtId="166" fontId="0" fillId="0" borderId="4" xfId="0" applyNumberFormat="1" applyBorder="1"/>
    <xf numFmtId="166" fontId="0" fillId="0" borderId="33" xfId="0" applyNumberFormat="1" applyBorder="1"/>
    <xf numFmtId="166" fontId="0" fillId="0" borderId="34" xfId="0" applyNumberFormat="1" applyBorder="1"/>
    <xf numFmtId="166" fontId="0" fillId="0" borderId="14" xfId="0" applyNumberFormat="1" applyBorder="1"/>
    <xf numFmtId="166" fontId="0" fillId="0" borderId="13" xfId="0" applyNumberFormat="1" applyBorder="1"/>
    <xf numFmtId="0" fontId="0" fillId="23" borderId="35" xfId="0" applyFill="1" applyBorder="1"/>
    <xf numFmtId="0" fontId="0" fillId="23" borderId="21" xfId="0" applyFill="1" applyBorder="1"/>
    <xf numFmtId="166" fontId="0" fillId="0" borderId="15" xfId="0" applyNumberFormat="1" applyBorder="1"/>
    <xf numFmtId="0" fontId="0" fillId="16" borderId="0" xfId="0" applyFill="1"/>
    <xf numFmtId="44" fontId="0" fillId="0" borderId="1" xfId="1" applyFont="1" applyBorder="1"/>
    <xf numFmtId="0" fontId="0" fillId="23" borderId="36" xfId="0" applyFill="1" applyBorder="1"/>
    <xf numFmtId="0" fontId="0" fillId="23" borderId="37" xfId="0" applyFill="1" applyBorder="1"/>
    <xf numFmtId="0" fontId="0" fillId="23" borderId="38" xfId="0" applyFill="1" applyBorder="1"/>
    <xf numFmtId="0" fontId="0" fillId="23" borderId="39" xfId="0" applyFill="1" applyBorder="1"/>
    <xf numFmtId="0" fontId="0" fillId="18" borderId="31" xfId="0" applyFill="1" applyBorder="1"/>
    <xf numFmtId="0" fontId="0" fillId="23" borderId="34" xfId="0" applyFill="1" applyBorder="1"/>
    <xf numFmtId="0" fontId="0" fillId="23" borderId="14" xfId="0" applyFill="1" applyBorder="1"/>
    <xf numFmtId="0" fontId="0" fillId="23" borderId="15" xfId="0" applyFill="1" applyBorder="1"/>
    <xf numFmtId="0" fontId="0" fillId="18" borderId="10" xfId="0" applyFill="1" applyBorder="1"/>
    <xf numFmtId="0" fontId="0" fillId="18" borderId="40" xfId="0" applyFill="1" applyBorder="1"/>
    <xf numFmtId="44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176" fontId="0" fillId="0" borderId="1" xfId="1" applyNumberFormat="1" applyFont="1" applyBorder="1"/>
    <xf numFmtId="176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1" fillId="2" borderId="5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9" fontId="0" fillId="0" borderId="1" xfId="74" applyFont="1" applyBorder="1" applyAlignment="1">
      <alignment horizontal="center"/>
    </xf>
    <xf numFmtId="44" fontId="0" fillId="0" borderId="1" xfId="1" applyFont="1" applyBorder="1" applyAlignment="1">
      <alignment vertical="center"/>
    </xf>
    <xf numFmtId="10" fontId="0" fillId="0" borderId="1" xfId="0" applyNumberFormat="1" applyBorder="1"/>
    <xf numFmtId="0" fontId="12" fillId="0" borderId="0" xfId="0" applyFont="1"/>
    <xf numFmtId="0" fontId="0" fillId="0" borderId="44" xfId="0" applyBorder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2" applyFont="1" applyAlignment="1">
      <alignment horizontal="left" vertical="center" wrapText="1"/>
    </xf>
    <xf numFmtId="9" fontId="0" fillId="0" borderId="0" xfId="74" applyFont="1" applyFill="1" applyBorder="1" applyAlignment="1">
      <alignment horizontal="center"/>
    </xf>
    <xf numFmtId="10" fontId="0" fillId="0" borderId="0" xfId="74" applyNumberFormat="1" applyFont="1" applyFill="1" applyBorder="1"/>
    <xf numFmtId="0" fontId="12" fillId="0" borderId="0" xfId="2" applyFont="1" applyAlignment="1">
      <alignment horizontal="center" vertical="center" wrapText="1"/>
    </xf>
    <xf numFmtId="2" fontId="0" fillId="0" borderId="0" xfId="0" applyNumberFormat="1"/>
    <xf numFmtId="0" fontId="12" fillId="0" borderId="0" xfId="0" applyFont="1" applyAlignment="1">
      <alignment vertical="center" wrapText="1"/>
    </xf>
    <xf numFmtId="44" fontId="0" fillId="0" borderId="0" xfId="1" applyFont="1" applyFill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44" fontId="0" fillId="0" borderId="0" xfId="1" applyFont="1" applyFill="1" applyBorder="1"/>
    <xf numFmtId="10" fontId="0" fillId="0" borderId="0" xfId="0" applyNumberFormat="1"/>
    <xf numFmtId="0" fontId="12" fillId="0" borderId="0" xfId="0" applyFont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5" fillId="0" borderId="0" xfId="0" applyFont="1"/>
    <xf numFmtId="9" fontId="15" fillId="0" borderId="1" xfId="0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10" fontId="15" fillId="0" borderId="0" xfId="74" applyNumberFormat="1" applyFont="1" applyFill="1" applyBorder="1"/>
    <xf numFmtId="166" fontId="0" fillId="0" borderId="14" xfId="74" applyNumberFormat="1" applyFont="1" applyBorder="1" applyAlignment="1">
      <alignment horizontal="center"/>
    </xf>
    <xf numFmtId="166" fontId="0" fillId="0" borderId="1" xfId="74" applyNumberFormat="1" applyFont="1" applyBorder="1" applyAlignment="1">
      <alignment horizontal="center"/>
    </xf>
    <xf numFmtId="166" fontId="0" fillId="0" borderId="19" xfId="74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0" fillId="0" borderId="0" xfId="74" applyNumberFormat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0" xfId="1" applyFont="1" applyBorder="1"/>
    <xf numFmtId="9" fontId="0" fillId="0" borderId="0" xfId="0" applyNumberFormat="1"/>
    <xf numFmtId="166" fontId="0" fillId="0" borderId="0" xfId="0" applyNumberFormat="1"/>
    <xf numFmtId="44" fontId="0" fillId="0" borderId="0" xfId="1" applyFont="1" applyBorder="1" applyAlignment="1">
      <alignment horizontal="center"/>
    </xf>
    <xf numFmtId="176" fontId="15" fillId="0" borderId="1" xfId="0" applyNumberFormat="1" applyFont="1" applyBorder="1"/>
    <xf numFmtId="176" fontId="15" fillId="0" borderId="1" xfId="0" applyNumberFormat="1" applyFont="1" applyBorder="1" applyAlignment="1">
      <alignment horizontal="center"/>
    </xf>
    <xf numFmtId="176" fontId="15" fillId="0" borderId="1" xfId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5" borderId="0" xfId="0" applyFont="1" applyFill="1" applyAlignment="1">
      <alignment vertical="center"/>
    </xf>
    <xf numFmtId="0" fontId="1" fillId="25" borderId="5" xfId="0" applyFont="1" applyFill="1" applyBorder="1" applyAlignment="1">
      <alignment vertical="center"/>
    </xf>
    <xf numFmtId="0" fontId="0" fillId="19" borderId="1" xfId="0" applyFill="1" applyBorder="1"/>
    <xf numFmtId="0" fontId="18" fillId="2" borderId="0" xfId="0" applyFont="1" applyFill="1"/>
    <xf numFmtId="0" fontId="19" fillId="2" borderId="1" xfId="0" applyFont="1" applyFill="1" applyBorder="1" applyAlignment="1">
      <alignment horizontal="center"/>
    </xf>
    <xf numFmtId="0" fontId="19" fillId="27" borderId="1" xfId="2" applyFont="1" applyFill="1" applyBorder="1" applyAlignment="1">
      <alignment horizontal="center" vertical="center" wrapText="1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166" fontId="0" fillId="15" borderId="1" xfId="74" applyNumberFormat="1" applyFont="1" applyFill="1" applyBorder="1" applyAlignment="1">
      <alignment horizontal="center"/>
    </xf>
    <xf numFmtId="166" fontId="0" fillId="15" borderId="1" xfId="74" applyNumberFormat="1" applyFont="1" applyFill="1" applyBorder="1" applyAlignment="1">
      <alignment horizontal="center" vertical="center"/>
    </xf>
    <xf numFmtId="44" fontId="0" fillId="15" borderId="1" xfId="1" applyFont="1" applyFill="1" applyBorder="1" applyAlignment="1">
      <alignment horizontal="center"/>
    </xf>
    <xf numFmtId="0" fontId="0" fillId="15" borderId="1" xfId="0" applyFill="1" applyBorder="1"/>
    <xf numFmtId="44" fontId="0" fillId="15" borderId="1" xfId="0" applyNumberFormat="1" applyFill="1" applyBorder="1"/>
    <xf numFmtId="10" fontId="0" fillId="15" borderId="1" xfId="74" applyNumberFormat="1" applyFont="1" applyFill="1" applyBorder="1"/>
    <xf numFmtId="0" fontId="19" fillId="2" borderId="1" xfId="2" applyFont="1" applyFill="1" applyBorder="1" applyAlignment="1">
      <alignment horizontal="center" vertical="center" wrapText="1"/>
    </xf>
    <xf numFmtId="44" fontId="2" fillId="15" borderId="1" xfId="1" applyFont="1" applyFill="1" applyBorder="1"/>
    <xf numFmtId="0" fontId="1" fillId="26" borderId="1" xfId="0" applyFont="1" applyFill="1" applyBorder="1" applyAlignment="1">
      <alignment horizontal="center" vertical="center"/>
    </xf>
    <xf numFmtId="0" fontId="1" fillId="26" borderId="1" xfId="0" applyFont="1" applyFill="1" applyBorder="1"/>
    <xf numFmtId="44" fontId="15" fillId="15" borderId="1" xfId="0" applyNumberFormat="1" applyFont="1" applyFill="1" applyBorder="1"/>
    <xf numFmtId="0" fontId="1" fillId="15" borderId="0" xfId="0" applyFont="1" applyFill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6" borderId="1" xfId="0" applyFont="1" applyFill="1" applyBorder="1" applyAlignment="1">
      <alignment horizontal="center" vertical="center"/>
    </xf>
    <xf numFmtId="44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4" fillId="17" borderId="0" xfId="0" applyFont="1" applyFill="1" applyAlignment="1">
      <alignment horizontal="left" vertical="center"/>
    </xf>
    <xf numFmtId="0" fontId="1" fillId="26" borderId="9" xfId="0" applyFont="1" applyFill="1" applyBorder="1" applyAlignment="1">
      <alignment horizontal="center"/>
    </xf>
    <xf numFmtId="0" fontId="1" fillId="26" borderId="10" xfId="0" applyFont="1" applyFill="1" applyBorder="1" applyAlignment="1">
      <alignment horizontal="center"/>
    </xf>
    <xf numFmtId="0" fontId="1" fillId="26" borderId="11" xfId="0" applyFont="1" applyFill="1" applyBorder="1" applyAlignment="1">
      <alignment horizontal="center"/>
    </xf>
    <xf numFmtId="0" fontId="1" fillId="26" borderId="12" xfId="0" applyFont="1" applyFill="1" applyBorder="1" applyAlignment="1">
      <alignment horizontal="center"/>
    </xf>
    <xf numFmtId="0" fontId="1" fillId="26" borderId="5" xfId="0" applyFont="1" applyFill="1" applyBorder="1" applyAlignment="1">
      <alignment horizontal="center" vertical="center"/>
    </xf>
    <xf numFmtId="0" fontId="1" fillId="26" borderId="7" xfId="0" applyFont="1" applyFill="1" applyBorder="1" applyAlignment="1">
      <alignment horizontal="center" vertical="center"/>
    </xf>
    <xf numFmtId="0" fontId="1" fillId="26" borderId="6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20" fillId="27" borderId="5" xfId="2" applyFont="1" applyFill="1" applyBorder="1" applyAlignment="1">
      <alignment horizontal="left" vertical="center" wrapText="1"/>
    </xf>
    <xf numFmtId="0" fontId="20" fillId="27" borderId="7" xfId="2" applyFont="1" applyFill="1" applyBorder="1" applyAlignment="1">
      <alignment horizontal="left" vertical="center" wrapText="1"/>
    </xf>
    <xf numFmtId="0" fontId="20" fillId="27" borderId="6" xfId="2" applyFont="1" applyFill="1" applyBorder="1" applyAlignment="1">
      <alignment horizontal="left" vertical="center" wrapText="1"/>
    </xf>
    <xf numFmtId="0" fontId="20" fillId="27" borderId="1" xfId="2" applyFont="1" applyFill="1" applyBorder="1" applyAlignment="1">
      <alignment horizontal="left" vertical="center" wrapText="1"/>
    </xf>
    <xf numFmtId="0" fontId="19" fillId="2" borderId="5" xfId="2" applyFont="1" applyFill="1" applyBorder="1" applyAlignment="1">
      <alignment horizontal="center" vertical="center" wrapText="1"/>
    </xf>
    <xf numFmtId="0" fontId="19" fillId="2" borderId="6" xfId="2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wrapText="1"/>
    </xf>
    <xf numFmtId="0" fontId="1" fillId="15" borderId="10" xfId="0" applyFont="1" applyFill="1" applyBorder="1" applyAlignment="1">
      <alignment horizontal="center" wrapText="1"/>
    </xf>
    <xf numFmtId="0" fontId="1" fillId="15" borderId="11" xfId="0" applyFont="1" applyFill="1" applyBorder="1" applyAlignment="1">
      <alignment horizontal="center" wrapText="1"/>
    </xf>
    <xf numFmtId="0" fontId="1" fillId="15" borderId="12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15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18" borderId="38" xfId="0" applyFill="1" applyBorder="1" applyAlignment="1">
      <alignment horizontal="center"/>
    </xf>
    <xf numFmtId="0" fontId="0" fillId="18" borderId="37" xfId="0" applyFill="1" applyBorder="1" applyAlignment="1">
      <alignment horizontal="center"/>
    </xf>
    <xf numFmtId="0" fontId="0" fillId="18" borderId="36" xfId="0" applyFill="1" applyBorder="1" applyAlignment="1">
      <alignment horizontal="center"/>
    </xf>
    <xf numFmtId="0" fontId="16" fillId="27" borderId="0" xfId="0" applyFont="1" applyFill="1" applyAlignment="1">
      <alignment horizontal="left" vertical="center"/>
    </xf>
    <xf numFmtId="0" fontId="12" fillId="24" borderId="41" xfId="0" applyFont="1" applyFill="1" applyBorder="1" applyAlignment="1">
      <alignment horizontal="center"/>
    </xf>
    <xf numFmtId="0" fontId="12" fillId="24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17" fillId="25" borderId="45" xfId="0" applyFont="1" applyFill="1" applyBorder="1" applyAlignment="1">
      <alignment horizontal="center" vertical="center"/>
    </xf>
    <xf numFmtId="0" fontId="17" fillId="25" borderId="0" xfId="0" applyFont="1" applyFill="1" applyAlignment="1">
      <alignment horizontal="center" vertical="center"/>
    </xf>
    <xf numFmtId="0" fontId="0" fillId="18" borderId="31" xfId="0" applyFill="1" applyBorder="1" applyAlignment="1">
      <alignment horizontal="center" vertical="center"/>
    </xf>
    <xf numFmtId="0" fontId="0" fillId="18" borderId="30" xfId="0" applyFill="1" applyBorder="1" applyAlignment="1">
      <alignment horizontal="center" vertical="center"/>
    </xf>
    <xf numFmtId="0" fontId="1" fillId="22" borderId="26" xfId="0" applyFont="1" applyFill="1" applyBorder="1" applyAlignment="1">
      <alignment horizontal="center"/>
    </xf>
    <xf numFmtId="0" fontId="1" fillId="22" borderId="27" xfId="0" applyFont="1" applyFill="1" applyBorder="1" applyAlignment="1">
      <alignment horizontal="center"/>
    </xf>
    <xf numFmtId="0" fontId="12" fillId="18" borderId="31" xfId="0" applyFont="1" applyFill="1" applyBorder="1" applyAlignment="1">
      <alignment horizontal="center" vertical="center"/>
    </xf>
    <xf numFmtId="0" fontId="12" fillId="18" borderId="30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18" borderId="38" xfId="0" applyFont="1" applyFill="1" applyBorder="1" applyAlignment="1">
      <alignment horizontal="center"/>
    </xf>
    <xf numFmtId="0" fontId="12" fillId="18" borderId="37" xfId="0" applyFont="1" applyFill="1" applyBorder="1" applyAlignment="1">
      <alignment horizontal="center"/>
    </xf>
    <xf numFmtId="0" fontId="12" fillId="18" borderId="36" xfId="0" applyFont="1" applyFill="1" applyBorder="1" applyAlignment="1">
      <alignment horizontal="center"/>
    </xf>
    <xf numFmtId="0" fontId="12" fillId="24" borderId="43" xfId="0" applyFont="1" applyFill="1" applyBorder="1" applyAlignment="1">
      <alignment horizontal="center"/>
    </xf>
    <xf numFmtId="0" fontId="12" fillId="24" borderId="42" xfId="0" applyFont="1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19" borderId="23" xfId="0" applyFont="1" applyFill="1" applyBorder="1" applyAlignment="1">
      <alignment horizontal="center"/>
    </xf>
    <xf numFmtId="0" fontId="0" fillId="0" borderId="13" xfId="0" applyBorder="1" applyAlignment="1">
      <alignment horizontal="center"/>
    </xf>
  </cellXfs>
  <cellStyles count="79">
    <cellStyle name="=C:\WINNT35\SYSTEM32\COMMAND.COM" xfId="4" xr:uid="{7090208E-C6D9-4028-990E-3320240AFDE4}"/>
    <cellStyle name="checkExposure" xfId="5" xr:uid="{8DABCC83-51E6-4D15-8E2C-3BB0F09DDAB4}"/>
    <cellStyle name="Comma 2" xfId="6" xr:uid="{3A628085-B865-4181-8948-0B02D41E9E3B}"/>
    <cellStyle name="Comma 2 2" xfId="76" xr:uid="{A282DDFE-FD84-48CB-B652-EBD3F9D6E68C}"/>
    <cellStyle name="Comma 3" xfId="7" xr:uid="{E214E65B-1B01-4366-B7C2-5EA3EDD8A9A8}"/>
    <cellStyle name="Comma 3 2" xfId="77" xr:uid="{53254F71-7DDB-413F-AFCC-0D58CD12FF46}"/>
    <cellStyle name="Comma 4" xfId="78" xr:uid="{EDAB4829-78BC-4E3F-B886-5743E5CB5A79}"/>
    <cellStyle name="Currency" xfId="75" builtinId="4"/>
    <cellStyle name="Currency 2" xfId="1" xr:uid="{55E69C21-FBB9-45C9-8654-4D7FB8EB0DAF}"/>
    <cellStyle name="Euro" xfId="8" xr:uid="{19521745-3726-41B9-BE17-5A7FE4B7EBA0}"/>
    <cellStyle name="greyed" xfId="9" xr:uid="{E50BAEB2-436C-41C7-9249-C3AC3FF1D5F6}"/>
    <cellStyle name="HeadingTable" xfId="10" xr:uid="{12950817-5F77-4567-A4B2-1E3BD151F9FE}"/>
    <cellStyle name="highlightExposure" xfId="11" xr:uid="{7DB0C190-DBD0-450A-AFB3-C34B65ECCAD7}"/>
    <cellStyle name="highlightPD" xfId="12" xr:uid="{DB4AFD76-32F1-4B36-B7B0-7AB50A71CD76}"/>
    <cellStyle name="highlightPercentage" xfId="13" xr:uid="{3302E024-FBE2-4CF0-9B61-3C9DEB7C65B4}"/>
    <cellStyle name="highlightText" xfId="14" xr:uid="{C300A8AC-0D6E-4580-A57A-B4F3539D37E3}"/>
    <cellStyle name="inputDate" xfId="15" xr:uid="{DF7FBA17-1588-4290-9BF6-BA8DD774AB62}"/>
    <cellStyle name="inputExposure" xfId="16" xr:uid="{604DD3CD-9788-424F-94C6-27AFCDE03F7F}"/>
    <cellStyle name="inputMaturity" xfId="17" xr:uid="{1F46A93A-9474-43EB-915A-43F3A00240BE}"/>
    <cellStyle name="inputParameterE" xfId="18" xr:uid="{D5C8F996-45D6-4BF6-B3D8-5FE4B10C8F67}"/>
    <cellStyle name="inputPD" xfId="19" xr:uid="{31A9258C-D1D8-421C-BABF-05CD9D06DEEE}"/>
    <cellStyle name="inputPercentage" xfId="20" xr:uid="{7A9A109A-AF43-4A6A-9813-E71105B7F5FA}"/>
    <cellStyle name="inputPercentageL" xfId="21" xr:uid="{A61E5B90-0D6E-4DAE-A4DF-BA9A5A9E33F0}"/>
    <cellStyle name="inputPercentageS" xfId="22" xr:uid="{1C08A618-77F6-4A0A-B44E-8BF39F68A0BD}"/>
    <cellStyle name="inputSelection" xfId="23" xr:uid="{F29CE3F8-F966-482A-B700-2D19F87DEF3F}"/>
    <cellStyle name="inputText" xfId="24" xr:uid="{C00C146A-D4A9-4BB3-A26A-342C173027DB}"/>
    <cellStyle name="Normal" xfId="0" builtinId="0"/>
    <cellStyle name="Normal 2" xfId="2" xr:uid="{580CD9F1-0A69-4987-A0CE-BF26116B70D2}"/>
    <cellStyle name="Normal 2 2" xfId="25" xr:uid="{86DC7E58-26EE-4BBA-9A75-40EA279E7716}"/>
    <cellStyle name="Normal 3" xfId="26" xr:uid="{9603F47A-877E-4001-9BEE-2FF64D1FFA8E}"/>
    <cellStyle name="Normal 3 2" xfId="27" xr:uid="{7C1C1734-BB0B-41E0-B4AB-EEE51B6D0E6F}"/>
    <cellStyle name="Normal 4" xfId="28" xr:uid="{80B79A17-6C97-4886-BE79-3C63E0E1D72B}"/>
    <cellStyle name="Normal 4 2" xfId="29" xr:uid="{52BAE198-BA80-4144-AA65-0BC48ED87DC7}"/>
    <cellStyle name="Normal 5" xfId="30" xr:uid="{6E4AF5F1-5E11-4EB4-AE62-B2B873CE8FA9}"/>
    <cellStyle name="optionalExposure" xfId="31" xr:uid="{17913228-D07B-4D41-B55B-314318440076}"/>
    <cellStyle name="optionalMaturity" xfId="32" xr:uid="{ACAC3C38-BD6D-4BE4-9234-60C914046C62}"/>
    <cellStyle name="optionalPD" xfId="33" xr:uid="{04CD1CCC-980E-4447-99D3-5274FF392AF7}"/>
    <cellStyle name="optionalPercentage" xfId="34" xr:uid="{749EF532-6C9A-407D-AAA8-D1132A5A75FD}"/>
    <cellStyle name="optionalPercentageL" xfId="35" xr:uid="{B6D60CCF-84F0-4D2D-90E0-E35BBABA11FF}"/>
    <cellStyle name="optionalPercentageS" xfId="36" xr:uid="{7F94AC2F-90E4-49AB-8B39-3579BAE41F46}"/>
    <cellStyle name="optionalSelection" xfId="37" xr:uid="{436D985E-82E2-4F85-9FC0-F4F784CC1614}"/>
    <cellStyle name="optionalText" xfId="38" xr:uid="{BB8C18A0-A737-461C-AB84-95A8DF89246D}"/>
    <cellStyle name="Percent" xfId="74" builtinId="5"/>
    <cellStyle name="Percent 2" xfId="3" xr:uid="{BB524F94-067C-4954-8880-0D5DF8B1AF06}"/>
    <cellStyle name="Percent 3" xfId="39" xr:uid="{F7A14591-9D29-4FDA-9C54-FD08C874F10D}"/>
    <cellStyle name="Percent 3 2" xfId="40" xr:uid="{8AEE1F6A-A089-4964-85E5-3566E58F8BDE}"/>
    <cellStyle name="Percent 4" xfId="41" xr:uid="{78442B18-B2D6-4FCB-98A4-25031A6698D0}"/>
    <cellStyle name="Percent 5" xfId="42" xr:uid="{F2542740-3AA1-4346-BB7B-EB8B938948DE}"/>
    <cellStyle name="Percent 6" xfId="43" xr:uid="{DE879183-DF6B-4ED1-AF1F-C52314346791}"/>
    <cellStyle name="reviseExposure" xfId="44" xr:uid="{4510D5D2-5D92-4FAD-AA37-119CDD64FF5F}"/>
    <cellStyle name="showCheck" xfId="45" xr:uid="{A65A9B24-8B6B-4B52-A2FB-D64B0720F106}"/>
    <cellStyle name="showExposure" xfId="46" xr:uid="{41ECB3FD-5020-4D2B-BED2-8F310C544CE6}"/>
    <cellStyle name="showParameterE" xfId="47" xr:uid="{94410928-65A0-4A52-A695-C24F709C89AD}"/>
    <cellStyle name="showParameterS" xfId="48" xr:uid="{3CC772C6-F6C7-47C6-AE71-987E1518E4C3}"/>
    <cellStyle name="showPD" xfId="49" xr:uid="{D8FD2E69-BCFE-48B0-86C9-4738380DC752}"/>
    <cellStyle name="showPercentage" xfId="50" xr:uid="{3A32F4B5-8493-4949-B45E-135BA942DC32}"/>
    <cellStyle name="showSelection" xfId="51" xr:uid="{FA72A34F-E6C2-40EF-BB7A-0837168DA702}"/>
    <cellStyle name="Standard 2" xfId="52" xr:uid="{5DB39B1B-C940-4302-A2CA-1B6DB5CD2D00}"/>
    <cellStyle name="sup2Date" xfId="53" xr:uid="{6F6DCE6D-FBC3-44F5-A3A7-7034FA2D5E2D}"/>
    <cellStyle name="sup2Int" xfId="54" xr:uid="{95C1485F-EBD9-4374-92F6-5AA060749990}"/>
    <cellStyle name="sup2ParameterE" xfId="55" xr:uid="{C311955D-B200-4B19-877B-09B7F2FADD23}"/>
    <cellStyle name="sup2Percentage" xfId="56" xr:uid="{78C99C71-C2E4-4FCD-B627-0C25B77CD86D}"/>
    <cellStyle name="sup2PercentageL" xfId="57" xr:uid="{A2DFCE4B-5B08-4596-8F8F-355B1F74DEE9}"/>
    <cellStyle name="sup2PercentageM" xfId="58" xr:uid="{40D5F848-2071-4738-ABBB-0AE00465E1EA}"/>
    <cellStyle name="sup2Selection" xfId="59" xr:uid="{2F95B1C1-7426-4328-9301-11133ADEBC4B}"/>
    <cellStyle name="sup2Text" xfId="60" xr:uid="{322F9AFB-DE3E-4FBF-8349-F8DFB266F39E}"/>
    <cellStyle name="sup3ParameterE" xfId="61" xr:uid="{536C1C5A-3036-4E42-BD40-6540C12FC57C}"/>
    <cellStyle name="sup3Percentage" xfId="62" xr:uid="{17DEF241-EBC0-4849-B009-ECDAE33D6657}"/>
    <cellStyle name="supDate" xfId="63" xr:uid="{C43E2C7E-EF7A-4273-B646-A71FF35E4758}"/>
    <cellStyle name="supFloat" xfId="64" xr:uid="{D1FF4869-CC15-457C-8542-24B5387543FC}"/>
    <cellStyle name="supInt" xfId="65" xr:uid="{41C05E63-EC84-4788-A053-495AFBCA9721}"/>
    <cellStyle name="supParameterE" xfId="66" xr:uid="{AD46A23D-099D-489C-BA3A-2EF3D30B24A7}"/>
    <cellStyle name="supParameterS" xfId="67" xr:uid="{62DE1A1A-8915-45CC-A389-EA6C667BA36B}"/>
    <cellStyle name="supPD" xfId="68" xr:uid="{4F4FA739-5464-4280-8D07-61925FD0E06F}"/>
    <cellStyle name="supPercentage" xfId="69" xr:uid="{1AD83CE4-332B-44EE-B9DD-6B5D42BDAB5F}"/>
    <cellStyle name="supPercentageL" xfId="70" xr:uid="{5E78E70C-9D5E-4E06-8F9F-42D0CB6307F1}"/>
    <cellStyle name="supPercentageM" xfId="71" xr:uid="{DF9E2DF5-49A8-49C1-A8B6-CC4E20AA8CB7}"/>
    <cellStyle name="supSelection" xfId="72" xr:uid="{7ABC023C-EEAE-40A5-915A-301F59E58E60}"/>
    <cellStyle name="supText" xfId="73" xr:uid="{E7A05F37-C099-4C97-9544-DA25F76921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83</xdr:row>
      <xdr:rowOff>0</xdr:rowOff>
    </xdr:from>
    <xdr:ext cx="5788094" cy="2533333"/>
    <xdr:pic>
      <xdr:nvPicPr>
        <xdr:cNvPr id="2" name="Picture 1">
          <a:extLst>
            <a:ext uri="{FF2B5EF4-FFF2-40B4-BE49-F238E27FC236}">
              <a16:creationId xmlns:a16="http://schemas.microsoft.com/office/drawing/2014/main" id="{EB4311E6-9069-4AE4-91B5-13A86AD1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5811500"/>
          <a:ext cx="5788094" cy="253333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594360</xdr:colOff>
      <xdr:row>0</xdr:row>
      <xdr:rowOff>0</xdr:rowOff>
    </xdr:from>
    <xdr:to>
      <xdr:col>15</xdr:col>
      <xdr:colOff>601980</xdr:colOff>
      <xdr:row>25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B65C2-30E0-209D-35D5-EBC54317E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760" y="0"/>
          <a:ext cx="6713220" cy="457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579120</xdr:colOff>
      <xdr:row>0</xdr:row>
      <xdr:rowOff>0</xdr:rowOff>
    </xdr:from>
    <xdr:to>
      <xdr:col>18</xdr:col>
      <xdr:colOff>336210</xdr:colOff>
      <xdr:row>26</xdr:row>
      <xdr:rowOff>23274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B6FAF-1598-E1E9-6888-E43E4BBFF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" y="0"/>
          <a:ext cx="10729890" cy="4778154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26</xdr:row>
      <xdr:rowOff>30480</xdr:rowOff>
    </xdr:from>
    <xdr:to>
      <xdr:col>18</xdr:col>
      <xdr:colOff>282845</xdr:colOff>
      <xdr:row>33</xdr:row>
      <xdr:rowOff>22970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5D9578-5989-F431-BE84-DB271B3CE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" y="4785360"/>
          <a:ext cx="10440305" cy="127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1A24-A861-4B00-8BEB-C0A1D6666288}">
  <dimension ref="A1:I21"/>
  <sheetViews>
    <sheetView showGridLines="0" zoomScale="85" zoomScaleNormal="85" workbookViewId="0">
      <selection activeCell="C21" sqref="C21"/>
    </sheetView>
  </sheetViews>
  <sheetFormatPr defaultRowHeight="14.4" x14ac:dyDescent="0.3"/>
  <cols>
    <col min="1" max="1" width="3.109375" customWidth="1"/>
    <col min="2" max="2" width="29.5546875" customWidth="1"/>
    <col min="3" max="3" width="16.88671875" customWidth="1"/>
    <col min="4" max="8" width="23.6640625" customWidth="1"/>
    <col min="9" max="11" width="19" customWidth="1"/>
    <col min="12" max="12" width="18.5546875" customWidth="1"/>
  </cols>
  <sheetData>
    <row r="1" spans="1:9" s="200" customFormat="1" ht="31.5" customHeight="1" x14ac:dyDescent="0.3">
      <c r="A1" s="200" t="s">
        <v>254</v>
      </c>
    </row>
    <row r="3" spans="1:9" x14ac:dyDescent="0.3">
      <c r="B3" s="201"/>
      <c r="C3" s="202"/>
      <c r="D3" s="205" t="s">
        <v>255</v>
      </c>
      <c r="E3" s="206"/>
      <c r="F3" s="206"/>
      <c r="G3" s="206"/>
      <c r="H3" s="207"/>
      <c r="I3" s="208" t="s">
        <v>256</v>
      </c>
    </row>
    <row r="4" spans="1:9" x14ac:dyDescent="0.3">
      <c r="B4" s="203"/>
      <c r="C4" s="204"/>
      <c r="D4" s="188" t="s">
        <v>1</v>
      </c>
      <c r="E4" s="188" t="s">
        <v>257</v>
      </c>
      <c r="F4" s="188" t="s">
        <v>258</v>
      </c>
      <c r="G4" s="188" t="s">
        <v>259</v>
      </c>
      <c r="H4" s="188" t="s">
        <v>260</v>
      </c>
      <c r="I4" s="209"/>
    </row>
    <row r="5" spans="1:9" x14ac:dyDescent="0.3">
      <c r="B5" s="197" t="s">
        <v>261</v>
      </c>
      <c r="C5" s="189" t="s">
        <v>17</v>
      </c>
      <c r="D5" s="187">
        <f>GIRR!D85</f>
        <v>2943.7575668779909</v>
      </c>
      <c r="E5" s="187">
        <v>0</v>
      </c>
      <c r="F5" s="187">
        <v>0</v>
      </c>
      <c r="G5" s="187">
        <f>SBM!E67</f>
        <v>27.87</v>
      </c>
      <c r="H5" s="187">
        <v>0</v>
      </c>
      <c r="I5" s="198">
        <f>SUM(D5:H7)</f>
        <v>2982.987566877991</v>
      </c>
    </row>
    <row r="6" spans="1:9" x14ac:dyDescent="0.3">
      <c r="B6" s="197"/>
      <c r="C6" s="189" t="s">
        <v>11</v>
      </c>
      <c r="D6" s="187">
        <v>0</v>
      </c>
      <c r="E6" s="187">
        <v>0</v>
      </c>
      <c r="F6" s="187">
        <v>0</v>
      </c>
      <c r="G6" s="187">
        <f>SBM!E143</f>
        <v>4.3</v>
      </c>
      <c r="H6" s="187">
        <v>0</v>
      </c>
      <c r="I6" s="199"/>
    </row>
    <row r="7" spans="1:9" x14ac:dyDescent="0.3">
      <c r="B7" s="197"/>
      <c r="C7" s="189" t="s">
        <v>10</v>
      </c>
      <c r="D7" s="187">
        <v>0</v>
      </c>
      <c r="E7" s="187">
        <v>0</v>
      </c>
      <c r="F7" s="187">
        <v>0</v>
      </c>
      <c r="G7" s="187">
        <f>SBM!E194</f>
        <v>7.06</v>
      </c>
      <c r="H7" s="187">
        <v>0</v>
      </c>
      <c r="I7" s="199"/>
    </row>
    <row r="8" spans="1:9" x14ac:dyDescent="0.3">
      <c r="B8" s="197" t="s">
        <v>262</v>
      </c>
      <c r="C8" s="189" t="s">
        <v>17</v>
      </c>
      <c r="D8" s="187">
        <f>GIRR!D86</f>
        <v>3172.9466028592942</v>
      </c>
      <c r="E8" s="187">
        <v>0</v>
      </c>
      <c r="F8" s="187">
        <v>0</v>
      </c>
      <c r="G8" s="187">
        <f>SBM!E68</f>
        <v>28.05</v>
      </c>
      <c r="H8" s="187">
        <v>0</v>
      </c>
      <c r="I8" s="198">
        <f>SUM(D8:H10)</f>
        <v>3212.1766028592942</v>
      </c>
    </row>
    <row r="9" spans="1:9" x14ac:dyDescent="0.3">
      <c r="B9" s="197"/>
      <c r="C9" s="189" t="s">
        <v>11</v>
      </c>
      <c r="D9" s="187">
        <v>0</v>
      </c>
      <c r="E9" s="187">
        <v>0</v>
      </c>
      <c r="F9" s="187">
        <v>0</v>
      </c>
      <c r="G9" s="187">
        <f>SBM!E144</f>
        <v>4.16</v>
      </c>
      <c r="H9" s="187">
        <v>0</v>
      </c>
      <c r="I9" s="199"/>
    </row>
    <row r="10" spans="1:9" x14ac:dyDescent="0.3">
      <c r="B10" s="197"/>
      <c r="C10" s="189" t="s">
        <v>10</v>
      </c>
      <c r="D10" s="187">
        <v>0</v>
      </c>
      <c r="E10" s="187">
        <v>0</v>
      </c>
      <c r="F10" s="187">
        <v>0</v>
      </c>
      <c r="G10" s="187">
        <f>SBM!E195</f>
        <v>7.02</v>
      </c>
      <c r="H10" s="187">
        <v>0</v>
      </c>
      <c r="I10" s="199"/>
    </row>
    <row r="11" spans="1:9" x14ac:dyDescent="0.3">
      <c r="B11" s="197" t="s">
        <v>263</v>
      </c>
      <c r="C11" s="189" t="s">
        <v>17</v>
      </c>
      <c r="D11" s="187">
        <f>GIRR!D87</f>
        <v>2628.594852579025</v>
      </c>
      <c r="E11" s="187">
        <v>0</v>
      </c>
      <c r="F11" s="187">
        <v>0</v>
      </c>
      <c r="G11" s="187">
        <f>SBM!E69</f>
        <v>27.7</v>
      </c>
      <c r="H11" s="187">
        <v>0</v>
      </c>
      <c r="I11" s="198">
        <f>SUM(D11:H13)</f>
        <v>2667.6948525790249</v>
      </c>
    </row>
    <row r="12" spans="1:9" x14ac:dyDescent="0.3">
      <c r="B12" s="197"/>
      <c r="C12" s="189" t="s">
        <v>11</v>
      </c>
      <c r="D12" s="187">
        <v>0</v>
      </c>
      <c r="E12" s="187">
        <v>0</v>
      </c>
      <c r="F12" s="187">
        <v>0</v>
      </c>
      <c r="G12" s="187">
        <f>SBM!E145</f>
        <v>4.29</v>
      </c>
      <c r="H12" s="187">
        <v>0</v>
      </c>
      <c r="I12" s="199"/>
    </row>
    <row r="13" spans="1:9" x14ac:dyDescent="0.3">
      <c r="B13" s="197"/>
      <c r="C13" s="189" t="s">
        <v>10</v>
      </c>
      <c r="D13" s="187">
        <v>0</v>
      </c>
      <c r="E13" s="187">
        <v>0</v>
      </c>
      <c r="F13" s="187">
        <v>0</v>
      </c>
      <c r="G13" s="187">
        <f>SBM!E196</f>
        <v>7.11</v>
      </c>
      <c r="H13" s="187">
        <v>0</v>
      </c>
      <c r="I13" s="199"/>
    </row>
    <row r="16" spans="1:9" x14ac:dyDescent="0.3">
      <c r="B16" s="189" t="s">
        <v>264</v>
      </c>
      <c r="C16" s="190">
        <f>MAX(I5:I13)</f>
        <v>3212.1766028592942</v>
      </c>
    </row>
    <row r="17" spans="2:3" x14ac:dyDescent="0.3">
      <c r="B17" s="189" t="s">
        <v>265</v>
      </c>
      <c r="C17" s="190">
        <f>DRC!B79</f>
        <v>158.13631852376969</v>
      </c>
    </row>
    <row r="18" spans="2:3" x14ac:dyDescent="0.3">
      <c r="B18" s="189" t="s">
        <v>266</v>
      </c>
      <c r="C18" s="190">
        <f>RRAO!B19</f>
        <v>6336</v>
      </c>
    </row>
    <row r="21" spans="2:3" x14ac:dyDescent="0.3">
      <c r="B21" s="189" t="s">
        <v>267</v>
      </c>
      <c r="C21" s="187">
        <f>SUM(C16:C18)</f>
        <v>9706.3129213830634</v>
      </c>
    </row>
  </sheetData>
  <mergeCells count="10">
    <mergeCell ref="B8:B10"/>
    <mergeCell ref="I8:I10"/>
    <mergeCell ref="B11:B13"/>
    <mergeCell ref="I11:I13"/>
    <mergeCell ref="A1:XFD1"/>
    <mergeCell ref="B3:C4"/>
    <mergeCell ref="D3:H3"/>
    <mergeCell ref="I3:I4"/>
    <mergeCell ref="B5:B7"/>
    <mergeCell ref="I5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7B36-6358-448E-960A-1C628B3A54C1}">
  <dimension ref="A1:G79"/>
  <sheetViews>
    <sheetView showGridLines="0" topLeftCell="A13" zoomScale="80" zoomScaleNormal="80" workbookViewId="0">
      <selection activeCell="B84" sqref="B84"/>
    </sheetView>
  </sheetViews>
  <sheetFormatPr defaultRowHeight="14.4" x14ac:dyDescent="0.3"/>
  <cols>
    <col min="1" max="1" width="51.6640625" bestFit="1" customWidth="1"/>
    <col min="2" max="3" width="26.5546875" customWidth="1"/>
    <col min="4" max="4" width="27.109375" bestFit="1" customWidth="1"/>
    <col min="5" max="6" width="26.5546875" customWidth="1"/>
    <col min="7" max="7" width="22.6640625" bestFit="1" customWidth="1"/>
  </cols>
  <sheetData>
    <row r="1" spans="1:7" s="210" customFormat="1" ht="31.5" customHeight="1" x14ac:dyDescent="0.3">
      <c r="A1" s="210" t="s">
        <v>202</v>
      </c>
    </row>
    <row r="3" spans="1:7" x14ac:dyDescent="0.3">
      <c r="A3" s="176" t="s">
        <v>203</v>
      </c>
      <c r="B3" s="176" t="s">
        <v>218</v>
      </c>
      <c r="D3" s="176" t="s">
        <v>204</v>
      </c>
      <c r="E3" s="176" t="s">
        <v>205</v>
      </c>
      <c r="F3" s="1"/>
      <c r="G3" s="1"/>
    </row>
    <row r="4" spans="1:7" x14ac:dyDescent="0.3">
      <c r="A4" s="23" t="s">
        <v>206</v>
      </c>
      <c r="B4" s="16">
        <v>0.75</v>
      </c>
      <c r="D4" s="23" t="s">
        <v>203</v>
      </c>
      <c r="E4" s="14" t="s">
        <v>207</v>
      </c>
      <c r="F4" s="1"/>
      <c r="G4" s="1"/>
    </row>
    <row r="5" spans="1:7" x14ac:dyDescent="0.3">
      <c r="A5" s="23" t="s">
        <v>208</v>
      </c>
      <c r="B5" s="16">
        <v>0.25</v>
      </c>
      <c r="D5" s="23" t="s">
        <v>209</v>
      </c>
      <c r="E5" s="14" t="s">
        <v>210</v>
      </c>
      <c r="F5" s="1"/>
      <c r="G5" s="1"/>
    </row>
    <row r="6" spans="1:7" x14ac:dyDescent="0.3">
      <c r="A6" s="23" t="s">
        <v>211</v>
      </c>
      <c r="B6" s="16">
        <v>1</v>
      </c>
      <c r="D6" s="23" t="s">
        <v>212</v>
      </c>
      <c r="E6" s="14" t="s">
        <v>213</v>
      </c>
      <c r="F6" s="1"/>
      <c r="G6" s="1"/>
    </row>
    <row r="7" spans="1:7" x14ac:dyDescent="0.3">
      <c r="D7" s="23" t="s">
        <v>214</v>
      </c>
      <c r="E7" s="14" t="s">
        <v>215</v>
      </c>
    </row>
    <row r="9" spans="1:7" ht="24" customHeight="1" x14ac:dyDescent="0.3">
      <c r="A9" s="176" t="s">
        <v>216</v>
      </c>
      <c r="B9" s="176" t="s">
        <v>47</v>
      </c>
      <c r="C9" s="176" t="s">
        <v>209</v>
      </c>
      <c r="D9" s="176" t="s">
        <v>212</v>
      </c>
      <c r="E9" s="176" t="s">
        <v>217</v>
      </c>
      <c r="F9" s="176" t="s">
        <v>218</v>
      </c>
      <c r="G9" s="176" t="s">
        <v>219</v>
      </c>
    </row>
    <row r="10" spans="1:7" x14ac:dyDescent="0.3">
      <c r="A10" s="14" t="s">
        <v>220</v>
      </c>
      <c r="B10" s="14" t="s">
        <v>221</v>
      </c>
      <c r="C10" s="14" t="s">
        <v>222</v>
      </c>
      <c r="D10" s="14" t="s">
        <v>223</v>
      </c>
      <c r="E10" s="14">
        <v>1000</v>
      </c>
      <c r="F10" s="16">
        <v>0.25</v>
      </c>
      <c r="G10" s="22">
        <v>800</v>
      </c>
    </row>
    <row r="11" spans="1:7" x14ac:dyDescent="0.3">
      <c r="A11" s="14" t="s">
        <v>224</v>
      </c>
      <c r="B11" s="14" t="s">
        <v>225</v>
      </c>
      <c r="C11" s="14" t="s">
        <v>225</v>
      </c>
      <c r="D11" s="14" t="s">
        <v>226</v>
      </c>
      <c r="E11" s="14">
        <v>-1000</v>
      </c>
      <c r="F11" s="16">
        <v>0.75</v>
      </c>
      <c r="G11" s="22">
        <v>-950</v>
      </c>
    </row>
    <row r="12" spans="1:7" x14ac:dyDescent="0.3">
      <c r="A12" s="14" t="s">
        <v>227</v>
      </c>
      <c r="B12" s="14" t="s">
        <v>228</v>
      </c>
      <c r="C12" s="14" t="s">
        <v>228</v>
      </c>
      <c r="D12" s="14" t="s">
        <v>226</v>
      </c>
      <c r="E12" s="14">
        <v>1000</v>
      </c>
      <c r="F12" s="16">
        <v>0.75</v>
      </c>
      <c r="G12" s="22">
        <v>970</v>
      </c>
    </row>
    <row r="13" spans="1:7" x14ac:dyDescent="0.3">
      <c r="A13" s="14" t="s">
        <v>229</v>
      </c>
      <c r="B13" s="14" t="s">
        <v>230</v>
      </c>
      <c r="C13" s="14" t="s">
        <v>222</v>
      </c>
      <c r="D13" s="14" t="s">
        <v>231</v>
      </c>
      <c r="E13" s="14">
        <v>-1000</v>
      </c>
      <c r="F13" s="16">
        <v>0.75</v>
      </c>
      <c r="G13" s="22">
        <v>450</v>
      </c>
    </row>
    <row r="14" spans="1:7" x14ac:dyDescent="0.3">
      <c r="A14" s="14" t="s">
        <v>220</v>
      </c>
      <c r="B14" s="14" t="s">
        <v>232</v>
      </c>
      <c r="C14" s="14" t="s">
        <v>222</v>
      </c>
      <c r="D14" s="14" t="s">
        <v>233</v>
      </c>
      <c r="E14" s="14"/>
      <c r="F14" s="16">
        <v>1</v>
      </c>
      <c r="G14" s="22">
        <v>760</v>
      </c>
    </row>
    <row r="15" spans="1:7" x14ac:dyDescent="0.3">
      <c r="A15" s="14" t="s">
        <v>220</v>
      </c>
      <c r="B15" s="14" t="s">
        <v>234</v>
      </c>
      <c r="C15" s="14" t="s">
        <v>222</v>
      </c>
      <c r="D15" s="14" t="s">
        <v>233</v>
      </c>
      <c r="E15" s="14"/>
      <c r="F15" s="16">
        <v>1</v>
      </c>
      <c r="G15" s="22">
        <v>15.60530872949494</v>
      </c>
    </row>
    <row r="17" spans="1:7" s="214" customFormat="1" ht="30" customHeight="1" x14ac:dyDescent="0.3">
      <c r="A17" s="211" t="s">
        <v>315</v>
      </c>
      <c r="B17" s="212"/>
      <c r="C17" s="212"/>
      <c r="D17" s="212"/>
      <c r="E17" s="212"/>
      <c r="F17" s="212"/>
      <c r="G17" s="213"/>
    </row>
    <row r="20" spans="1:7" x14ac:dyDescent="0.3">
      <c r="A20" s="176" t="s">
        <v>216</v>
      </c>
      <c r="B20" s="176" t="s">
        <v>303</v>
      </c>
      <c r="C20" s="176" t="s">
        <v>304</v>
      </c>
    </row>
    <row r="21" spans="1:7" x14ac:dyDescent="0.3">
      <c r="A21" s="14" t="s">
        <v>220</v>
      </c>
      <c r="B21" s="22">
        <f>MAX(F10*E10+(G10-E10),0)</f>
        <v>50</v>
      </c>
      <c r="C21" s="22">
        <f>MIN(F10*E10+(G10-E10),0)</f>
        <v>0</v>
      </c>
    </row>
    <row r="22" spans="1:7" x14ac:dyDescent="0.3">
      <c r="A22" s="14" t="s">
        <v>224</v>
      </c>
      <c r="B22" s="22">
        <f t="shared" ref="B22:B26" si="0">MAX(F11*E11+(G11-E11),0)</f>
        <v>0</v>
      </c>
      <c r="C22" s="22">
        <f t="shared" ref="C22:C26" si="1">MIN(F11*E11+(G11-E11),0)</f>
        <v>-700</v>
      </c>
    </row>
    <row r="23" spans="1:7" x14ac:dyDescent="0.3">
      <c r="A23" s="14" t="s">
        <v>227</v>
      </c>
      <c r="B23" s="22">
        <f>MAX(F12*E12+(G12-E12),0)</f>
        <v>720</v>
      </c>
      <c r="C23" s="22">
        <f t="shared" si="1"/>
        <v>0</v>
      </c>
    </row>
    <row r="24" spans="1:7" x14ac:dyDescent="0.3">
      <c r="A24" s="14" t="s">
        <v>229</v>
      </c>
      <c r="B24" s="22">
        <f t="shared" si="0"/>
        <v>700</v>
      </c>
      <c r="C24" s="22">
        <f t="shared" si="1"/>
        <v>0</v>
      </c>
    </row>
    <row r="25" spans="1:7" x14ac:dyDescent="0.3">
      <c r="A25" s="14" t="s">
        <v>220</v>
      </c>
      <c r="B25" s="22">
        <f t="shared" si="0"/>
        <v>760</v>
      </c>
      <c r="C25" s="22">
        <f t="shared" si="1"/>
        <v>0</v>
      </c>
    </row>
    <row r="26" spans="1:7" x14ac:dyDescent="0.3">
      <c r="A26" s="14" t="s">
        <v>220</v>
      </c>
      <c r="B26" s="22">
        <f t="shared" si="0"/>
        <v>15.60530872949494</v>
      </c>
      <c r="C26" s="22">
        <f t="shared" si="1"/>
        <v>0</v>
      </c>
    </row>
    <row r="28" spans="1:7" s="177" customFormat="1" ht="21" x14ac:dyDescent="0.4">
      <c r="A28" s="177" t="s">
        <v>235</v>
      </c>
      <c r="B28" s="178"/>
      <c r="C28" s="178"/>
      <c r="D28" s="178"/>
      <c r="E28" s="178"/>
    </row>
    <row r="31" spans="1:7" x14ac:dyDescent="0.3">
      <c r="A31" s="176" t="s">
        <v>216</v>
      </c>
      <c r="B31" s="176" t="s">
        <v>303</v>
      </c>
      <c r="C31" s="176" t="s">
        <v>304</v>
      </c>
    </row>
    <row r="32" spans="1:7" x14ac:dyDescent="0.3">
      <c r="A32" s="14" t="s">
        <v>220</v>
      </c>
      <c r="B32" s="22">
        <f>B21+B25+B26</f>
        <v>825.60530872949494</v>
      </c>
      <c r="C32" s="22">
        <f>C21+C25+C26</f>
        <v>0</v>
      </c>
    </row>
    <row r="33" spans="1:5" x14ac:dyDescent="0.3">
      <c r="A33" s="14" t="s">
        <v>224</v>
      </c>
      <c r="B33" s="22">
        <f>B22</f>
        <v>0</v>
      </c>
      <c r="C33" s="22">
        <f>C22</f>
        <v>-700</v>
      </c>
    </row>
    <row r="34" spans="1:5" x14ac:dyDescent="0.3">
      <c r="A34" s="14" t="s">
        <v>227</v>
      </c>
      <c r="B34" s="22">
        <f>B23</f>
        <v>720</v>
      </c>
      <c r="C34" s="22">
        <f t="shared" ref="C34:C35" si="2">C23</f>
        <v>0</v>
      </c>
    </row>
    <row r="35" spans="1:5" x14ac:dyDescent="0.3">
      <c r="A35" s="14" t="s">
        <v>229</v>
      </c>
      <c r="B35" s="22">
        <f>B24</f>
        <v>700</v>
      </c>
      <c r="C35" s="22">
        <f t="shared" si="2"/>
        <v>0</v>
      </c>
    </row>
    <row r="37" spans="1:5" s="177" customFormat="1" ht="21" x14ac:dyDescent="0.4">
      <c r="A37" s="177" t="s">
        <v>236</v>
      </c>
      <c r="B37" s="178"/>
      <c r="C37" s="178"/>
      <c r="D37" s="178"/>
      <c r="E37" s="178"/>
    </row>
    <row r="39" spans="1:5" x14ac:dyDescent="0.3">
      <c r="A39" s="176" t="s">
        <v>216</v>
      </c>
      <c r="B39" s="176" t="s">
        <v>305</v>
      </c>
    </row>
    <row r="40" spans="1:5" x14ac:dyDescent="0.3">
      <c r="A40" s="14" t="s">
        <v>220</v>
      </c>
      <c r="B40" s="22">
        <f>B32+C32</f>
        <v>825.60530872949494</v>
      </c>
    </row>
    <row r="41" spans="1:5" x14ac:dyDescent="0.3">
      <c r="A41" s="14" t="s">
        <v>224</v>
      </c>
      <c r="B41" s="22">
        <f>B33+C33</f>
        <v>-700</v>
      </c>
    </row>
    <row r="42" spans="1:5" x14ac:dyDescent="0.3">
      <c r="A42" s="14" t="s">
        <v>227</v>
      </c>
      <c r="B42" s="22">
        <f>B34+C34</f>
        <v>720</v>
      </c>
    </row>
    <row r="43" spans="1:5" x14ac:dyDescent="0.3">
      <c r="A43" s="14" t="s">
        <v>229</v>
      </c>
      <c r="B43" s="22">
        <f>B35+C35</f>
        <v>700</v>
      </c>
    </row>
    <row r="45" spans="1:5" s="179" customFormat="1" ht="21" x14ac:dyDescent="0.4">
      <c r="A45" s="179" t="s">
        <v>306</v>
      </c>
    </row>
    <row r="47" spans="1:5" x14ac:dyDescent="0.3">
      <c r="A47" s="176" t="s">
        <v>237</v>
      </c>
      <c r="B47" s="176" t="s">
        <v>238</v>
      </c>
    </row>
    <row r="48" spans="1:5" x14ac:dyDescent="0.3">
      <c r="A48" s="14" t="s">
        <v>226</v>
      </c>
      <c r="B48" s="180">
        <v>5.0000000000000001E-3</v>
      </c>
    </row>
    <row r="49" spans="1:7" x14ac:dyDescent="0.3">
      <c r="A49" s="14" t="s">
        <v>223</v>
      </c>
      <c r="B49" s="29">
        <v>0.02</v>
      </c>
    </row>
    <row r="50" spans="1:7" x14ac:dyDescent="0.3">
      <c r="A50" s="14" t="s">
        <v>239</v>
      </c>
      <c r="B50" s="29">
        <v>0.03</v>
      </c>
    </row>
    <row r="51" spans="1:7" x14ac:dyDescent="0.3">
      <c r="A51" s="14" t="s">
        <v>233</v>
      </c>
      <c r="B51" s="29">
        <v>0.06</v>
      </c>
    </row>
    <row r="52" spans="1:7" x14ac:dyDescent="0.3">
      <c r="A52" s="14" t="s">
        <v>240</v>
      </c>
      <c r="B52" s="29">
        <v>0.15</v>
      </c>
    </row>
    <row r="53" spans="1:7" x14ac:dyDescent="0.3">
      <c r="A53" s="14" t="s">
        <v>241</v>
      </c>
      <c r="B53" s="29">
        <v>0.3</v>
      </c>
    </row>
    <row r="54" spans="1:7" x14ac:dyDescent="0.3">
      <c r="A54" s="14" t="s">
        <v>242</v>
      </c>
      <c r="B54" s="29">
        <v>0.5</v>
      </c>
    </row>
    <row r="55" spans="1:7" x14ac:dyDescent="0.3">
      <c r="A55" s="14" t="s">
        <v>231</v>
      </c>
      <c r="B55" s="29">
        <v>0.15</v>
      </c>
    </row>
    <row r="56" spans="1:7" x14ac:dyDescent="0.3">
      <c r="A56" s="14" t="s">
        <v>243</v>
      </c>
      <c r="B56" s="29">
        <v>1</v>
      </c>
    </row>
    <row r="58" spans="1:7" x14ac:dyDescent="0.3">
      <c r="A58" s="176" t="s">
        <v>216</v>
      </c>
      <c r="B58" s="176" t="s">
        <v>305</v>
      </c>
      <c r="C58" s="176" t="s">
        <v>212</v>
      </c>
      <c r="D58" s="176" t="s">
        <v>108</v>
      </c>
      <c r="E58" s="176" t="s">
        <v>307</v>
      </c>
    </row>
    <row r="59" spans="1:7" x14ac:dyDescent="0.3">
      <c r="A59" s="14" t="s">
        <v>220</v>
      </c>
      <c r="B59" s="22">
        <f>B40</f>
        <v>825.60530872949494</v>
      </c>
      <c r="C59" s="22" t="s">
        <v>233</v>
      </c>
      <c r="D59" s="180">
        <f>VLOOKUP(C59,$A$48:$B$56,2,0)</f>
        <v>0.06</v>
      </c>
      <c r="E59" s="22">
        <f>D59*B59</f>
        <v>49.536318523769694</v>
      </c>
      <c r="F59" s="1"/>
      <c r="G59" s="125"/>
    </row>
    <row r="60" spans="1:7" x14ac:dyDescent="0.3">
      <c r="A60" s="14" t="s">
        <v>224</v>
      </c>
      <c r="B60" s="22">
        <f t="shared" ref="B60:B62" si="3">B41</f>
        <v>-700</v>
      </c>
      <c r="C60" s="22" t="s">
        <v>226</v>
      </c>
      <c r="D60" s="180">
        <f t="shared" ref="D60:D62" si="4">VLOOKUP(C60,$A$48:$B$56,2,0)</f>
        <v>5.0000000000000001E-3</v>
      </c>
      <c r="E60" s="22">
        <f>D60*B60</f>
        <v>-3.5</v>
      </c>
      <c r="G60" s="125"/>
    </row>
    <row r="61" spans="1:7" x14ac:dyDescent="0.3">
      <c r="A61" s="14" t="s">
        <v>227</v>
      </c>
      <c r="B61" s="22">
        <f t="shared" si="3"/>
        <v>720</v>
      </c>
      <c r="C61" s="22" t="s">
        <v>226</v>
      </c>
      <c r="D61" s="180">
        <f t="shared" si="4"/>
        <v>5.0000000000000001E-3</v>
      </c>
      <c r="E61" s="22">
        <f>D61*B61</f>
        <v>3.6</v>
      </c>
    </row>
    <row r="62" spans="1:7" x14ac:dyDescent="0.3">
      <c r="A62" s="14" t="s">
        <v>229</v>
      </c>
      <c r="B62" s="22">
        <f t="shared" si="3"/>
        <v>700</v>
      </c>
      <c r="C62" s="22" t="s">
        <v>231</v>
      </c>
      <c r="D62" s="180">
        <f t="shared" si="4"/>
        <v>0.15</v>
      </c>
      <c r="E62" s="22">
        <f>D62*B62</f>
        <v>105</v>
      </c>
    </row>
    <row r="64" spans="1:7" s="177" customFormat="1" ht="21" x14ac:dyDescent="0.4">
      <c r="A64" s="177" t="s">
        <v>314</v>
      </c>
      <c r="B64" s="178"/>
      <c r="C64" s="178"/>
      <c r="D64" s="178"/>
      <c r="E64" s="178"/>
    </row>
    <row r="66" spans="1:7" x14ac:dyDescent="0.3">
      <c r="A66" s="176" t="s">
        <v>216</v>
      </c>
      <c r="B66" s="176" t="s">
        <v>244</v>
      </c>
      <c r="C66" s="176" t="s">
        <v>245</v>
      </c>
      <c r="D66" s="176" t="s">
        <v>246</v>
      </c>
      <c r="E66" s="176" t="s">
        <v>247</v>
      </c>
      <c r="F66" s="176" t="s">
        <v>248</v>
      </c>
    </row>
    <row r="67" spans="1:7" x14ac:dyDescent="0.3">
      <c r="A67" s="14" t="s">
        <v>220</v>
      </c>
      <c r="B67" s="180" t="s">
        <v>222</v>
      </c>
      <c r="C67" s="22">
        <f>E59</f>
        <v>49.536318523769694</v>
      </c>
      <c r="D67" s="22">
        <v>0</v>
      </c>
      <c r="E67" s="22">
        <f t="shared" ref="E67:F70" si="5">B32</f>
        <v>825.60530872949494</v>
      </c>
      <c r="F67" s="22">
        <f t="shared" si="5"/>
        <v>0</v>
      </c>
    </row>
    <row r="68" spans="1:7" x14ac:dyDescent="0.3">
      <c r="A68" s="14" t="s">
        <v>224</v>
      </c>
      <c r="B68" s="180" t="s">
        <v>225</v>
      </c>
      <c r="C68" s="22">
        <v>0</v>
      </c>
      <c r="D68" s="22">
        <f>E60</f>
        <v>-3.5</v>
      </c>
      <c r="E68" s="22">
        <f t="shared" si="5"/>
        <v>0</v>
      </c>
      <c r="F68" s="22">
        <f t="shared" si="5"/>
        <v>-700</v>
      </c>
    </row>
    <row r="69" spans="1:7" x14ac:dyDescent="0.3">
      <c r="A69" s="14" t="s">
        <v>227</v>
      </c>
      <c r="B69" s="180" t="s">
        <v>228</v>
      </c>
      <c r="C69" s="22">
        <f t="shared" ref="C69:C70" si="6">E61</f>
        <v>3.6</v>
      </c>
      <c r="D69" s="22">
        <v>0</v>
      </c>
      <c r="E69" s="22">
        <f t="shared" si="5"/>
        <v>720</v>
      </c>
      <c r="F69" s="22">
        <f t="shared" si="5"/>
        <v>0</v>
      </c>
    </row>
    <row r="70" spans="1:7" x14ac:dyDescent="0.3">
      <c r="A70" s="14" t="s">
        <v>229</v>
      </c>
      <c r="B70" s="180" t="s">
        <v>222</v>
      </c>
      <c r="C70" s="22">
        <f t="shared" si="6"/>
        <v>105</v>
      </c>
      <c r="D70" s="22">
        <v>0</v>
      </c>
      <c r="E70" s="22">
        <f t="shared" si="5"/>
        <v>700</v>
      </c>
      <c r="F70" s="22">
        <f t="shared" si="5"/>
        <v>0</v>
      </c>
    </row>
    <row r="71" spans="1:7" x14ac:dyDescent="0.3">
      <c r="G71" s="26" t="s">
        <v>249</v>
      </c>
    </row>
    <row r="72" spans="1:7" x14ac:dyDescent="0.3">
      <c r="A72" s="176" t="s">
        <v>250</v>
      </c>
      <c r="B72" s="176" t="s">
        <v>251</v>
      </c>
      <c r="C72" s="176" t="s">
        <v>309</v>
      </c>
      <c r="D72" s="176" t="s">
        <v>308</v>
      </c>
      <c r="E72" s="176" t="s">
        <v>310</v>
      </c>
      <c r="F72" s="176" t="s">
        <v>311</v>
      </c>
      <c r="G72" s="176" t="s">
        <v>312</v>
      </c>
    </row>
    <row r="73" spans="1:7" x14ac:dyDescent="0.3">
      <c r="A73" s="181" t="s">
        <v>222</v>
      </c>
      <c r="B73" s="22">
        <f>SUMIFS($C$67:$C$70,$B$67:$B$70,A73,$C$67:$C$70,"&gt;0")</f>
        <v>154.53631852376969</v>
      </c>
      <c r="C73" s="22">
        <f>SUMIFS($D$67:$D$70,$B$67:$B$70,A73,$C$67:$C$70,"&lt;=0")</f>
        <v>0</v>
      </c>
      <c r="D73" s="22">
        <f>SUMIFS($E$67:$E$70,$B$67:$B$70,A73)</f>
        <v>1525.6053087294949</v>
      </c>
      <c r="E73" s="22">
        <f>SUMIFS($F$67:$F$70,$B$67:$B$70,A73)</f>
        <v>0</v>
      </c>
      <c r="F73" s="181">
        <f>D73/(D73+ABS(E73))</f>
        <v>1</v>
      </c>
      <c r="G73" s="22">
        <f>MAX(B73-F73*ABS(C73),0)</f>
        <v>154.53631852376969</v>
      </c>
    </row>
    <row r="74" spans="1:7" x14ac:dyDescent="0.3">
      <c r="A74" s="181" t="s">
        <v>225</v>
      </c>
      <c r="B74" s="22">
        <f t="shared" ref="B74" si="7">SUMIFS($C$67:$C$70,$B$67:$B$70,A74,$C$67:$C$70,"&gt;0")</f>
        <v>0</v>
      </c>
      <c r="C74" s="22">
        <f t="shared" ref="C74:C75" si="8">SUMIFS($D$67:$D$70,$B$67:$B$70,A74,$C$67:$C$70,"&lt;=0")</f>
        <v>-3.5</v>
      </c>
      <c r="D74" s="22">
        <f>SUMIFS($E$67:$E$70,$B$67:$B$70,A74)</f>
        <v>0</v>
      </c>
      <c r="E74" s="22">
        <f>SUMIFS($F$67:$F$70,$B$67:$B$70,A74)</f>
        <v>-700</v>
      </c>
      <c r="F74" s="181">
        <f>D74/(D74+ABS(E74))</f>
        <v>0</v>
      </c>
      <c r="G74" s="22">
        <f t="shared" ref="G74:G75" si="9">MAX(B74-F74*ABS(C74),0)</f>
        <v>0</v>
      </c>
    </row>
    <row r="75" spans="1:7" x14ac:dyDescent="0.3">
      <c r="A75" s="181" t="s">
        <v>228</v>
      </c>
      <c r="B75" s="22">
        <f>SUMIFS($C$67:$C$70,$B$67:$B$70,A75,$C$67:$C$70,"&gt;0")</f>
        <v>3.6</v>
      </c>
      <c r="C75" s="22">
        <f t="shared" si="8"/>
        <v>0</v>
      </c>
      <c r="D75" s="22">
        <f>SUMIFS($E$67:$E$70,$B$67:$B$70,A75)</f>
        <v>720</v>
      </c>
      <c r="E75" s="22">
        <f>SUMIFS($F$67:$F$70,$B$67:$B$70,A75)</f>
        <v>0</v>
      </c>
      <c r="F75" s="181">
        <f>D75/(D75+ABS(E75))</f>
        <v>1</v>
      </c>
      <c r="G75" s="22">
        <f t="shared" si="9"/>
        <v>3.6</v>
      </c>
    </row>
    <row r="77" spans="1:7" s="177" customFormat="1" ht="21" x14ac:dyDescent="0.4">
      <c r="A77" s="177" t="s">
        <v>313</v>
      </c>
      <c r="B77" s="178"/>
      <c r="C77" s="178"/>
      <c r="D77" s="178"/>
      <c r="E77" s="178"/>
    </row>
    <row r="79" spans="1:7" x14ac:dyDescent="0.3">
      <c r="A79" s="176" t="s">
        <v>252</v>
      </c>
      <c r="B79" s="182">
        <f>SUM(G73:G75)</f>
        <v>158.13631852376969</v>
      </c>
      <c r="C79" s="26" t="s">
        <v>253</v>
      </c>
    </row>
  </sheetData>
  <mergeCells count="2">
    <mergeCell ref="A1:XFD1"/>
    <mergeCell ref="A17:XFD17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2AF9-91C6-4FA9-B248-5DF4957CA150}">
  <dimension ref="A1:G23"/>
  <sheetViews>
    <sheetView showGridLines="0" zoomScale="80" zoomScaleNormal="80" workbookViewId="0">
      <selection activeCell="J15" sqref="J15"/>
    </sheetView>
  </sheetViews>
  <sheetFormatPr defaultRowHeight="14.4" x14ac:dyDescent="0.3"/>
  <cols>
    <col min="1" max="1" width="23.44140625" customWidth="1"/>
    <col min="2" max="2" width="24.109375" customWidth="1"/>
    <col min="3" max="3" width="27.44140625" customWidth="1"/>
    <col min="4" max="4" width="27" customWidth="1"/>
    <col min="5" max="5" width="25" customWidth="1"/>
    <col min="7" max="7" width="11.5546875" bestFit="1" customWidth="1"/>
  </cols>
  <sheetData>
    <row r="1" spans="1:7" s="210" customFormat="1" ht="31.5" customHeight="1" x14ac:dyDescent="0.3">
      <c r="A1" s="210" t="s">
        <v>182</v>
      </c>
    </row>
    <row r="3" spans="1:7" x14ac:dyDescent="0.3">
      <c r="A3" s="215" t="s">
        <v>183</v>
      </c>
      <c r="B3" s="216"/>
    </row>
    <row r="4" spans="1:7" x14ac:dyDescent="0.3">
      <c r="A4" s="186" t="s">
        <v>184</v>
      </c>
      <c r="B4" s="185">
        <v>0.01</v>
      </c>
    </row>
    <row r="5" spans="1:7" x14ac:dyDescent="0.3">
      <c r="A5" s="186" t="s">
        <v>185</v>
      </c>
      <c r="B5" s="185">
        <v>1E-3</v>
      </c>
    </row>
    <row r="7" spans="1:7" x14ac:dyDescent="0.3">
      <c r="A7" s="186" t="s">
        <v>47</v>
      </c>
      <c r="B7" s="186" t="s">
        <v>186</v>
      </c>
      <c r="C7" s="186" t="s">
        <v>187</v>
      </c>
      <c r="D7" s="186" t="s">
        <v>108</v>
      </c>
      <c r="E7" s="186" t="s">
        <v>188</v>
      </c>
    </row>
    <row r="8" spans="1:7" x14ac:dyDescent="0.3">
      <c r="A8" s="183" t="s">
        <v>189</v>
      </c>
      <c r="B8" s="183" t="s">
        <v>184</v>
      </c>
      <c r="C8" s="184">
        <v>30000</v>
      </c>
      <c r="D8" s="185">
        <f t="shared" ref="D8:D16" si="0">VLOOKUP(B8,$A$4:$B$5,2,0)</f>
        <v>0.01</v>
      </c>
      <c r="E8" s="184">
        <f>C8*D8</f>
        <v>300</v>
      </c>
      <c r="G8" s="124"/>
    </row>
    <row r="9" spans="1:7" x14ac:dyDescent="0.3">
      <c r="A9" s="183" t="s">
        <v>190</v>
      </c>
      <c r="B9" s="183" t="s">
        <v>185</v>
      </c>
      <c r="C9" s="184">
        <v>10000</v>
      </c>
      <c r="D9" s="185">
        <f t="shared" si="0"/>
        <v>1E-3</v>
      </c>
      <c r="E9" s="184">
        <f t="shared" ref="E9:E16" si="1">C9*D9</f>
        <v>10</v>
      </c>
      <c r="G9" s="124"/>
    </row>
    <row r="10" spans="1:7" x14ac:dyDescent="0.3">
      <c r="A10" s="183" t="s">
        <v>191</v>
      </c>
      <c r="B10" s="183" t="s">
        <v>184</v>
      </c>
      <c r="C10" s="184">
        <v>9000</v>
      </c>
      <c r="D10" s="185">
        <f t="shared" si="0"/>
        <v>0.01</v>
      </c>
      <c r="E10" s="184">
        <f t="shared" si="1"/>
        <v>90</v>
      </c>
      <c r="G10" s="124"/>
    </row>
    <row r="11" spans="1:7" x14ac:dyDescent="0.3">
      <c r="A11" s="183" t="s">
        <v>192</v>
      </c>
      <c r="B11" s="183" t="s">
        <v>185</v>
      </c>
      <c r="C11" s="184">
        <v>300000</v>
      </c>
      <c r="D11" s="185">
        <f t="shared" si="0"/>
        <v>1E-3</v>
      </c>
      <c r="E11" s="184">
        <f t="shared" si="1"/>
        <v>300</v>
      </c>
      <c r="G11" s="124"/>
    </row>
    <row r="12" spans="1:7" x14ac:dyDescent="0.3">
      <c r="A12" s="183" t="s">
        <v>193</v>
      </c>
      <c r="B12" s="183" t="s">
        <v>184</v>
      </c>
      <c r="C12" s="184">
        <v>500000</v>
      </c>
      <c r="D12" s="185">
        <f t="shared" si="0"/>
        <v>0.01</v>
      </c>
      <c r="E12" s="184">
        <f t="shared" si="1"/>
        <v>5000</v>
      </c>
      <c r="G12" s="124"/>
    </row>
    <row r="13" spans="1:7" x14ac:dyDescent="0.3">
      <c r="A13" s="183" t="s">
        <v>194</v>
      </c>
      <c r="B13" s="183" t="s">
        <v>185</v>
      </c>
      <c r="C13" s="184">
        <v>30000</v>
      </c>
      <c r="D13" s="185">
        <f t="shared" si="0"/>
        <v>1E-3</v>
      </c>
      <c r="E13" s="184">
        <f t="shared" si="1"/>
        <v>30</v>
      </c>
      <c r="G13" s="124"/>
    </row>
    <row r="14" spans="1:7" x14ac:dyDescent="0.3">
      <c r="A14" s="183" t="s">
        <v>195</v>
      </c>
      <c r="B14" s="183" t="s">
        <v>185</v>
      </c>
      <c r="C14" s="184">
        <v>500000</v>
      </c>
      <c r="D14" s="185">
        <f t="shared" si="0"/>
        <v>1E-3</v>
      </c>
      <c r="E14" s="184">
        <f t="shared" si="1"/>
        <v>500</v>
      </c>
      <c r="G14" s="124"/>
    </row>
    <row r="15" spans="1:7" x14ac:dyDescent="0.3">
      <c r="A15" s="183" t="s">
        <v>196</v>
      </c>
      <c r="B15" s="183" t="s">
        <v>185</v>
      </c>
      <c r="C15" s="184">
        <v>6000</v>
      </c>
      <c r="D15" s="185">
        <f t="shared" si="0"/>
        <v>1E-3</v>
      </c>
      <c r="E15" s="184">
        <f t="shared" si="1"/>
        <v>6</v>
      </c>
      <c r="G15" s="124"/>
    </row>
    <row r="16" spans="1:7" x14ac:dyDescent="0.3">
      <c r="A16" s="183" t="s">
        <v>197</v>
      </c>
      <c r="B16" s="183" t="s">
        <v>184</v>
      </c>
      <c r="C16" s="184">
        <v>10000</v>
      </c>
      <c r="D16" s="185">
        <f t="shared" si="0"/>
        <v>0.01</v>
      </c>
      <c r="E16" s="184">
        <f t="shared" si="1"/>
        <v>100</v>
      </c>
      <c r="G16" s="124"/>
    </row>
    <row r="19" spans="1:6" x14ac:dyDescent="0.3">
      <c r="A19" s="186" t="s">
        <v>198</v>
      </c>
      <c r="B19" s="184">
        <f>SUM(E8:E16)</f>
        <v>6336</v>
      </c>
    </row>
    <row r="23" spans="1:6" x14ac:dyDescent="0.3">
      <c r="D23" t="s">
        <v>199</v>
      </c>
      <c r="E23" t="s">
        <v>200</v>
      </c>
      <c r="F23" t="s">
        <v>201</v>
      </c>
    </row>
  </sheetData>
  <mergeCells count="2">
    <mergeCell ref="A1:XFD1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9E0C-B3B9-45F0-BA0B-BFD13539BAB1}">
  <dimension ref="A1:AM218"/>
  <sheetViews>
    <sheetView zoomScaleNormal="100" workbookViewId="0">
      <selection activeCell="C33" sqref="C33"/>
    </sheetView>
  </sheetViews>
  <sheetFormatPr defaultRowHeight="14.4" x14ac:dyDescent="0.3"/>
  <cols>
    <col min="1" max="1" width="20.44140625" style="1" bestFit="1" customWidth="1"/>
    <col min="2" max="2" width="44.33203125" style="1" bestFit="1" customWidth="1"/>
    <col min="3" max="3" width="22.44140625" style="3" bestFit="1" customWidth="1"/>
    <col min="4" max="4" width="30.44140625" style="1" bestFit="1" customWidth="1"/>
    <col min="5" max="5" width="34.5546875" style="1" bestFit="1" customWidth="1"/>
    <col min="6" max="6" width="15.44140625" bestFit="1" customWidth="1"/>
    <col min="7" max="7" width="16" bestFit="1" customWidth="1"/>
    <col min="8" max="8" width="18.44140625" bestFit="1" customWidth="1"/>
    <col min="9" max="9" width="15.88671875" bestFit="1" customWidth="1"/>
    <col min="10" max="10" width="16" bestFit="1" customWidth="1"/>
    <col min="11" max="11" width="16.88671875" bestFit="1" customWidth="1"/>
    <col min="12" max="12" width="20.109375" customWidth="1"/>
    <col min="13" max="13" width="16.44140625" bestFit="1" customWidth="1"/>
    <col min="14" max="14" width="16.109375" style="1" customWidth="1"/>
    <col min="15" max="15" width="16.88671875" style="1" customWidth="1"/>
    <col min="16" max="16" width="14.5546875" style="1" customWidth="1"/>
    <col min="17" max="17" width="14.6640625" bestFit="1" customWidth="1"/>
    <col min="18" max="18" width="17.44140625" bestFit="1" customWidth="1"/>
    <col min="19" max="19" width="9.88671875" customWidth="1"/>
    <col min="28" max="28" width="51" bestFit="1" customWidth="1"/>
    <col min="29" max="29" width="12.109375" customWidth="1"/>
    <col min="30" max="30" width="11" customWidth="1"/>
    <col min="31" max="31" width="10.44140625" customWidth="1"/>
  </cols>
  <sheetData>
    <row r="1" spans="1:15" ht="21" x14ac:dyDescent="0.4">
      <c r="A1" s="230" t="s">
        <v>119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</row>
    <row r="2" spans="1:15" s="3" customFormat="1" ht="28.8" x14ac:dyDescent="0.3">
      <c r="A2" s="27" t="s">
        <v>38</v>
      </c>
      <c r="B2" s="27" t="s">
        <v>25</v>
      </c>
      <c r="C2" s="27" t="s">
        <v>26</v>
      </c>
      <c r="D2" s="27" t="s">
        <v>27</v>
      </c>
      <c r="F2" s="27" t="s">
        <v>38</v>
      </c>
      <c r="G2" s="28" t="s">
        <v>71</v>
      </c>
      <c r="H2" s="28" t="s">
        <v>72</v>
      </c>
    </row>
    <row r="3" spans="1:15" x14ac:dyDescent="0.3">
      <c r="A3" s="5">
        <v>1</v>
      </c>
      <c r="B3" s="235" t="s">
        <v>29</v>
      </c>
      <c r="C3" s="236" t="s">
        <v>30</v>
      </c>
      <c r="D3" s="5" t="s">
        <v>51</v>
      </c>
      <c r="F3" s="5">
        <v>1</v>
      </c>
      <c r="G3" s="11">
        <v>0.55000000000000004</v>
      </c>
      <c r="H3" s="19">
        <v>5.4999999999999997E-3</v>
      </c>
    </row>
    <row r="4" spans="1:15" x14ac:dyDescent="0.3">
      <c r="A4" s="5">
        <v>2</v>
      </c>
      <c r="B4" s="235"/>
      <c r="C4" s="237"/>
      <c r="D4" s="5" t="s">
        <v>32</v>
      </c>
      <c r="F4" s="5">
        <v>2</v>
      </c>
      <c r="G4" s="11">
        <v>0.6</v>
      </c>
      <c r="H4" s="19">
        <v>6.0000000000000001E-3</v>
      </c>
    </row>
    <row r="5" spans="1:15" x14ac:dyDescent="0.3">
      <c r="A5" s="5">
        <v>3</v>
      </c>
      <c r="B5" s="235"/>
      <c r="C5" s="237"/>
      <c r="D5" s="5" t="s">
        <v>33</v>
      </c>
      <c r="F5" s="5">
        <v>3</v>
      </c>
      <c r="G5" s="11">
        <v>0.45</v>
      </c>
      <c r="H5" s="19">
        <v>4.4999999999999997E-3</v>
      </c>
      <c r="K5" t="s">
        <v>73</v>
      </c>
    </row>
    <row r="6" spans="1:15" x14ac:dyDescent="0.3">
      <c r="A6" s="5">
        <v>4</v>
      </c>
      <c r="B6" s="235"/>
      <c r="C6" s="238"/>
      <c r="D6" s="5" t="s">
        <v>34</v>
      </c>
      <c r="F6" s="5">
        <v>4</v>
      </c>
      <c r="G6" s="11">
        <v>0.55000000000000004</v>
      </c>
      <c r="H6" s="19">
        <v>5.4999999999999997E-3</v>
      </c>
    </row>
    <row r="7" spans="1:15" x14ac:dyDescent="0.3">
      <c r="A7" s="5">
        <v>5</v>
      </c>
      <c r="B7" s="235"/>
      <c r="C7" s="239" t="s">
        <v>31</v>
      </c>
      <c r="D7" s="12" t="s">
        <v>51</v>
      </c>
      <c r="F7" s="12">
        <v>5</v>
      </c>
      <c r="G7" s="13">
        <v>0.3</v>
      </c>
      <c r="H7" s="19">
        <v>3.0000000000000001E-3</v>
      </c>
    </row>
    <row r="8" spans="1:15" x14ac:dyDescent="0.3">
      <c r="A8" s="5">
        <v>6</v>
      </c>
      <c r="B8" s="235"/>
      <c r="C8" s="240"/>
      <c r="D8" s="5" t="s">
        <v>32</v>
      </c>
      <c r="F8" s="5">
        <v>6</v>
      </c>
      <c r="G8" s="11">
        <v>0.35</v>
      </c>
      <c r="H8" s="19">
        <v>3.5000000000000001E-3</v>
      </c>
    </row>
    <row r="9" spans="1:15" x14ac:dyDescent="0.3">
      <c r="A9" s="5">
        <v>7</v>
      </c>
      <c r="B9" s="235"/>
      <c r="C9" s="240"/>
      <c r="D9" s="5" t="s">
        <v>33</v>
      </c>
      <c r="F9" s="5">
        <v>7</v>
      </c>
      <c r="G9" s="11">
        <v>0.4</v>
      </c>
      <c r="H9" s="19">
        <v>4.0000000000000001E-3</v>
      </c>
    </row>
    <row r="10" spans="1:15" x14ac:dyDescent="0.3">
      <c r="A10" s="5">
        <v>8</v>
      </c>
      <c r="B10" s="235"/>
      <c r="C10" s="241"/>
      <c r="D10" s="12" t="s">
        <v>34</v>
      </c>
      <c r="F10" s="12">
        <v>8</v>
      </c>
      <c r="G10" s="13">
        <v>0.5</v>
      </c>
      <c r="H10" s="19">
        <v>5.0000000000000001E-3</v>
      </c>
    </row>
    <row r="11" spans="1:15" x14ac:dyDescent="0.3">
      <c r="A11" s="5">
        <v>9</v>
      </c>
      <c r="B11" s="235" t="s">
        <v>28</v>
      </c>
      <c r="C11" s="7" t="s">
        <v>30</v>
      </c>
      <c r="D11" s="5" t="s">
        <v>35</v>
      </c>
      <c r="F11" s="5">
        <v>9</v>
      </c>
      <c r="G11" s="11">
        <v>0.7</v>
      </c>
      <c r="H11" s="19">
        <v>7.0000000000000001E-3</v>
      </c>
    </row>
    <row r="12" spans="1:15" x14ac:dyDescent="0.3">
      <c r="A12" s="5">
        <v>10</v>
      </c>
      <c r="B12" s="235"/>
      <c r="C12" s="7" t="s">
        <v>31</v>
      </c>
      <c r="D12" s="5" t="s">
        <v>35</v>
      </c>
      <c r="F12" s="5">
        <v>10</v>
      </c>
      <c r="G12" s="11">
        <v>0.5</v>
      </c>
      <c r="H12" s="19">
        <v>5.0000000000000001E-3</v>
      </c>
    </row>
    <row r="13" spans="1:15" ht="16.5" customHeight="1" x14ac:dyDescent="0.3">
      <c r="A13" s="5">
        <v>11</v>
      </c>
      <c r="B13" s="5"/>
      <c r="C13" s="7"/>
      <c r="D13" s="5"/>
      <c r="F13" s="5" t="s">
        <v>36</v>
      </c>
      <c r="G13" s="11">
        <v>0.7</v>
      </c>
      <c r="H13" s="19">
        <v>7.0000000000000001E-3</v>
      </c>
    </row>
    <row r="14" spans="1:15" ht="16.5" customHeight="1" x14ac:dyDescent="0.3">
      <c r="F14" s="1"/>
      <c r="G14" s="20"/>
      <c r="H14" s="21"/>
    </row>
    <row r="16" spans="1:15" x14ac:dyDescent="0.3">
      <c r="A16" s="4" t="s">
        <v>47</v>
      </c>
      <c r="B16" s="4" t="s">
        <v>37</v>
      </c>
      <c r="C16" s="4" t="s">
        <v>24</v>
      </c>
      <c r="D16" s="4" t="s">
        <v>39</v>
      </c>
      <c r="E16" s="4" t="s">
        <v>40</v>
      </c>
      <c r="F16" s="4" t="s">
        <v>48</v>
      </c>
      <c r="G16" s="4" t="s">
        <v>41</v>
      </c>
      <c r="H16" s="4" t="s">
        <v>54</v>
      </c>
      <c r="I16" s="4" t="s">
        <v>42</v>
      </c>
      <c r="J16" s="4" t="s">
        <v>53</v>
      </c>
      <c r="K16" s="4" t="s">
        <v>56</v>
      </c>
      <c r="L16" s="4" t="s">
        <v>55</v>
      </c>
      <c r="M16" s="4" t="s">
        <v>43</v>
      </c>
      <c r="N16" s="4" t="s">
        <v>11</v>
      </c>
      <c r="O16" s="4" t="s">
        <v>44</v>
      </c>
    </row>
    <row r="17" spans="1:15" x14ac:dyDescent="0.3">
      <c r="A17" s="14" t="s">
        <v>66</v>
      </c>
      <c r="B17" s="14" t="s">
        <v>45</v>
      </c>
      <c r="C17" s="14">
        <v>6</v>
      </c>
      <c r="D17" s="14">
        <v>40</v>
      </c>
      <c r="E17" s="14" t="s">
        <v>46</v>
      </c>
      <c r="F17" s="14" t="s">
        <v>46</v>
      </c>
      <c r="G17" s="14" t="s">
        <v>46</v>
      </c>
      <c r="H17" s="14" t="s">
        <v>46</v>
      </c>
      <c r="I17" s="14" t="s">
        <v>46</v>
      </c>
      <c r="J17" s="14" t="s">
        <v>46</v>
      </c>
      <c r="K17" s="14">
        <v>1</v>
      </c>
      <c r="L17" s="14" t="s">
        <v>46</v>
      </c>
      <c r="M17" s="14" t="s">
        <v>46</v>
      </c>
      <c r="N17" s="14" t="s">
        <v>46</v>
      </c>
      <c r="O17" s="22">
        <f>D17 * K17</f>
        <v>40</v>
      </c>
    </row>
    <row r="18" spans="1:15" x14ac:dyDescent="0.3">
      <c r="A18" s="14" t="s">
        <v>67</v>
      </c>
      <c r="B18" s="14" t="s">
        <v>45</v>
      </c>
      <c r="C18" s="14">
        <v>6</v>
      </c>
      <c r="D18" s="14">
        <v>40</v>
      </c>
      <c r="E18" s="14">
        <v>40</v>
      </c>
      <c r="F18" s="16">
        <v>0.25</v>
      </c>
      <c r="G18" s="14">
        <v>1</v>
      </c>
      <c r="H18" s="17">
        <v>1.4E-2</v>
      </c>
      <c r="I18" s="14">
        <v>0.18099999999999999</v>
      </c>
      <c r="J18" s="14">
        <f>I18-F18*(1)^0.5</f>
        <v>-6.9000000000000006E-2</v>
      </c>
      <c r="K18" s="18">
        <f>NORMSDIST(I18)</f>
        <v>0.57181621199289423</v>
      </c>
      <c r="L18" s="18">
        <f>NORMSDIST(J18)</f>
        <v>0.47249480975044789</v>
      </c>
      <c r="M18" s="14">
        <v>4.24</v>
      </c>
      <c r="N18" s="22">
        <f>IF(B18="Long", 1, -1) * D18 * SQRT(G18) * NORMDIST(I18, 0, 1, FALSE)</f>
        <v>15.698425503269116</v>
      </c>
      <c r="O18" s="22">
        <f t="shared" ref="O18:O20" si="0">D18 * K18</f>
        <v>22.872648479715771</v>
      </c>
    </row>
    <row r="19" spans="1:15" x14ac:dyDescent="0.3">
      <c r="A19" s="14" t="s">
        <v>68</v>
      </c>
      <c r="B19" s="14" t="s">
        <v>70</v>
      </c>
      <c r="C19" s="14">
        <v>6</v>
      </c>
      <c r="D19" s="14">
        <v>25</v>
      </c>
      <c r="E19" s="14">
        <v>30</v>
      </c>
      <c r="F19" s="16">
        <v>0.3</v>
      </c>
      <c r="G19" s="14">
        <v>2</v>
      </c>
      <c r="H19" s="17">
        <v>2.1999999999999999E-2</v>
      </c>
      <c r="I19" s="14">
        <v>-0.11</v>
      </c>
      <c r="J19" s="18">
        <f>I19-F19*(2)^0.5</f>
        <v>-0.53426406871192855</v>
      </c>
      <c r="K19" s="22">
        <f>-NORMSDIST(I19)</f>
        <v>-0.45620468745768322</v>
      </c>
      <c r="L19" s="18">
        <f>NORMSDIST(J19)</f>
        <v>0.29657942397597203</v>
      </c>
      <c r="M19" s="14">
        <v>2.89</v>
      </c>
      <c r="N19" s="22">
        <f t="shared" ref="N19:N20" si="1">IF(B19="Long", 1, -1) * D19 * SQRT(G19) * NORMDIST(I19, 0, 1, FALSE)</f>
        <v>-14.019663528763148</v>
      </c>
      <c r="O19" s="22">
        <f t="shared" si="0"/>
        <v>-11.40511718644208</v>
      </c>
    </row>
    <row r="20" spans="1:15" x14ac:dyDescent="0.3">
      <c r="A20" s="14" t="s">
        <v>69</v>
      </c>
      <c r="B20" s="14" t="s">
        <v>45</v>
      </c>
      <c r="C20" s="14">
        <v>8</v>
      </c>
      <c r="D20" s="14">
        <v>35</v>
      </c>
      <c r="E20" s="14">
        <v>25</v>
      </c>
      <c r="F20" s="16">
        <v>0.35</v>
      </c>
      <c r="G20" s="14">
        <v>1</v>
      </c>
      <c r="H20" s="17">
        <v>1.4E-2</v>
      </c>
      <c r="I20" s="14">
        <v>1.18</v>
      </c>
      <c r="J20" s="14">
        <f>I20-F20*(1)^0.5</f>
        <v>0.83</v>
      </c>
      <c r="K20" s="18">
        <f>NORMSDIST(I20)</f>
        <v>0.88099989254479927</v>
      </c>
      <c r="L20" s="18">
        <f>NORMSDIST(J20)</f>
        <v>0.79673060817193153</v>
      </c>
      <c r="M20" s="22">
        <v>11.195</v>
      </c>
      <c r="N20" s="22">
        <f t="shared" si="1"/>
        <v>6.9602091785546572</v>
      </c>
      <c r="O20" s="22">
        <f t="shared" si="0"/>
        <v>30.834996239067973</v>
      </c>
    </row>
    <row r="21" spans="1:15" x14ac:dyDescent="0.3">
      <c r="C21" s="1"/>
      <c r="F21" s="1"/>
      <c r="G21" s="1"/>
      <c r="H21" s="1"/>
      <c r="I21" s="1"/>
      <c r="J21" s="1"/>
      <c r="K21" s="1"/>
      <c r="L21" s="1"/>
      <c r="M21" s="1"/>
    </row>
    <row r="23" spans="1:15" x14ac:dyDescent="0.3">
      <c r="A23" s="4" t="s">
        <v>49</v>
      </c>
      <c r="H23" s="4" t="s">
        <v>79</v>
      </c>
      <c r="J23" s="3"/>
      <c r="K23" s="1"/>
    </row>
    <row r="24" spans="1:15" s="3" customFormat="1" ht="28.8" x14ac:dyDescent="0.3">
      <c r="A24" s="10" t="s">
        <v>47</v>
      </c>
      <c r="B24" s="10" t="s">
        <v>74</v>
      </c>
      <c r="C24" s="10" t="s">
        <v>24</v>
      </c>
      <c r="D24" s="10" t="s">
        <v>50</v>
      </c>
      <c r="E24" s="10" t="s">
        <v>44</v>
      </c>
      <c r="F24" s="15" t="s">
        <v>52</v>
      </c>
      <c r="H24" s="10" t="s">
        <v>47</v>
      </c>
      <c r="I24" s="10" t="s">
        <v>74</v>
      </c>
      <c r="J24" s="10" t="s">
        <v>24</v>
      </c>
      <c r="K24" s="10" t="s">
        <v>50</v>
      </c>
      <c r="L24" s="15" t="s">
        <v>52</v>
      </c>
    </row>
    <row r="25" spans="1:15" x14ac:dyDescent="0.3">
      <c r="A25" s="14" t="s">
        <v>66</v>
      </c>
      <c r="B25" s="14" t="s">
        <v>75</v>
      </c>
      <c r="C25" s="14">
        <v>6</v>
      </c>
      <c r="D25" s="16">
        <v>0.35</v>
      </c>
      <c r="E25" s="22">
        <f>O17</f>
        <v>40</v>
      </c>
      <c r="F25" s="22">
        <f>E25*D25</f>
        <v>14</v>
      </c>
      <c r="H25" s="14" t="s">
        <v>66</v>
      </c>
      <c r="I25" s="14" t="s">
        <v>75</v>
      </c>
      <c r="J25" s="14">
        <v>6</v>
      </c>
      <c r="K25" s="16">
        <v>0.35</v>
      </c>
      <c r="L25" s="22">
        <f>F25+F26</f>
        <v>22.005426967900519</v>
      </c>
    </row>
    <row r="26" spans="1:15" x14ac:dyDescent="0.3">
      <c r="A26" s="14" t="s">
        <v>67</v>
      </c>
      <c r="B26" s="14" t="s">
        <v>75</v>
      </c>
      <c r="C26" s="14">
        <v>6</v>
      </c>
      <c r="D26" s="16">
        <v>0.35</v>
      </c>
      <c r="E26" s="22">
        <f>O18</f>
        <v>22.872648479715771</v>
      </c>
      <c r="F26" s="22">
        <f t="shared" ref="F26:F28" si="2">E26*D26</f>
        <v>8.0054269679005188</v>
      </c>
      <c r="H26" s="14" t="s">
        <v>68</v>
      </c>
      <c r="I26" s="14" t="s">
        <v>76</v>
      </c>
      <c r="J26" s="14">
        <v>6</v>
      </c>
      <c r="K26" s="16">
        <v>0.35</v>
      </c>
      <c r="L26" s="22">
        <f>F27</f>
        <v>-3.9917910152547278</v>
      </c>
    </row>
    <row r="27" spans="1:15" x14ac:dyDescent="0.3">
      <c r="A27" s="14" t="s">
        <v>68</v>
      </c>
      <c r="B27" s="14" t="s">
        <v>76</v>
      </c>
      <c r="C27" s="14">
        <v>6</v>
      </c>
      <c r="D27" s="16">
        <v>0.35</v>
      </c>
      <c r="E27" s="22">
        <f>O19</f>
        <v>-11.40511718644208</v>
      </c>
      <c r="F27" s="22">
        <f t="shared" si="2"/>
        <v>-3.9917910152547278</v>
      </c>
      <c r="H27" s="14" t="s">
        <v>69</v>
      </c>
      <c r="I27" s="14" t="s">
        <v>77</v>
      </c>
      <c r="J27" s="14">
        <v>8</v>
      </c>
      <c r="K27" s="16">
        <v>0.5</v>
      </c>
      <c r="L27" s="22">
        <f>F28</f>
        <v>15.417498119533986</v>
      </c>
    </row>
    <row r="28" spans="1:15" x14ac:dyDescent="0.3">
      <c r="A28" s="14" t="s">
        <v>69</v>
      </c>
      <c r="B28" s="14" t="s">
        <v>77</v>
      </c>
      <c r="C28" s="14">
        <v>8</v>
      </c>
      <c r="D28" s="16">
        <v>0.5</v>
      </c>
      <c r="E28" s="22">
        <f>O20</f>
        <v>30.834996239067973</v>
      </c>
      <c r="F28" s="22">
        <f t="shared" si="2"/>
        <v>15.417498119533986</v>
      </c>
    </row>
    <row r="31" spans="1:15" x14ac:dyDescent="0.3">
      <c r="A31" s="217" t="s">
        <v>80</v>
      </c>
      <c r="B31" s="219"/>
    </row>
    <row r="32" spans="1:15" x14ac:dyDescent="0.3">
      <c r="A32" s="10" t="s">
        <v>81</v>
      </c>
      <c r="B32" s="10" t="s">
        <v>82</v>
      </c>
    </row>
    <row r="33" spans="1:14" x14ac:dyDescent="0.3">
      <c r="A33" s="14" t="s">
        <v>83</v>
      </c>
      <c r="B33" s="17">
        <v>0.15</v>
      </c>
    </row>
    <row r="34" spans="1:14" x14ac:dyDescent="0.3">
      <c r="A34" s="14" t="s">
        <v>84</v>
      </c>
      <c r="B34" s="17">
        <v>0.25</v>
      </c>
    </row>
    <row r="35" spans="1:14" x14ac:dyDescent="0.3">
      <c r="A35" s="14" t="s">
        <v>85</v>
      </c>
      <c r="B35" s="17">
        <v>7.4999999999999997E-2</v>
      </c>
    </row>
    <row r="36" spans="1:14" x14ac:dyDescent="0.3">
      <c r="A36" s="14" t="s">
        <v>86</v>
      </c>
      <c r="B36" s="17">
        <v>0.125</v>
      </c>
    </row>
    <row r="39" spans="1:14" x14ac:dyDescent="0.3">
      <c r="C39" s="24">
        <f>L25</f>
        <v>22.005426967900519</v>
      </c>
      <c r="D39" s="24">
        <f>L26</f>
        <v>-3.9917910152547278</v>
      </c>
      <c r="F39" s="1"/>
      <c r="H39" s="24">
        <f>L25</f>
        <v>22.005426967900519</v>
      </c>
      <c r="I39" s="24">
        <f>L26</f>
        <v>-3.9917910152547278</v>
      </c>
      <c r="K39" s="1"/>
      <c r="M39" s="24">
        <f>L25</f>
        <v>22.005426967900519</v>
      </c>
      <c r="N39" s="24">
        <f>L26</f>
        <v>-3.9917910152547278</v>
      </c>
    </row>
    <row r="40" spans="1:14" x14ac:dyDescent="0.3">
      <c r="B40" s="220" t="s">
        <v>90</v>
      </c>
      <c r="C40" s="221"/>
      <c r="D40" s="222"/>
      <c r="F40" s="1"/>
      <c r="G40" s="220" t="s">
        <v>91</v>
      </c>
      <c r="H40" s="221"/>
      <c r="I40" s="222"/>
      <c r="K40" s="1"/>
      <c r="L40" s="220" t="s">
        <v>93</v>
      </c>
      <c r="M40" s="221"/>
      <c r="N40" s="222"/>
    </row>
    <row r="41" spans="1:14" x14ac:dyDescent="0.3">
      <c r="B41" s="14"/>
      <c r="C41" s="23" t="s">
        <v>66</v>
      </c>
      <c r="D41" s="23" t="s">
        <v>87</v>
      </c>
      <c r="F41" s="1"/>
      <c r="G41" s="14"/>
      <c r="H41" s="23" t="s">
        <v>66</v>
      </c>
      <c r="I41" s="23" t="s">
        <v>87</v>
      </c>
      <c r="K41" s="1"/>
      <c r="L41" s="14"/>
      <c r="M41" s="23" t="s">
        <v>66</v>
      </c>
      <c r="N41" s="23" t="s">
        <v>87</v>
      </c>
    </row>
    <row r="42" spans="1:14" x14ac:dyDescent="0.3">
      <c r="A42" s="24">
        <f>C39</f>
        <v>22.005426967900519</v>
      </c>
      <c r="B42" s="23" t="s">
        <v>66</v>
      </c>
      <c r="C42" s="16">
        <v>1</v>
      </c>
      <c r="D42" s="16">
        <v>0.25</v>
      </c>
      <c r="F42" s="24">
        <f>H39</f>
        <v>22.005426967900519</v>
      </c>
      <c r="G42" s="23" t="s">
        <v>66</v>
      </c>
      <c r="H42" s="16">
        <v>1</v>
      </c>
      <c r="I42" s="16">
        <v>0.31</v>
      </c>
      <c r="K42" s="24">
        <f>M39</f>
        <v>22.005426967900519</v>
      </c>
      <c r="L42" s="23" t="s">
        <v>66</v>
      </c>
      <c r="M42" s="16">
        <v>1</v>
      </c>
      <c r="N42" s="16">
        <v>0.19</v>
      </c>
    </row>
    <row r="43" spans="1:14" x14ac:dyDescent="0.3">
      <c r="A43" s="24">
        <f>D39</f>
        <v>-3.9917910152547278</v>
      </c>
      <c r="B43" s="23" t="s">
        <v>87</v>
      </c>
      <c r="C43" s="16">
        <v>0.25</v>
      </c>
      <c r="D43" s="16">
        <v>1</v>
      </c>
      <c r="F43" s="24">
        <f>I39</f>
        <v>-3.9917910152547278</v>
      </c>
      <c r="G43" s="23" t="s">
        <v>87</v>
      </c>
      <c r="H43" s="16">
        <v>0.31</v>
      </c>
      <c r="I43" s="16">
        <v>1</v>
      </c>
      <c r="K43" s="24">
        <f>N39</f>
        <v>-3.9917910152547278</v>
      </c>
      <c r="L43" s="23" t="s">
        <v>87</v>
      </c>
      <c r="M43" s="16">
        <v>0.19</v>
      </c>
      <c r="N43" s="16">
        <v>1</v>
      </c>
    </row>
    <row r="46" spans="1:14" x14ac:dyDescent="0.3">
      <c r="B46" s="223" t="s">
        <v>92</v>
      </c>
      <c r="C46" s="223"/>
      <c r="G46" s="223" t="s">
        <v>94</v>
      </c>
      <c r="H46" s="223"/>
      <c r="L46" s="223" t="s">
        <v>94</v>
      </c>
      <c r="M46" s="223"/>
    </row>
    <row r="47" spans="1:14" x14ac:dyDescent="0.3">
      <c r="B47" s="25" t="s">
        <v>88</v>
      </c>
      <c r="C47" s="22">
        <f>SQRT(MMULT(C39:D39,MMULT(C42:D43,A42:A43)))</f>
        <v>21.360072067303918</v>
      </c>
      <c r="G47" s="25" t="s">
        <v>88</v>
      </c>
      <c r="H47" s="22">
        <f>SQRT(MMULT(H39:I39,MMULT(H42:I43,F42:F43)))</f>
        <v>21.111886482300442</v>
      </c>
      <c r="L47" s="25" t="s">
        <v>88</v>
      </c>
      <c r="M47" s="22">
        <f>SQRT(MMULT(M39:N39,MMULT(M42:N43,K42:K43)))</f>
        <v>21.605406883446889</v>
      </c>
    </row>
    <row r="48" spans="1:14" x14ac:dyDescent="0.3">
      <c r="B48" s="25" t="s">
        <v>89</v>
      </c>
      <c r="C48" s="22">
        <f>L27</f>
        <v>15.417498119533986</v>
      </c>
      <c r="G48" s="25" t="s">
        <v>89</v>
      </c>
      <c r="H48" s="22">
        <f>L27</f>
        <v>15.417498119533986</v>
      </c>
      <c r="L48" s="25" t="s">
        <v>89</v>
      </c>
      <c r="M48" s="22">
        <f>L27</f>
        <v>15.417498119533986</v>
      </c>
    </row>
    <row r="51" spans="1:14" x14ac:dyDescent="0.3">
      <c r="B51" s="220" t="s">
        <v>95</v>
      </c>
      <c r="C51" s="221"/>
      <c r="D51" s="222"/>
    </row>
    <row r="52" spans="1:14" x14ac:dyDescent="0.3">
      <c r="B52" s="14"/>
      <c r="C52" s="23" t="s">
        <v>88</v>
      </c>
      <c r="D52" s="23" t="s">
        <v>89</v>
      </c>
    </row>
    <row r="53" spans="1:14" x14ac:dyDescent="0.3">
      <c r="B53" s="23" t="s">
        <v>96</v>
      </c>
      <c r="C53" s="22">
        <f>C47</f>
        <v>21.360072067303918</v>
      </c>
      <c r="D53" s="22">
        <f>C48</f>
        <v>15.417498119533986</v>
      </c>
    </row>
    <row r="54" spans="1:14" x14ac:dyDescent="0.3">
      <c r="B54" s="23" t="s">
        <v>97</v>
      </c>
      <c r="C54" s="22">
        <f>H47</f>
        <v>21.111886482300442</v>
      </c>
      <c r="D54" s="22">
        <f>H48</f>
        <v>15.417498119533986</v>
      </c>
    </row>
    <row r="55" spans="1:14" x14ac:dyDescent="0.3">
      <c r="B55" s="23" t="s">
        <v>98</v>
      </c>
      <c r="C55" s="22">
        <f>M47</f>
        <v>21.605406883446889</v>
      </c>
      <c r="D55" s="22">
        <f>M48</f>
        <v>15.417498119533986</v>
      </c>
    </row>
    <row r="56" spans="1:14" x14ac:dyDescent="0.3">
      <c r="B56" s="23" t="s">
        <v>102</v>
      </c>
      <c r="C56" s="22">
        <f>SUM(A42:A43)</f>
        <v>18.013635952645792</v>
      </c>
      <c r="D56" s="22">
        <v>15.42</v>
      </c>
    </row>
    <row r="57" spans="1:14" x14ac:dyDescent="0.3">
      <c r="B57" s="23" t="s">
        <v>103</v>
      </c>
      <c r="C57" s="14">
        <v>18.010000000000002</v>
      </c>
      <c r="D57" s="22">
        <v>15.42</v>
      </c>
    </row>
    <row r="60" spans="1:14" x14ac:dyDescent="0.3">
      <c r="B60" s="220" t="s">
        <v>99</v>
      </c>
      <c r="C60" s="221"/>
      <c r="D60" s="222"/>
      <c r="G60" s="220" t="s">
        <v>100</v>
      </c>
      <c r="H60" s="221"/>
      <c r="I60" s="222"/>
      <c r="L60" s="220" t="s">
        <v>101</v>
      </c>
      <c r="M60" s="221"/>
      <c r="N60" s="222"/>
    </row>
    <row r="61" spans="1:14" x14ac:dyDescent="0.3">
      <c r="B61" s="14"/>
      <c r="C61" s="23" t="s">
        <v>88</v>
      </c>
      <c r="D61" s="23" t="s">
        <v>89</v>
      </c>
      <c r="G61" s="14"/>
      <c r="H61" s="23" t="s">
        <v>88</v>
      </c>
      <c r="I61" s="23" t="s">
        <v>89</v>
      </c>
      <c r="L61" s="14"/>
      <c r="M61" s="23" t="s">
        <v>88</v>
      </c>
      <c r="N61" s="23" t="s">
        <v>89</v>
      </c>
    </row>
    <row r="62" spans="1:14" x14ac:dyDescent="0.3">
      <c r="B62" s="23" t="s">
        <v>88</v>
      </c>
      <c r="C62" s="16">
        <v>0</v>
      </c>
      <c r="D62" s="16">
        <v>0.15</v>
      </c>
      <c r="G62" s="23" t="s">
        <v>88</v>
      </c>
      <c r="H62" s="16">
        <v>0</v>
      </c>
      <c r="I62" s="16">
        <v>0.19</v>
      </c>
      <c r="L62" s="23" t="s">
        <v>88</v>
      </c>
      <c r="M62" s="16">
        <v>0</v>
      </c>
      <c r="N62" s="16">
        <v>0.11</v>
      </c>
    </row>
    <row r="63" spans="1:14" x14ac:dyDescent="0.3">
      <c r="A63" s="24"/>
      <c r="B63" s="23" t="s">
        <v>89</v>
      </c>
      <c r="C63" s="16">
        <v>0.15</v>
      </c>
      <c r="D63" s="16">
        <v>0</v>
      </c>
      <c r="G63" s="23" t="s">
        <v>89</v>
      </c>
      <c r="H63" s="16">
        <v>0.19</v>
      </c>
      <c r="I63" s="16">
        <v>0</v>
      </c>
      <c r="L63" s="23" t="s">
        <v>89</v>
      </c>
      <c r="M63" s="16">
        <v>0.11</v>
      </c>
      <c r="N63" s="16">
        <v>0</v>
      </c>
    </row>
    <row r="64" spans="1:14" x14ac:dyDescent="0.3">
      <c r="A64" s="24"/>
    </row>
    <row r="66" spans="1:12" x14ac:dyDescent="0.3">
      <c r="B66" s="4"/>
      <c r="C66" s="4" t="s">
        <v>141</v>
      </c>
      <c r="D66" s="4" t="s">
        <v>140</v>
      </c>
      <c r="E66" s="4" t="s">
        <v>271</v>
      </c>
    </row>
    <row r="67" spans="1:12" x14ac:dyDescent="0.3">
      <c r="B67" s="14" t="s">
        <v>272</v>
      </c>
      <c r="C67" s="113">
        <v>776.9</v>
      </c>
      <c r="D67" s="113">
        <v>776.9</v>
      </c>
      <c r="E67" s="129">
        <v>27.87</v>
      </c>
    </row>
    <row r="68" spans="1:12" x14ac:dyDescent="0.3">
      <c r="B68" s="14" t="s">
        <v>148</v>
      </c>
      <c r="C68" s="113">
        <v>786.8</v>
      </c>
      <c r="D68" s="113">
        <v>786.8</v>
      </c>
      <c r="E68" s="129">
        <v>28.05</v>
      </c>
    </row>
    <row r="69" spans="1:12" x14ac:dyDescent="0.3">
      <c r="B69" s="14" t="s">
        <v>147</v>
      </c>
      <c r="C69" s="113">
        <v>767.03</v>
      </c>
      <c r="D69" s="127">
        <v>767.02</v>
      </c>
      <c r="E69" s="129">
        <v>27.7</v>
      </c>
    </row>
    <row r="75" spans="1:12" ht="21" x14ac:dyDescent="0.4">
      <c r="A75" s="230" t="s">
        <v>118</v>
      </c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</row>
    <row r="77" spans="1:12" x14ac:dyDescent="0.3">
      <c r="B77" s="220" t="s">
        <v>105</v>
      </c>
      <c r="C77" s="221"/>
      <c r="D77" s="222"/>
    </row>
    <row r="78" spans="1:12" x14ac:dyDescent="0.3">
      <c r="B78" s="23" t="s">
        <v>112</v>
      </c>
      <c r="C78" s="16">
        <v>0.55000000000000004</v>
      </c>
      <c r="D78" s="14"/>
    </row>
    <row r="79" spans="1:12" x14ac:dyDescent="0.3">
      <c r="B79" s="23" t="s">
        <v>106</v>
      </c>
      <c r="C79" s="14">
        <v>20</v>
      </c>
      <c r="D79" s="14" t="s">
        <v>107</v>
      </c>
    </row>
    <row r="80" spans="1:12" x14ac:dyDescent="0.3">
      <c r="B80" s="23" t="s">
        <v>108</v>
      </c>
      <c r="C80" s="31">
        <f>MIN(C78 * ((C79^0.5)/10^0.5), 1)</f>
        <v>0.7778174593052023</v>
      </c>
      <c r="D80" s="14"/>
    </row>
    <row r="82" spans="2:39" x14ac:dyDescent="0.3">
      <c r="I82" s="223" t="s">
        <v>111</v>
      </c>
      <c r="J82" s="223"/>
      <c r="K82" s="223"/>
      <c r="L82" s="223"/>
      <c r="M82" s="223"/>
    </row>
    <row r="83" spans="2:39" x14ac:dyDescent="0.3">
      <c r="B83" s="10" t="s">
        <v>109</v>
      </c>
      <c r="C83" s="10" t="s">
        <v>11</v>
      </c>
      <c r="D83" s="10" t="s">
        <v>81</v>
      </c>
      <c r="E83" s="30" t="s">
        <v>48</v>
      </c>
      <c r="F83" s="30" t="s">
        <v>41</v>
      </c>
      <c r="G83" s="30" t="s">
        <v>108</v>
      </c>
      <c r="H83" s="30" t="s">
        <v>110</v>
      </c>
      <c r="I83" s="30">
        <v>0.5</v>
      </c>
      <c r="J83" s="30">
        <v>1</v>
      </c>
      <c r="K83" s="30">
        <v>3</v>
      </c>
      <c r="L83" s="30">
        <v>5</v>
      </c>
      <c r="M83" s="30">
        <v>10</v>
      </c>
    </row>
    <row r="84" spans="2:39" x14ac:dyDescent="0.3">
      <c r="B84" s="23" t="s">
        <v>67</v>
      </c>
      <c r="C84" s="22">
        <f>N18</f>
        <v>15.698425503269116</v>
      </c>
      <c r="D84" s="14">
        <v>6</v>
      </c>
      <c r="E84" s="29">
        <v>0.25</v>
      </c>
      <c r="F84" s="14">
        <v>1</v>
      </c>
      <c r="G84" s="17">
        <f>C80</f>
        <v>0.7778174593052023</v>
      </c>
      <c r="H84" s="32">
        <f>C84*E84*G84</f>
        <v>3.0526273600111939</v>
      </c>
      <c r="I84" s="14"/>
      <c r="J84" s="32">
        <f>H84</f>
        <v>3.0526273600111939</v>
      </c>
      <c r="K84" s="32"/>
      <c r="L84" s="14"/>
      <c r="M84" s="14"/>
    </row>
    <row r="85" spans="2:39" x14ac:dyDescent="0.3">
      <c r="B85" s="23" t="s">
        <v>68</v>
      </c>
      <c r="C85" s="22">
        <f>N19</f>
        <v>-14.019663528763148</v>
      </c>
      <c r="D85" s="14">
        <v>6</v>
      </c>
      <c r="E85" s="29">
        <v>0.3</v>
      </c>
      <c r="F85" s="14">
        <v>2</v>
      </c>
      <c r="G85" s="17">
        <f>C80</f>
        <v>0.7778174593052023</v>
      </c>
      <c r="H85" s="32">
        <f t="shared" ref="H85:H86" si="3">C85*E85*G85</f>
        <v>-3.2714217198769071</v>
      </c>
      <c r="I85" s="14"/>
      <c r="J85" s="32">
        <f>H85/2</f>
        <v>-1.6357108599384536</v>
      </c>
      <c r="K85" s="32">
        <f>H85/2</f>
        <v>-1.6357108599384536</v>
      </c>
      <c r="L85" s="14"/>
      <c r="M85" s="14"/>
    </row>
    <row r="86" spans="2:39" x14ac:dyDescent="0.3">
      <c r="B86" s="23" t="s">
        <v>69</v>
      </c>
      <c r="C86" s="22">
        <f>N20</f>
        <v>6.9602091785546572</v>
      </c>
      <c r="D86" s="14">
        <v>8</v>
      </c>
      <c r="E86" s="29">
        <v>0.35</v>
      </c>
      <c r="F86" s="14">
        <v>1</v>
      </c>
      <c r="G86" s="17">
        <f>C80</f>
        <v>0.7778174593052023</v>
      </c>
      <c r="H86" s="32">
        <f t="shared" si="3"/>
        <v>1.8948202768236462</v>
      </c>
      <c r="I86" s="14"/>
      <c r="J86" s="32">
        <f>H86</f>
        <v>1.8948202768236462</v>
      </c>
      <c r="K86" s="32"/>
      <c r="L86" s="14"/>
      <c r="M86" s="14"/>
    </row>
    <row r="89" spans="2:39" x14ac:dyDescent="0.3">
      <c r="B89" s="223" t="s">
        <v>92</v>
      </c>
      <c r="C89" s="223"/>
    </row>
    <row r="90" spans="2:39" x14ac:dyDescent="0.3">
      <c r="B90" s="25" t="s">
        <v>117</v>
      </c>
      <c r="C90" s="29">
        <v>0.25</v>
      </c>
    </row>
    <row r="91" spans="2:39" x14ac:dyDescent="0.3">
      <c r="B91" s="25" t="s">
        <v>116</v>
      </c>
      <c r="C91" s="29">
        <v>0.01</v>
      </c>
    </row>
    <row r="94" spans="2:39" ht="15" customHeight="1" x14ac:dyDescent="0.3">
      <c r="B94" s="231" t="s">
        <v>123</v>
      </c>
      <c r="C94" s="232"/>
      <c r="D94" s="4" t="s">
        <v>120</v>
      </c>
      <c r="E94" s="4" t="s">
        <v>120</v>
      </c>
      <c r="F94" s="4" t="s">
        <v>120</v>
      </c>
      <c r="G94" s="4" t="s">
        <v>120</v>
      </c>
      <c r="H94" s="4" t="s">
        <v>120</v>
      </c>
      <c r="I94" s="4" t="s">
        <v>121</v>
      </c>
      <c r="J94" s="4" t="s">
        <v>121</v>
      </c>
      <c r="K94" s="4" t="s">
        <v>121</v>
      </c>
      <c r="L94" s="4" t="s">
        <v>121</v>
      </c>
      <c r="M94" s="4" t="s">
        <v>121</v>
      </c>
      <c r="O94" s="224" t="s">
        <v>124</v>
      </c>
      <c r="P94" s="225"/>
      <c r="Q94" s="23" t="s">
        <v>120</v>
      </c>
      <c r="R94" s="23" t="s">
        <v>120</v>
      </c>
      <c r="S94" s="23" t="s">
        <v>120</v>
      </c>
      <c r="T94" s="23" t="s">
        <v>120</v>
      </c>
      <c r="U94" s="23" t="s">
        <v>120</v>
      </c>
      <c r="V94" s="23" t="s">
        <v>121</v>
      </c>
      <c r="W94" s="23" t="s">
        <v>121</v>
      </c>
      <c r="X94" s="23" t="s">
        <v>121</v>
      </c>
      <c r="Y94" s="23" t="s">
        <v>121</v>
      </c>
      <c r="Z94" s="23" t="s">
        <v>121</v>
      </c>
      <c r="AB94" s="23" t="s">
        <v>122</v>
      </c>
      <c r="AC94" s="23"/>
      <c r="AD94" s="23" t="s">
        <v>120</v>
      </c>
      <c r="AE94" s="23" t="s">
        <v>120</v>
      </c>
      <c r="AF94" s="23" t="s">
        <v>120</v>
      </c>
      <c r="AG94" s="23" t="s">
        <v>120</v>
      </c>
      <c r="AH94" s="23" t="s">
        <v>120</v>
      </c>
      <c r="AI94" s="23" t="s">
        <v>121</v>
      </c>
      <c r="AJ94" s="23" t="s">
        <v>121</v>
      </c>
      <c r="AK94" s="23" t="s">
        <v>121</v>
      </c>
      <c r="AL94" s="23" t="s">
        <v>121</v>
      </c>
      <c r="AM94" s="23" t="s">
        <v>121</v>
      </c>
    </row>
    <row r="95" spans="2:39" ht="15" thickBot="1" x14ac:dyDescent="0.35">
      <c r="B95" s="233"/>
      <c r="C95" s="234"/>
      <c r="D95" s="4">
        <v>0.5</v>
      </c>
      <c r="E95" s="4">
        <v>1</v>
      </c>
      <c r="F95" s="4">
        <v>3</v>
      </c>
      <c r="G95" s="4">
        <v>5</v>
      </c>
      <c r="H95" s="4">
        <v>10</v>
      </c>
      <c r="I95" s="4">
        <v>0.5</v>
      </c>
      <c r="J95" s="4">
        <v>1</v>
      </c>
      <c r="K95" s="4">
        <v>3</v>
      </c>
      <c r="L95" s="4">
        <v>5</v>
      </c>
      <c r="M95" s="4">
        <v>10</v>
      </c>
      <c r="O95" s="226"/>
      <c r="P95" s="227"/>
      <c r="Q95" s="23">
        <v>0.5</v>
      </c>
      <c r="R95" s="23">
        <v>1</v>
      </c>
      <c r="S95" s="23">
        <v>3</v>
      </c>
      <c r="T95" s="23">
        <v>5</v>
      </c>
      <c r="U95" s="23">
        <v>10</v>
      </c>
      <c r="V95" s="23">
        <v>0.5</v>
      </c>
      <c r="W95" s="23">
        <v>1</v>
      </c>
      <c r="X95" s="23">
        <v>3</v>
      </c>
      <c r="Y95" s="23">
        <v>5</v>
      </c>
      <c r="Z95" s="23">
        <v>10</v>
      </c>
      <c r="AB95" s="23"/>
      <c r="AC95" s="23"/>
      <c r="AD95" s="23">
        <v>0.5</v>
      </c>
      <c r="AE95" s="23">
        <v>1</v>
      </c>
      <c r="AF95" s="23">
        <v>3</v>
      </c>
      <c r="AG95" s="23">
        <v>5</v>
      </c>
      <c r="AH95" s="23">
        <v>10</v>
      </c>
      <c r="AI95" s="23">
        <v>0.5</v>
      </c>
      <c r="AJ95" s="23">
        <v>1</v>
      </c>
      <c r="AK95" s="23">
        <v>3</v>
      </c>
      <c r="AL95" s="23">
        <v>5</v>
      </c>
      <c r="AM95" s="23">
        <v>10</v>
      </c>
    </row>
    <row r="96" spans="2:39" ht="15" thickBot="1" x14ac:dyDescent="0.35">
      <c r="B96" s="23" t="s">
        <v>120</v>
      </c>
      <c r="C96" s="23">
        <v>0.5</v>
      </c>
      <c r="D96" s="40">
        <v>1</v>
      </c>
      <c r="E96" s="157">
        <v>0.99004983374916811</v>
      </c>
      <c r="F96" s="42">
        <v>0.95122942450071402</v>
      </c>
      <c r="G96" s="42">
        <v>0.91393118527122819</v>
      </c>
      <c r="H96" s="43">
        <v>0.82695913394336229</v>
      </c>
      <c r="I96" s="49">
        <v>0.25</v>
      </c>
      <c r="J96" s="42">
        <v>0.24751245843729203</v>
      </c>
      <c r="K96" s="42">
        <v>0.2378073561251785</v>
      </c>
      <c r="L96" s="42">
        <v>0.22848279631780705</v>
      </c>
      <c r="M96" s="43">
        <v>0.20673978348584057</v>
      </c>
      <c r="O96" s="10" t="s">
        <v>120</v>
      </c>
      <c r="P96" s="10">
        <v>0.5</v>
      </c>
      <c r="Q96" s="40">
        <f>MIN(D96 * 1.25, 1)</f>
        <v>1</v>
      </c>
      <c r="R96" s="40">
        <f t="shared" ref="R96:Z96" si="4">MIN(E96 * 1.25, 1)</f>
        <v>1</v>
      </c>
      <c r="S96" s="40">
        <f t="shared" si="4"/>
        <v>1</v>
      </c>
      <c r="T96" s="40">
        <f t="shared" si="4"/>
        <v>1</v>
      </c>
      <c r="U96" s="40">
        <f t="shared" si="4"/>
        <v>1</v>
      </c>
      <c r="V96" s="40">
        <f t="shared" si="4"/>
        <v>0.3125</v>
      </c>
      <c r="W96" s="40">
        <f t="shared" si="4"/>
        <v>0.30939057304661505</v>
      </c>
      <c r="X96" s="40">
        <f t="shared" si="4"/>
        <v>0.29725919515647314</v>
      </c>
      <c r="Y96" s="40">
        <f t="shared" si="4"/>
        <v>0.28560349539725882</v>
      </c>
      <c r="Z96" s="40">
        <f t="shared" si="4"/>
        <v>0.25842472935730071</v>
      </c>
      <c r="AB96" s="10" t="s">
        <v>120</v>
      </c>
      <c r="AC96" s="10">
        <v>0.5</v>
      </c>
      <c r="AD96" s="40">
        <f>D96*IF(D96=1,1,0.75)</f>
        <v>1</v>
      </c>
      <c r="AE96" s="40">
        <f t="shared" ref="AE96:AM105" si="5">E96*IF(E96=1,1,0.75)</f>
        <v>0.74253737531187602</v>
      </c>
      <c r="AF96" s="40">
        <f t="shared" si="5"/>
        <v>0.71342206837553546</v>
      </c>
      <c r="AG96" s="40">
        <f t="shared" si="5"/>
        <v>0.68544838895342108</v>
      </c>
      <c r="AH96" s="40">
        <f t="shared" si="5"/>
        <v>0.62021935045752175</v>
      </c>
      <c r="AI96" s="40">
        <f t="shared" si="5"/>
        <v>0.1875</v>
      </c>
      <c r="AJ96" s="40">
        <f t="shared" si="5"/>
        <v>0.18563434382796901</v>
      </c>
      <c r="AK96" s="40">
        <f t="shared" si="5"/>
        <v>0.17835551709388386</v>
      </c>
      <c r="AL96" s="40">
        <f t="shared" si="5"/>
        <v>0.17136209723835527</v>
      </c>
      <c r="AM96" s="40">
        <f t="shared" si="5"/>
        <v>0.15505483761438044</v>
      </c>
    </row>
    <row r="97" spans="2:39" ht="15" thickBot="1" x14ac:dyDescent="0.35">
      <c r="B97" s="23" t="s">
        <v>120</v>
      </c>
      <c r="C97" s="23">
        <v>1</v>
      </c>
      <c r="D97" s="44">
        <v>0.99004983374916811</v>
      </c>
      <c r="E97" s="158">
        <v>1</v>
      </c>
      <c r="F97" s="41">
        <v>0.98019867330675525</v>
      </c>
      <c r="G97" s="41">
        <v>0.96078943915232318</v>
      </c>
      <c r="H97" s="45">
        <v>0.91393118527122819</v>
      </c>
      <c r="I97" s="50">
        <v>0.24751245843729203</v>
      </c>
      <c r="J97" s="41">
        <v>0.25</v>
      </c>
      <c r="K97" s="41">
        <v>0.24504966832668881</v>
      </c>
      <c r="L97" s="41">
        <v>0.24019735978808079</v>
      </c>
      <c r="M97" s="45">
        <v>0.22848279631780705</v>
      </c>
      <c r="O97" s="10" t="s">
        <v>120</v>
      </c>
      <c r="P97" s="10">
        <v>1</v>
      </c>
      <c r="Q97" s="40">
        <f t="shared" ref="Q97:Q105" si="6">MIN(D97 * 1.25, 1)</f>
        <v>1</v>
      </c>
      <c r="R97" s="40">
        <f t="shared" ref="R97:R105" si="7">MIN(E97 * 1.25, 1)</f>
        <v>1</v>
      </c>
      <c r="S97" s="40">
        <f t="shared" ref="S97:S105" si="8">MIN(F97 * 1.25, 1)</f>
        <v>1</v>
      </c>
      <c r="T97" s="40">
        <f t="shared" ref="T97:T105" si="9">MIN(G97 * 1.25, 1)</f>
        <v>1</v>
      </c>
      <c r="U97" s="40">
        <f t="shared" ref="U97:U105" si="10">MIN(H97 * 1.25, 1)</f>
        <v>1</v>
      </c>
      <c r="V97" s="40">
        <f t="shared" ref="V97:V105" si="11">MIN(I97 * 1.25, 1)</f>
        <v>0.30939057304661505</v>
      </c>
      <c r="W97" s="40">
        <f t="shared" ref="W97:W105" si="12">MIN(J97 * 1.25, 1)</f>
        <v>0.3125</v>
      </c>
      <c r="X97" s="40">
        <f t="shared" ref="X97:X105" si="13">MIN(K97 * 1.25, 1)</f>
        <v>0.30631208540836102</v>
      </c>
      <c r="Y97" s="40">
        <f t="shared" ref="Y97:Y105" si="14">MIN(L97 * 1.25, 1)</f>
        <v>0.30024669973510099</v>
      </c>
      <c r="Z97" s="40">
        <f t="shared" ref="Z97:Z105" si="15">MIN(M97 * 1.25, 1)</f>
        <v>0.28560349539725882</v>
      </c>
      <c r="AB97" s="10" t="s">
        <v>120</v>
      </c>
      <c r="AC97" s="10">
        <v>1</v>
      </c>
      <c r="AD97" s="40">
        <f t="shared" ref="AD97:AD105" si="16">D97*IF(D97=1,1,0.75)</f>
        <v>0.74253737531187602</v>
      </c>
      <c r="AE97" s="40">
        <f t="shared" si="5"/>
        <v>1</v>
      </c>
      <c r="AF97" s="40">
        <f t="shared" si="5"/>
        <v>0.73514900498006641</v>
      </c>
      <c r="AG97" s="40">
        <f t="shared" si="5"/>
        <v>0.72059207936424241</v>
      </c>
      <c r="AH97" s="40">
        <f t="shared" si="5"/>
        <v>0.68544838895342108</v>
      </c>
      <c r="AI97" s="40">
        <f t="shared" si="5"/>
        <v>0.18563434382796901</v>
      </c>
      <c r="AJ97" s="40">
        <f t="shared" si="5"/>
        <v>0.1875</v>
      </c>
      <c r="AK97" s="40">
        <f t="shared" si="5"/>
        <v>0.1837872512450166</v>
      </c>
      <c r="AL97" s="40">
        <f t="shared" si="5"/>
        <v>0.1801480198410606</v>
      </c>
      <c r="AM97" s="40">
        <f t="shared" si="5"/>
        <v>0.17136209723835527</v>
      </c>
    </row>
    <row r="98" spans="2:39" ht="15" thickBot="1" x14ac:dyDescent="0.35">
      <c r="B98" s="23" t="s">
        <v>120</v>
      </c>
      <c r="C98" s="23">
        <v>3</v>
      </c>
      <c r="D98" s="44">
        <v>0.95122942450071402</v>
      </c>
      <c r="E98" s="158">
        <v>0.98019867330675525</v>
      </c>
      <c r="F98" s="41">
        <v>1</v>
      </c>
      <c r="G98" s="41">
        <v>0.99335550625503444</v>
      </c>
      <c r="H98" s="45">
        <v>0.97693678389834759</v>
      </c>
      <c r="I98" s="50">
        <v>0.2378073561251785</v>
      </c>
      <c r="J98" s="41">
        <v>0.24504966832668881</v>
      </c>
      <c r="K98" s="41">
        <v>0.25</v>
      </c>
      <c r="L98" s="41">
        <v>0.24833887656375861</v>
      </c>
      <c r="M98" s="45">
        <v>0.2442341959745869</v>
      </c>
      <c r="O98" s="10" t="s">
        <v>120</v>
      </c>
      <c r="P98" s="10">
        <v>3</v>
      </c>
      <c r="Q98" s="40">
        <f t="shared" si="6"/>
        <v>1</v>
      </c>
      <c r="R98" s="40">
        <f t="shared" si="7"/>
        <v>1</v>
      </c>
      <c r="S98" s="40">
        <f t="shared" si="8"/>
        <v>1</v>
      </c>
      <c r="T98" s="40">
        <f t="shared" si="9"/>
        <v>1</v>
      </c>
      <c r="U98" s="40">
        <f t="shared" si="10"/>
        <v>1</v>
      </c>
      <c r="V98" s="40">
        <f t="shared" si="11"/>
        <v>0.29725919515647314</v>
      </c>
      <c r="W98" s="40">
        <f t="shared" si="12"/>
        <v>0.30631208540836102</v>
      </c>
      <c r="X98" s="40">
        <f t="shared" si="13"/>
        <v>0.3125</v>
      </c>
      <c r="Y98" s="40">
        <f t="shared" si="14"/>
        <v>0.31042359570469824</v>
      </c>
      <c r="Z98" s="40">
        <f t="shared" si="15"/>
        <v>0.30529274496823361</v>
      </c>
      <c r="AB98" s="10" t="s">
        <v>120</v>
      </c>
      <c r="AC98" s="10">
        <v>3</v>
      </c>
      <c r="AD98" s="40">
        <f t="shared" si="16"/>
        <v>0.71342206837553546</v>
      </c>
      <c r="AE98" s="40">
        <f t="shared" si="5"/>
        <v>0.73514900498006641</v>
      </c>
      <c r="AF98" s="40">
        <f t="shared" si="5"/>
        <v>1</v>
      </c>
      <c r="AG98" s="40">
        <f t="shared" si="5"/>
        <v>0.7450166296912758</v>
      </c>
      <c r="AH98" s="40">
        <f t="shared" si="5"/>
        <v>0.73270258792376075</v>
      </c>
      <c r="AI98" s="40">
        <f t="shared" si="5"/>
        <v>0.17835551709388386</v>
      </c>
      <c r="AJ98" s="40">
        <f t="shared" si="5"/>
        <v>0.1837872512450166</v>
      </c>
      <c r="AK98" s="40">
        <f t="shared" si="5"/>
        <v>0.1875</v>
      </c>
      <c r="AL98" s="40">
        <f t="shared" si="5"/>
        <v>0.18625415742281895</v>
      </c>
      <c r="AM98" s="40">
        <f t="shared" si="5"/>
        <v>0.18317564698094019</v>
      </c>
    </row>
    <row r="99" spans="2:39" ht="15" thickBot="1" x14ac:dyDescent="0.35">
      <c r="B99" s="23" t="s">
        <v>120</v>
      </c>
      <c r="C99" s="23">
        <v>5</v>
      </c>
      <c r="D99" s="44">
        <v>0.91393118527122819</v>
      </c>
      <c r="E99" s="158">
        <v>0.96078943915232318</v>
      </c>
      <c r="F99" s="41">
        <v>0.99335550625503444</v>
      </c>
      <c r="G99" s="41">
        <v>1</v>
      </c>
      <c r="H99" s="45">
        <v>0.99004983374916811</v>
      </c>
      <c r="I99" s="50">
        <v>0.22848279631780705</v>
      </c>
      <c r="J99" s="41">
        <v>0.24019735978808079</v>
      </c>
      <c r="K99" s="41">
        <v>0.24833887656375861</v>
      </c>
      <c r="L99" s="41">
        <v>0.25</v>
      </c>
      <c r="M99" s="45">
        <v>0.24751245843729203</v>
      </c>
      <c r="O99" s="10" t="s">
        <v>120</v>
      </c>
      <c r="P99" s="10">
        <v>5</v>
      </c>
      <c r="Q99" s="40">
        <f t="shared" si="6"/>
        <v>1</v>
      </c>
      <c r="R99" s="40">
        <f t="shared" si="7"/>
        <v>1</v>
      </c>
      <c r="S99" s="40">
        <f t="shared" si="8"/>
        <v>1</v>
      </c>
      <c r="T99" s="40">
        <f t="shared" si="9"/>
        <v>1</v>
      </c>
      <c r="U99" s="40">
        <f t="shared" si="10"/>
        <v>1</v>
      </c>
      <c r="V99" s="40">
        <f t="shared" si="11"/>
        <v>0.28560349539725882</v>
      </c>
      <c r="W99" s="40">
        <f t="shared" si="12"/>
        <v>0.30024669973510099</v>
      </c>
      <c r="X99" s="40">
        <f t="shared" si="13"/>
        <v>0.31042359570469824</v>
      </c>
      <c r="Y99" s="40">
        <f t="shared" si="14"/>
        <v>0.3125</v>
      </c>
      <c r="Z99" s="40">
        <f t="shared" si="15"/>
        <v>0.30939057304661505</v>
      </c>
      <c r="AB99" s="10" t="s">
        <v>120</v>
      </c>
      <c r="AC99" s="10">
        <v>5</v>
      </c>
      <c r="AD99" s="40">
        <f t="shared" si="16"/>
        <v>0.68544838895342108</v>
      </c>
      <c r="AE99" s="40">
        <f t="shared" si="5"/>
        <v>0.72059207936424241</v>
      </c>
      <c r="AF99" s="40">
        <f t="shared" si="5"/>
        <v>0.7450166296912758</v>
      </c>
      <c r="AG99" s="40">
        <f t="shared" si="5"/>
        <v>1</v>
      </c>
      <c r="AH99" s="40">
        <f t="shared" si="5"/>
        <v>0.74253737531187602</v>
      </c>
      <c r="AI99" s="40">
        <f t="shared" si="5"/>
        <v>0.17136209723835527</v>
      </c>
      <c r="AJ99" s="40">
        <f t="shared" si="5"/>
        <v>0.1801480198410606</v>
      </c>
      <c r="AK99" s="40">
        <f t="shared" si="5"/>
        <v>0.18625415742281895</v>
      </c>
      <c r="AL99" s="40">
        <f t="shared" si="5"/>
        <v>0.1875</v>
      </c>
      <c r="AM99" s="40">
        <f t="shared" si="5"/>
        <v>0.18563434382796901</v>
      </c>
    </row>
    <row r="100" spans="2:39" ht="15" thickBot="1" x14ac:dyDescent="0.35">
      <c r="B100" s="23" t="s">
        <v>120</v>
      </c>
      <c r="C100" s="23">
        <v>10</v>
      </c>
      <c r="D100" s="46">
        <v>0.82695913394336229</v>
      </c>
      <c r="E100" s="159">
        <v>0.91393118527122819</v>
      </c>
      <c r="F100" s="47">
        <v>0.97693678389834759</v>
      </c>
      <c r="G100" s="47">
        <v>0.99004983374916811</v>
      </c>
      <c r="H100" s="48">
        <v>1</v>
      </c>
      <c r="I100" s="51">
        <v>0.20673978348584057</v>
      </c>
      <c r="J100" s="47">
        <v>0.22848279631780705</v>
      </c>
      <c r="K100" s="47">
        <v>0.2442341959745869</v>
      </c>
      <c r="L100" s="47">
        <v>0.24751245843729203</v>
      </c>
      <c r="M100" s="48">
        <v>0.25</v>
      </c>
      <c r="O100" s="10" t="s">
        <v>120</v>
      </c>
      <c r="P100" s="10">
        <v>10</v>
      </c>
      <c r="Q100" s="40">
        <f t="shared" si="6"/>
        <v>1</v>
      </c>
      <c r="R100" s="40">
        <f t="shared" si="7"/>
        <v>1</v>
      </c>
      <c r="S100" s="40">
        <f t="shared" si="8"/>
        <v>1</v>
      </c>
      <c r="T100" s="40">
        <f t="shared" si="9"/>
        <v>1</v>
      </c>
      <c r="U100" s="40">
        <f t="shared" si="10"/>
        <v>1</v>
      </c>
      <c r="V100" s="40">
        <f t="shared" si="11"/>
        <v>0.25842472935730071</v>
      </c>
      <c r="W100" s="40">
        <f t="shared" si="12"/>
        <v>0.28560349539725882</v>
      </c>
      <c r="X100" s="40">
        <f t="shared" si="13"/>
        <v>0.30529274496823361</v>
      </c>
      <c r="Y100" s="40">
        <f t="shared" si="14"/>
        <v>0.30939057304661505</v>
      </c>
      <c r="Z100" s="40">
        <f t="shared" si="15"/>
        <v>0.3125</v>
      </c>
      <c r="AB100" s="10" t="s">
        <v>120</v>
      </c>
      <c r="AC100" s="10">
        <v>10</v>
      </c>
      <c r="AD100" s="40">
        <f t="shared" si="16"/>
        <v>0.62021935045752175</v>
      </c>
      <c r="AE100" s="40">
        <f t="shared" si="5"/>
        <v>0.68544838895342108</v>
      </c>
      <c r="AF100" s="40">
        <f t="shared" si="5"/>
        <v>0.73270258792376075</v>
      </c>
      <c r="AG100" s="40">
        <f t="shared" si="5"/>
        <v>0.74253737531187602</v>
      </c>
      <c r="AH100" s="40">
        <f t="shared" si="5"/>
        <v>1</v>
      </c>
      <c r="AI100" s="40">
        <f t="shared" si="5"/>
        <v>0.15505483761438044</v>
      </c>
      <c r="AJ100" s="40">
        <f t="shared" si="5"/>
        <v>0.17136209723835527</v>
      </c>
      <c r="AK100" s="40">
        <f t="shared" si="5"/>
        <v>0.18317564698094019</v>
      </c>
      <c r="AL100" s="40">
        <f t="shared" si="5"/>
        <v>0.18563434382796901</v>
      </c>
      <c r="AM100" s="40">
        <f t="shared" si="5"/>
        <v>0.1875</v>
      </c>
    </row>
    <row r="101" spans="2:39" ht="15" thickBot="1" x14ac:dyDescent="0.35">
      <c r="B101" s="23" t="s">
        <v>121</v>
      </c>
      <c r="C101" s="23">
        <v>0.5</v>
      </c>
      <c r="D101" s="40">
        <v>0.25</v>
      </c>
      <c r="E101" s="157">
        <v>0.24751245843729203</v>
      </c>
      <c r="F101" s="42">
        <v>0.2378073561251785</v>
      </c>
      <c r="G101" s="42">
        <v>0.22848279631780705</v>
      </c>
      <c r="H101" s="43">
        <v>0.20673978348584057</v>
      </c>
      <c r="I101" s="49">
        <v>1</v>
      </c>
      <c r="J101" s="42">
        <v>0.99004983374916811</v>
      </c>
      <c r="K101" s="42">
        <v>0.95122942450071402</v>
      </c>
      <c r="L101" s="42">
        <v>0.91393118527122819</v>
      </c>
      <c r="M101" s="43">
        <v>0.82695913394336229</v>
      </c>
      <c r="O101" s="10" t="s">
        <v>121</v>
      </c>
      <c r="P101" s="10">
        <v>0.5</v>
      </c>
      <c r="Q101" s="40">
        <f t="shared" si="6"/>
        <v>0.3125</v>
      </c>
      <c r="R101" s="40">
        <f t="shared" si="7"/>
        <v>0.30939057304661505</v>
      </c>
      <c r="S101" s="40">
        <f t="shared" si="8"/>
        <v>0.29725919515647314</v>
      </c>
      <c r="T101" s="40">
        <f t="shared" si="9"/>
        <v>0.28560349539725882</v>
      </c>
      <c r="U101" s="40">
        <f t="shared" si="10"/>
        <v>0.25842472935730071</v>
      </c>
      <c r="V101" s="40">
        <f t="shared" si="11"/>
        <v>1</v>
      </c>
      <c r="W101" s="40">
        <f t="shared" si="12"/>
        <v>1</v>
      </c>
      <c r="X101" s="40">
        <f t="shared" si="13"/>
        <v>1</v>
      </c>
      <c r="Y101" s="40">
        <f t="shared" si="14"/>
        <v>1</v>
      </c>
      <c r="Z101" s="40">
        <f t="shared" si="15"/>
        <v>1</v>
      </c>
      <c r="AB101" s="10" t="s">
        <v>121</v>
      </c>
      <c r="AC101" s="10">
        <v>0.5</v>
      </c>
      <c r="AD101" s="40">
        <f t="shared" si="16"/>
        <v>0.1875</v>
      </c>
      <c r="AE101" s="40">
        <f t="shared" si="5"/>
        <v>0.18563434382796901</v>
      </c>
      <c r="AF101" s="40">
        <f t="shared" si="5"/>
        <v>0.17835551709388386</v>
      </c>
      <c r="AG101" s="40">
        <f t="shared" si="5"/>
        <v>0.17136209723835527</v>
      </c>
      <c r="AH101" s="40">
        <f t="shared" si="5"/>
        <v>0.15505483761438044</v>
      </c>
      <c r="AI101" s="40">
        <f t="shared" si="5"/>
        <v>1</v>
      </c>
      <c r="AJ101" s="40">
        <f t="shared" si="5"/>
        <v>0.74253737531187602</v>
      </c>
      <c r="AK101" s="40">
        <f t="shared" si="5"/>
        <v>0.71342206837553546</v>
      </c>
      <c r="AL101" s="40">
        <f t="shared" si="5"/>
        <v>0.68544838895342108</v>
      </c>
      <c r="AM101" s="40">
        <f t="shared" si="5"/>
        <v>0.62021935045752175</v>
      </c>
    </row>
    <row r="102" spans="2:39" ht="15" thickBot="1" x14ac:dyDescent="0.35">
      <c r="B102" s="23" t="s">
        <v>121</v>
      </c>
      <c r="C102" s="23">
        <v>1</v>
      </c>
      <c r="D102" s="44">
        <v>0.24751245843729203</v>
      </c>
      <c r="E102" s="158">
        <v>0.25</v>
      </c>
      <c r="F102" s="41">
        <v>0.24504966832668881</v>
      </c>
      <c r="G102" s="41">
        <v>0.24019735978808079</v>
      </c>
      <c r="H102" s="45">
        <v>0.22848279631780705</v>
      </c>
      <c r="I102" s="50">
        <v>0.99004983374916811</v>
      </c>
      <c r="J102" s="41">
        <v>1</v>
      </c>
      <c r="K102" s="41">
        <v>0.98019867330675525</v>
      </c>
      <c r="L102" s="41">
        <v>0.96078943915232318</v>
      </c>
      <c r="M102" s="45">
        <v>0.91393118527122819</v>
      </c>
      <c r="O102" s="10" t="s">
        <v>121</v>
      </c>
      <c r="P102" s="10">
        <v>1</v>
      </c>
      <c r="Q102" s="40">
        <f t="shared" si="6"/>
        <v>0.30939057304661505</v>
      </c>
      <c r="R102" s="40">
        <f t="shared" si="7"/>
        <v>0.3125</v>
      </c>
      <c r="S102" s="40">
        <f t="shared" si="8"/>
        <v>0.30631208540836102</v>
      </c>
      <c r="T102" s="40">
        <f t="shared" si="9"/>
        <v>0.30024669973510099</v>
      </c>
      <c r="U102" s="40">
        <f t="shared" si="10"/>
        <v>0.28560349539725882</v>
      </c>
      <c r="V102" s="40">
        <f t="shared" si="11"/>
        <v>1</v>
      </c>
      <c r="W102" s="40">
        <f t="shared" si="12"/>
        <v>1</v>
      </c>
      <c r="X102" s="40">
        <f t="shared" si="13"/>
        <v>1</v>
      </c>
      <c r="Y102" s="40">
        <f t="shared" si="14"/>
        <v>1</v>
      </c>
      <c r="Z102" s="40">
        <f t="shared" si="15"/>
        <v>1</v>
      </c>
      <c r="AB102" s="10" t="s">
        <v>121</v>
      </c>
      <c r="AC102" s="10">
        <v>1</v>
      </c>
      <c r="AD102" s="40">
        <f t="shared" si="16"/>
        <v>0.18563434382796901</v>
      </c>
      <c r="AE102" s="40">
        <f t="shared" si="5"/>
        <v>0.1875</v>
      </c>
      <c r="AF102" s="40">
        <f t="shared" si="5"/>
        <v>0.1837872512450166</v>
      </c>
      <c r="AG102" s="40">
        <f t="shared" si="5"/>
        <v>0.1801480198410606</v>
      </c>
      <c r="AH102" s="40">
        <f t="shared" si="5"/>
        <v>0.17136209723835527</v>
      </c>
      <c r="AI102" s="40">
        <f t="shared" si="5"/>
        <v>0.74253737531187602</v>
      </c>
      <c r="AJ102" s="40">
        <f t="shared" si="5"/>
        <v>1</v>
      </c>
      <c r="AK102" s="40">
        <f t="shared" si="5"/>
        <v>0.73514900498006641</v>
      </c>
      <c r="AL102" s="40">
        <f t="shared" si="5"/>
        <v>0.72059207936424241</v>
      </c>
      <c r="AM102" s="40">
        <f t="shared" si="5"/>
        <v>0.68544838895342108</v>
      </c>
    </row>
    <row r="103" spans="2:39" ht="15" thickBot="1" x14ac:dyDescent="0.35">
      <c r="B103" s="23" t="s">
        <v>121</v>
      </c>
      <c r="C103" s="23">
        <v>3</v>
      </c>
      <c r="D103" s="44">
        <v>0.2378073561251785</v>
      </c>
      <c r="E103" s="158">
        <v>0.24504966832668881</v>
      </c>
      <c r="F103" s="41">
        <v>0.25</v>
      </c>
      <c r="G103" s="41">
        <v>0.24833887656375861</v>
      </c>
      <c r="H103" s="45">
        <v>0.2442341959745869</v>
      </c>
      <c r="I103" s="50">
        <v>0.95122942450071402</v>
      </c>
      <c r="J103" s="41">
        <v>0.98019867330675525</v>
      </c>
      <c r="K103" s="41">
        <v>1</v>
      </c>
      <c r="L103" s="41">
        <v>0.99335550625503444</v>
      </c>
      <c r="M103" s="45">
        <v>0.97693678389834759</v>
      </c>
      <c r="O103" s="10" t="s">
        <v>121</v>
      </c>
      <c r="P103" s="10">
        <v>3</v>
      </c>
      <c r="Q103" s="40">
        <f t="shared" si="6"/>
        <v>0.29725919515647314</v>
      </c>
      <c r="R103" s="40">
        <f t="shared" si="7"/>
        <v>0.30631208540836102</v>
      </c>
      <c r="S103" s="40">
        <f t="shared" si="8"/>
        <v>0.3125</v>
      </c>
      <c r="T103" s="40">
        <f t="shared" si="9"/>
        <v>0.31042359570469824</v>
      </c>
      <c r="U103" s="40">
        <f t="shared" si="10"/>
        <v>0.30529274496823361</v>
      </c>
      <c r="V103" s="40">
        <f t="shared" si="11"/>
        <v>1</v>
      </c>
      <c r="W103" s="40">
        <f t="shared" si="12"/>
        <v>1</v>
      </c>
      <c r="X103" s="40">
        <f t="shared" si="13"/>
        <v>1</v>
      </c>
      <c r="Y103" s="40">
        <f t="shared" si="14"/>
        <v>1</v>
      </c>
      <c r="Z103" s="40">
        <f t="shared" si="15"/>
        <v>1</v>
      </c>
      <c r="AB103" s="10" t="s">
        <v>121</v>
      </c>
      <c r="AC103" s="10">
        <v>3</v>
      </c>
      <c r="AD103" s="40">
        <f t="shared" si="16"/>
        <v>0.17835551709388386</v>
      </c>
      <c r="AE103" s="40">
        <f t="shared" si="5"/>
        <v>0.1837872512450166</v>
      </c>
      <c r="AF103" s="40">
        <f t="shared" si="5"/>
        <v>0.1875</v>
      </c>
      <c r="AG103" s="40">
        <f t="shared" si="5"/>
        <v>0.18625415742281895</v>
      </c>
      <c r="AH103" s="40">
        <f t="shared" si="5"/>
        <v>0.18317564698094019</v>
      </c>
      <c r="AI103" s="40">
        <f t="shared" si="5"/>
        <v>0.71342206837553546</v>
      </c>
      <c r="AJ103" s="40">
        <f t="shared" si="5"/>
        <v>0.73514900498006641</v>
      </c>
      <c r="AK103" s="40">
        <f t="shared" si="5"/>
        <v>1</v>
      </c>
      <c r="AL103" s="40">
        <f t="shared" si="5"/>
        <v>0.7450166296912758</v>
      </c>
      <c r="AM103" s="40">
        <f t="shared" si="5"/>
        <v>0.73270258792376075</v>
      </c>
    </row>
    <row r="104" spans="2:39" ht="15" thickBot="1" x14ac:dyDescent="0.35">
      <c r="B104" s="23" t="s">
        <v>121</v>
      </c>
      <c r="C104" s="23">
        <v>5</v>
      </c>
      <c r="D104" s="44">
        <v>0.22848279631780705</v>
      </c>
      <c r="E104" s="158">
        <v>0.24019735978808079</v>
      </c>
      <c r="F104" s="41">
        <v>0.24833887656375861</v>
      </c>
      <c r="G104" s="41">
        <v>0.25</v>
      </c>
      <c r="H104" s="45">
        <v>0.24751245843729203</v>
      </c>
      <c r="I104" s="50">
        <v>0.91393118527122819</v>
      </c>
      <c r="J104" s="41">
        <v>0.96078943915232318</v>
      </c>
      <c r="K104" s="41">
        <v>0.99335550625503444</v>
      </c>
      <c r="L104" s="41">
        <v>1</v>
      </c>
      <c r="M104" s="45">
        <v>0.99004983374916811</v>
      </c>
      <c r="O104" s="10" t="s">
        <v>121</v>
      </c>
      <c r="P104" s="10">
        <v>5</v>
      </c>
      <c r="Q104" s="40">
        <f t="shared" si="6"/>
        <v>0.28560349539725882</v>
      </c>
      <c r="R104" s="40">
        <f t="shared" si="7"/>
        <v>0.30024669973510099</v>
      </c>
      <c r="S104" s="40">
        <f t="shared" si="8"/>
        <v>0.31042359570469824</v>
      </c>
      <c r="T104" s="40">
        <f t="shared" si="9"/>
        <v>0.3125</v>
      </c>
      <c r="U104" s="40">
        <f t="shared" si="10"/>
        <v>0.30939057304661505</v>
      </c>
      <c r="V104" s="40">
        <f t="shared" si="11"/>
        <v>1</v>
      </c>
      <c r="W104" s="40">
        <f t="shared" si="12"/>
        <v>1</v>
      </c>
      <c r="X104" s="40">
        <f t="shared" si="13"/>
        <v>1</v>
      </c>
      <c r="Y104" s="40">
        <f t="shared" si="14"/>
        <v>1</v>
      </c>
      <c r="Z104" s="40">
        <f t="shared" si="15"/>
        <v>1</v>
      </c>
      <c r="AB104" s="10" t="s">
        <v>121</v>
      </c>
      <c r="AC104" s="10">
        <v>5</v>
      </c>
      <c r="AD104" s="40">
        <f t="shared" si="16"/>
        <v>0.17136209723835527</v>
      </c>
      <c r="AE104" s="40">
        <f t="shared" si="5"/>
        <v>0.1801480198410606</v>
      </c>
      <c r="AF104" s="40">
        <f t="shared" si="5"/>
        <v>0.18625415742281895</v>
      </c>
      <c r="AG104" s="40">
        <f t="shared" si="5"/>
        <v>0.1875</v>
      </c>
      <c r="AH104" s="40">
        <f t="shared" si="5"/>
        <v>0.18563434382796901</v>
      </c>
      <c r="AI104" s="40">
        <f t="shared" si="5"/>
        <v>0.68544838895342108</v>
      </c>
      <c r="AJ104" s="40">
        <f t="shared" si="5"/>
        <v>0.72059207936424241</v>
      </c>
      <c r="AK104" s="40">
        <f t="shared" si="5"/>
        <v>0.7450166296912758</v>
      </c>
      <c r="AL104" s="40">
        <f t="shared" si="5"/>
        <v>1</v>
      </c>
      <c r="AM104" s="40">
        <f t="shared" si="5"/>
        <v>0.74253737531187602</v>
      </c>
    </row>
    <row r="105" spans="2:39" ht="15" thickBot="1" x14ac:dyDescent="0.35">
      <c r="B105" s="23" t="s">
        <v>121</v>
      </c>
      <c r="C105" s="23">
        <v>10</v>
      </c>
      <c r="D105" s="46">
        <v>0.20673978348584057</v>
      </c>
      <c r="E105" s="159">
        <v>0.22848279631780705</v>
      </c>
      <c r="F105" s="47">
        <v>0.2442341959745869</v>
      </c>
      <c r="G105" s="47">
        <v>0.24751245843729203</v>
      </c>
      <c r="H105" s="48">
        <v>0.25</v>
      </c>
      <c r="I105" s="51">
        <v>0.82695913394336229</v>
      </c>
      <c r="J105" s="47">
        <v>0.91393118527122819</v>
      </c>
      <c r="K105" s="47">
        <v>0.97693678389834759</v>
      </c>
      <c r="L105" s="47">
        <v>0.99004983374916811</v>
      </c>
      <c r="M105" s="48">
        <v>1</v>
      </c>
      <c r="O105" s="10" t="s">
        <v>121</v>
      </c>
      <c r="P105" s="10">
        <v>10</v>
      </c>
      <c r="Q105" s="40">
        <f t="shared" si="6"/>
        <v>0.25842472935730071</v>
      </c>
      <c r="R105" s="40">
        <f t="shared" si="7"/>
        <v>0.28560349539725882</v>
      </c>
      <c r="S105" s="40">
        <f t="shared" si="8"/>
        <v>0.30529274496823361</v>
      </c>
      <c r="T105" s="40">
        <f t="shared" si="9"/>
        <v>0.30939057304661505</v>
      </c>
      <c r="U105" s="40">
        <f t="shared" si="10"/>
        <v>0.3125</v>
      </c>
      <c r="V105" s="40">
        <f t="shared" si="11"/>
        <v>1</v>
      </c>
      <c r="W105" s="40">
        <f t="shared" si="12"/>
        <v>1</v>
      </c>
      <c r="X105" s="40">
        <f t="shared" si="13"/>
        <v>1</v>
      </c>
      <c r="Y105" s="40">
        <f t="shared" si="14"/>
        <v>1</v>
      </c>
      <c r="Z105" s="40">
        <f t="shared" si="15"/>
        <v>1</v>
      </c>
      <c r="AB105" s="10" t="s">
        <v>121</v>
      </c>
      <c r="AC105" s="10">
        <v>10</v>
      </c>
      <c r="AD105" s="40">
        <f t="shared" si="16"/>
        <v>0.15505483761438044</v>
      </c>
      <c r="AE105" s="40">
        <f t="shared" si="5"/>
        <v>0.17136209723835527</v>
      </c>
      <c r="AF105" s="40">
        <f t="shared" si="5"/>
        <v>0.18317564698094019</v>
      </c>
      <c r="AG105" s="40">
        <f t="shared" si="5"/>
        <v>0.18563434382796901</v>
      </c>
      <c r="AH105" s="40">
        <f t="shared" si="5"/>
        <v>0.1875</v>
      </c>
      <c r="AI105" s="40">
        <f t="shared" si="5"/>
        <v>0.62021935045752175</v>
      </c>
      <c r="AJ105" s="40">
        <f t="shared" si="5"/>
        <v>0.68544838895342108</v>
      </c>
      <c r="AK105" s="40">
        <f t="shared" si="5"/>
        <v>0.73270258792376075</v>
      </c>
      <c r="AL105" s="40">
        <f t="shared" si="5"/>
        <v>0.74253737531187602</v>
      </c>
      <c r="AM105" s="40">
        <f t="shared" si="5"/>
        <v>1</v>
      </c>
    </row>
    <row r="108" spans="2:39" x14ac:dyDescent="0.3">
      <c r="B108" s="33" t="s">
        <v>88</v>
      </c>
    </row>
    <row r="109" spans="2:39" x14ac:dyDescent="0.3">
      <c r="B109" s="5"/>
      <c r="C109" s="228" t="s">
        <v>127</v>
      </c>
      <c r="D109" s="229"/>
      <c r="E109" s="229"/>
      <c r="F109" s="229"/>
      <c r="G109" s="229"/>
      <c r="H109" s="218" t="s">
        <v>128</v>
      </c>
      <c r="I109" s="218"/>
      <c r="J109" s="218"/>
      <c r="K109" s="218"/>
      <c r="L109" s="219"/>
      <c r="M109" s="26"/>
      <c r="N109" s="35"/>
    </row>
    <row r="110" spans="2:39" x14ac:dyDescent="0.3">
      <c r="B110" s="126" t="s">
        <v>125</v>
      </c>
      <c r="C110" s="23">
        <v>0.5</v>
      </c>
      <c r="D110" s="23">
        <v>1</v>
      </c>
      <c r="E110" s="23">
        <v>3</v>
      </c>
      <c r="F110" s="23">
        <v>5</v>
      </c>
      <c r="G110" s="23">
        <v>10</v>
      </c>
      <c r="H110" s="36">
        <v>0.5</v>
      </c>
      <c r="I110" s="36">
        <v>1</v>
      </c>
      <c r="J110" s="36">
        <v>3</v>
      </c>
      <c r="K110" s="37">
        <v>5</v>
      </c>
      <c r="L110" s="36">
        <v>10</v>
      </c>
      <c r="M110" s="35"/>
      <c r="N110" s="35"/>
    </row>
    <row r="111" spans="2:39" x14ac:dyDescent="0.3">
      <c r="B111" s="126" t="s">
        <v>126</v>
      </c>
      <c r="C111" s="23"/>
      <c r="D111" s="23">
        <v>3.05</v>
      </c>
      <c r="E111" s="23"/>
      <c r="F111" s="23"/>
      <c r="G111" s="23"/>
      <c r="H111" s="36"/>
      <c r="I111" s="36">
        <v>1.64</v>
      </c>
      <c r="J111" s="37">
        <v>1.64</v>
      </c>
      <c r="K111" s="36"/>
      <c r="L111" s="36"/>
      <c r="M111" s="35"/>
      <c r="N111" s="35"/>
    </row>
    <row r="114" spans="1:8" x14ac:dyDescent="0.3">
      <c r="B114" s="33" t="s">
        <v>88</v>
      </c>
    </row>
    <row r="115" spans="1:8" x14ac:dyDescent="0.3">
      <c r="B115" s="126" t="s">
        <v>129</v>
      </c>
      <c r="C115" s="38">
        <v>3.87</v>
      </c>
    </row>
    <row r="116" spans="1:8" x14ac:dyDescent="0.3">
      <c r="B116" s="126" t="s">
        <v>130</v>
      </c>
      <c r="C116" s="38">
        <v>3.72</v>
      </c>
    </row>
    <row r="117" spans="1:8" x14ac:dyDescent="0.3">
      <c r="B117" s="126" t="s">
        <v>131</v>
      </c>
      <c r="C117" s="38">
        <v>3.86</v>
      </c>
    </row>
    <row r="120" spans="1:8" x14ac:dyDescent="0.3">
      <c r="B120" s="33" t="s">
        <v>89</v>
      </c>
    </row>
    <row r="121" spans="1:8" x14ac:dyDescent="0.3">
      <c r="B121" s="126" t="s">
        <v>129</v>
      </c>
      <c r="C121" s="39">
        <v>1.89</v>
      </c>
    </row>
    <row r="122" spans="1:8" x14ac:dyDescent="0.3">
      <c r="B122" s="126" t="s">
        <v>130</v>
      </c>
      <c r="C122" s="39">
        <v>1.89</v>
      </c>
    </row>
    <row r="123" spans="1:8" x14ac:dyDescent="0.3">
      <c r="B123" s="126" t="s">
        <v>131</v>
      </c>
      <c r="C123" s="39">
        <v>1.89</v>
      </c>
    </row>
    <row r="125" spans="1:8" x14ac:dyDescent="0.3">
      <c r="A125" s="217" t="s">
        <v>269</v>
      </c>
      <c r="B125" s="218"/>
      <c r="C125" s="218"/>
      <c r="D125" s="218"/>
      <c r="E125" s="218"/>
      <c r="F125" s="218"/>
      <c r="G125" s="218"/>
      <c r="H125" s="219"/>
    </row>
    <row r="128" spans="1:8" x14ac:dyDescent="0.3">
      <c r="B128" s="4"/>
      <c r="C128" s="4" t="s">
        <v>88</v>
      </c>
      <c r="D128" s="4" t="s">
        <v>89</v>
      </c>
    </row>
    <row r="129" spans="2:14" x14ac:dyDescent="0.3">
      <c r="B129" s="126" t="s">
        <v>129</v>
      </c>
      <c r="C129" s="38">
        <f>C115</f>
        <v>3.87</v>
      </c>
      <c r="D129" s="128">
        <f>C121</f>
        <v>1.89</v>
      </c>
    </row>
    <row r="130" spans="2:14" x14ac:dyDescent="0.3">
      <c r="B130" s="126" t="s">
        <v>130</v>
      </c>
      <c r="C130" s="38">
        <f>C116</f>
        <v>3.72</v>
      </c>
      <c r="D130" s="128">
        <f>C122</f>
        <v>1.89</v>
      </c>
    </row>
    <row r="131" spans="2:14" x14ac:dyDescent="0.3">
      <c r="B131" s="126" t="s">
        <v>131</v>
      </c>
      <c r="C131" s="38">
        <f>C117</f>
        <v>3.86</v>
      </c>
      <c r="D131" s="128">
        <f>C123</f>
        <v>1.89</v>
      </c>
    </row>
    <row r="132" spans="2:14" x14ac:dyDescent="0.3">
      <c r="B132" s="126" t="s">
        <v>273</v>
      </c>
      <c r="C132" s="129">
        <v>0.22</v>
      </c>
      <c r="D132" s="129">
        <v>1.89</v>
      </c>
    </row>
    <row r="133" spans="2:14" x14ac:dyDescent="0.3">
      <c r="B133" s="126" t="s">
        <v>103</v>
      </c>
      <c r="C133" s="129">
        <v>0.22</v>
      </c>
      <c r="D133" s="129">
        <v>1.89</v>
      </c>
    </row>
    <row r="136" spans="2:14" x14ac:dyDescent="0.3">
      <c r="B136" s="220" t="s">
        <v>99</v>
      </c>
      <c r="C136" s="221"/>
      <c r="D136" s="222"/>
      <c r="G136" s="220" t="s">
        <v>100</v>
      </c>
      <c r="H136" s="221"/>
      <c r="I136" s="222"/>
      <c r="L136" s="220" t="s">
        <v>101</v>
      </c>
      <c r="M136" s="221"/>
      <c r="N136" s="222"/>
    </row>
    <row r="137" spans="2:14" x14ac:dyDescent="0.3">
      <c r="B137" s="14"/>
      <c r="C137" s="23" t="s">
        <v>88</v>
      </c>
      <c r="D137" s="23" t="s">
        <v>89</v>
      </c>
      <c r="G137" s="14"/>
      <c r="H137" s="23" t="s">
        <v>88</v>
      </c>
      <c r="I137" s="23" t="s">
        <v>89</v>
      </c>
      <c r="L137" s="14"/>
      <c r="M137" s="23" t="s">
        <v>88</v>
      </c>
      <c r="N137" s="23" t="s">
        <v>89</v>
      </c>
    </row>
    <row r="138" spans="2:14" x14ac:dyDescent="0.3">
      <c r="B138" s="23" t="s">
        <v>88</v>
      </c>
      <c r="C138" s="16">
        <v>0</v>
      </c>
      <c r="D138" s="16">
        <v>0.15</v>
      </c>
      <c r="G138" s="23" t="s">
        <v>88</v>
      </c>
      <c r="H138" s="16">
        <v>0</v>
      </c>
      <c r="I138" s="16">
        <v>0.19</v>
      </c>
      <c r="L138" s="23" t="s">
        <v>88</v>
      </c>
      <c r="M138" s="16">
        <v>0</v>
      </c>
      <c r="N138" s="16">
        <v>0.11</v>
      </c>
    </row>
    <row r="139" spans="2:14" x14ac:dyDescent="0.3">
      <c r="B139" s="23" t="s">
        <v>89</v>
      </c>
      <c r="C139" s="16">
        <v>0.15</v>
      </c>
      <c r="D139" s="16">
        <v>0</v>
      </c>
      <c r="G139" s="23" t="s">
        <v>89</v>
      </c>
      <c r="H139" s="16">
        <v>0.19</v>
      </c>
      <c r="I139" s="16">
        <v>0</v>
      </c>
      <c r="L139" s="23" t="s">
        <v>89</v>
      </c>
      <c r="M139" s="16">
        <v>0.11</v>
      </c>
      <c r="N139" s="16">
        <v>0</v>
      </c>
    </row>
    <row r="142" spans="2:14" x14ac:dyDescent="0.3">
      <c r="B142" s="52"/>
      <c r="C142" s="130" t="s">
        <v>141</v>
      </c>
      <c r="D142" s="52" t="s">
        <v>140</v>
      </c>
      <c r="E142" s="52" t="s">
        <v>274</v>
      </c>
    </row>
    <row r="143" spans="2:14" x14ac:dyDescent="0.3">
      <c r="B143" s="52" t="s">
        <v>138</v>
      </c>
      <c r="C143" s="113">
        <v>18.399999999999999</v>
      </c>
      <c r="D143" s="113">
        <v>18.399999999999999</v>
      </c>
      <c r="E143" s="129">
        <v>4.3</v>
      </c>
    </row>
    <row r="144" spans="2:14" x14ac:dyDescent="0.3">
      <c r="B144" s="52" t="s">
        <v>137</v>
      </c>
      <c r="C144" s="113">
        <v>17.3</v>
      </c>
      <c r="D144" s="113">
        <v>17.3</v>
      </c>
      <c r="E144" s="129">
        <v>4.16</v>
      </c>
    </row>
    <row r="145" spans="1:19" x14ac:dyDescent="0.3">
      <c r="B145" s="52" t="s">
        <v>136</v>
      </c>
      <c r="C145" s="113">
        <v>18.399999999999999</v>
      </c>
      <c r="D145" s="113">
        <v>18.399999999999999</v>
      </c>
      <c r="E145" s="129">
        <v>4.29</v>
      </c>
    </row>
    <row r="149" spans="1:19" s="136" customFormat="1" ht="21" x14ac:dyDescent="0.4">
      <c r="A149" s="243" t="s">
        <v>291</v>
      </c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152"/>
      <c r="O149" s="152"/>
      <c r="P149" s="152"/>
    </row>
    <row r="150" spans="1:19" x14ac:dyDescent="0.3">
      <c r="A150"/>
      <c r="C150"/>
      <c r="D150"/>
    </row>
    <row r="151" spans="1:19" x14ac:dyDescent="0.3">
      <c r="A151"/>
      <c r="C151"/>
      <c r="D151"/>
      <c r="Q151" s="137"/>
      <c r="R151" s="137"/>
      <c r="S151" s="137"/>
    </row>
    <row r="152" spans="1:19" s="1" customFormat="1" ht="28.8" x14ac:dyDescent="0.3">
      <c r="B152" s="52" t="s">
        <v>47</v>
      </c>
      <c r="C152" s="52" t="s">
        <v>40</v>
      </c>
      <c r="D152" s="52" t="s">
        <v>292</v>
      </c>
      <c r="E152" s="52" t="s">
        <v>275</v>
      </c>
      <c r="F152" s="52" t="s">
        <v>276</v>
      </c>
      <c r="G152" s="52" t="s">
        <v>39</v>
      </c>
      <c r="H152" s="52" t="s">
        <v>50</v>
      </c>
      <c r="I152" s="151" t="s">
        <v>293</v>
      </c>
      <c r="J152" s="151" t="s">
        <v>294</v>
      </c>
      <c r="K152" s="52" t="s">
        <v>277</v>
      </c>
      <c r="L152" s="52" t="s">
        <v>278</v>
      </c>
      <c r="M152" s="52" t="s">
        <v>279</v>
      </c>
      <c r="N152" s="151" t="s">
        <v>295</v>
      </c>
      <c r="O152" s="52" t="s">
        <v>280</v>
      </c>
      <c r="P152" s="52" t="s">
        <v>44</v>
      </c>
      <c r="Q152" s="52" t="s">
        <v>281</v>
      </c>
      <c r="R152" s="52" t="s">
        <v>282</v>
      </c>
      <c r="S152" s="10" t="s">
        <v>283</v>
      </c>
    </row>
    <row r="153" spans="1:19" x14ac:dyDescent="0.3">
      <c r="A153"/>
      <c r="B153" s="5" t="s">
        <v>288</v>
      </c>
      <c r="C153" s="113">
        <v>40</v>
      </c>
      <c r="D153" s="59">
        <v>0.25</v>
      </c>
      <c r="E153" s="5">
        <v>1</v>
      </c>
      <c r="F153" s="92">
        <v>1.4E-2</v>
      </c>
      <c r="G153" s="113">
        <v>40</v>
      </c>
      <c r="H153" s="59">
        <v>0.35</v>
      </c>
      <c r="I153" s="113">
        <v>54</v>
      </c>
      <c r="J153" s="113">
        <v>26</v>
      </c>
      <c r="K153" s="131">
        <v>1.38</v>
      </c>
      <c r="L153" s="131">
        <v>-1.54</v>
      </c>
      <c r="M153" s="129">
        <v>15.128916312201824</v>
      </c>
      <c r="N153" s="129">
        <v>0.15763195983211342</v>
      </c>
      <c r="O153" s="131">
        <v>4.235609616841181</v>
      </c>
      <c r="P153" s="131">
        <v>22.872648479715771</v>
      </c>
      <c r="Q153" s="131">
        <v>2.887879727460124</v>
      </c>
      <c r="R153" s="131">
        <v>3.9274493108914514</v>
      </c>
      <c r="S153" s="131">
        <v>-2.887879727460124</v>
      </c>
    </row>
    <row r="154" spans="1:19" x14ac:dyDescent="0.3">
      <c r="A154"/>
      <c r="B154" s="5" t="s">
        <v>290</v>
      </c>
      <c r="C154" s="113">
        <v>30</v>
      </c>
      <c r="D154" s="59">
        <v>0.3</v>
      </c>
      <c r="E154" s="5">
        <v>2</v>
      </c>
      <c r="F154" s="92">
        <v>2.1999999999999999E-2</v>
      </c>
      <c r="G154" s="113">
        <v>25</v>
      </c>
      <c r="H154" s="59">
        <v>0.35</v>
      </c>
      <c r="I154" s="113">
        <v>33.75</v>
      </c>
      <c r="J154" s="113">
        <v>16.25</v>
      </c>
      <c r="K154" s="131">
        <v>0.59</v>
      </c>
      <c r="L154" s="131">
        <v>-1.1299999999999999</v>
      </c>
      <c r="M154" s="129">
        <v>-8.1373442539621159</v>
      </c>
      <c r="N154" s="129">
        <v>-0.37585940278435781</v>
      </c>
      <c r="O154" s="131">
        <v>2.8907634989849971</v>
      </c>
      <c r="P154" s="131">
        <v>-11.36651284890227</v>
      </c>
      <c r="Q154" s="131">
        <v>-7.0498282558313186</v>
      </c>
      <c r="R154" s="131">
        <v>-7.2449023988851486</v>
      </c>
      <c r="S154" s="131">
        <v>7.2449023988851486</v>
      </c>
    </row>
    <row r="155" spans="1:19" x14ac:dyDescent="0.3">
      <c r="A155"/>
      <c r="B155" s="5" t="s">
        <v>289</v>
      </c>
      <c r="C155" s="113">
        <v>25</v>
      </c>
      <c r="D155" s="59">
        <v>0.35</v>
      </c>
      <c r="E155" s="5">
        <v>1</v>
      </c>
      <c r="F155" s="92">
        <v>1.4E-2</v>
      </c>
      <c r="G155" s="113">
        <v>35</v>
      </c>
      <c r="H155" s="59">
        <v>0.5</v>
      </c>
      <c r="I155" s="113">
        <v>52.5</v>
      </c>
      <c r="J155" s="113">
        <v>17.5</v>
      </c>
      <c r="K155" s="131">
        <v>2.33</v>
      </c>
      <c r="L155" s="131">
        <v>-0.8</v>
      </c>
      <c r="M155" s="129">
        <v>27.915659701392894</v>
      </c>
      <c r="N155" s="129">
        <v>0.62415595673433311</v>
      </c>
      <c r="O155" s="131">
        <v>11.193660099359978</v>
      </c>
      <c r="P155" s="131">
        <v>30.809531484163728</v>
      </c>
      <c r="Q155" s="131">
        <v>1.3172338599510525</v>
      </c>
      <c r="R155" s="131">
        <v>4.8352615994562189</v>
      </c>
      <c r="S155" s="131">
        <v>-1.3172338599510525</v>
      </c>
    </row>
    <row r="156" spans="1:19" x14ac:dyDescent="0.3">
      <c r="A156"/>
      <c r="C156" s="163"/>
      <c r="D156" s="164"/>
      <c r="F156" s="165"/>
      <c r="G156" s="163"/>
      <c r="H156" s="164"/>
      <c r="I156" s="163"/>
      <c r="J156" s="163"/>
      <c r="K156" s="24"/>
      <c r="L156" s="24"/>
      <c r="M156" s="166"/>
      <c r="N156" s="166"/>
      <c r="O156" s="24"/>
      <c r="P156" s="24"/>
      <c r="Q156" s="24"/>
      <c r="R156" s="24"/>
      <c r="S156" s="24"/>
    </row>
    <row r="157" spans="1:19" x14ac:dyDescent="0.3">
      <c r="A157"/>
      <c r="C157"/>
      <c r="D157"/>
    </row>
    <row r="158" spans="1:19" s="138" customFormat="1" ht="22.5" customHeight="1" x14ac:dyDescent="0.4">
      <c r="A158" s="217" t="s">
        <v>299</v>
      </c>
      <c r="B158" s="218"/>
      <c r="C158" s="218"/>
      <c r="D158" s="218"/>
      <c r="E158" s="218"/>
      <c r="F158" s="218"/>
      <c r="G158" s="218"/>
      <c r="H158" s="219"/>
      <c r="N158" s="160"/>
      <c r="O158" s="160"/>
      <c r="P158" s="160"/>
    </row>
    <row r="159" spans="1:19" x14ac:dyDescent="0.3">
      <c r="A159"/>
      <c r="B159" s="52" t="s">
        <v>88</v>
      </c>
      <c r="C159"/>
      <c r="D159"/>
    </row>
    <row r="160" spans="1:19" x14ac:dyDescent="0.3">
      <c r="A160"/>
      <c r="B160" s="52" t="s">
        <v>284</v>
      </c>
      <c r="C160" s="133">
        <v>0.25</v>
      </c>
      <c r="D160"/>
    </row>
    <row r="161" spans="1:13" x14ac:dyDescent="0.3">
      <c r="A161"/>
      <c r="C161" s="139"/>
      <c r="D161"/>
    </row>
    <row r="162" spans="1:13" x14ac:dyDescent="0.3">
      <c r="A162"/>
      <c r="C162" s="140"/>
      <c r="D162" s="141"/>
    </row>
    <row r="163" spans="1:13" x14ac:dyDescent="0.3">
      <c r="A163"/>
      <c r="B163" s="244" t="s">
        <v>96</v>
      </c>
      <c r="C163" s="244"/>
      <c r="D163" s="244"/>
      <c r="F163" s="244" t="s">
        <v>97</v>
      </c>
      <c r="G163" s="244"/>
      <c r="H163" s="244"/>
      <c r="J163" s="244" t="s">
        <v>98</v>
      </c>
      <c r="K163" s="244"/>
      <c r="L163" s="244"/>
    </row>
    <row r="164" spans="1:13" x14ac:dyDescent="0.3">
      <c r="A164"/>
      <c r="B164" s="5"/>
      <c r="C164" s="126" t="s">
        <v>120</v>
      </c>
      <c r="D164" s="126" t="s">
        <v>121</v>
      </c>
      <c r="F164" s="6"/>
      <c r="G164" s="5" t="s">
        <v>120</v>
      </c>
      <c r="H164" s="5" t="s">
        <v>121</v>
      </c>
      <c r="J164" s="6"/>
      <c r="K164" s="5" t="s">
        <v>120</v>
      </c>
      <c r="L164" s="5" t="s">
        <v>121</v>
      </c>
    </row>
    <row r="165" spans="1:13" x14ac:dyDescent="0.3">
      <c r="A165"/>
      <c r="B165" s="126" t="s">
        <v>120</v>
      </c>
      <c r="C165" s="154">
        <v>1</v>
      </c>
      <c r="D165" s="155">
        <v>6.25E-2</v>
      </c>
      <c r="E165" s="152"/>
      <c r="F165" s="6" t="s">
        <v>120</v>
      </c>
      <c r="G165" s="154">
        <v>1</v>
      </c>
      <c r="H165" s="155">
        <v>7.8100000000000003E-2</v>
      </c>
      <c r="I165" s="136"/>
      <c r="J165" s="6" t="s">
        <v>120</v>
      </c>
      <c r="K165" s="154">
        <v>1</v>
      </c>
      <c r="L165" s="155">
        <v>4.6899999999999997E-2</v>
      </c>
    </row>
    <row r="166" spans="1:13" x14ac:dyDescent="0.3">
      <c r="A166"/>
      <c r="B166" s="126" t="s">
        <v>121</v>
      </c>
      <c r="C166" s="155">
        <v>6.25E-2</v>
      </c>
      <c r="D166" s="154">
        <v>1</v>
      </c>
      <c r="F166" s="6" t="s">
        <v>121</v>
      </c>
      <c r="G166" s="155">
        <v>7.8100000000000003E-2</v>
      </c>
      <c r="H166" s="154">
        <v>1</v>
      </c>
      <c r="J166" s="6" t="s">
        <v>121</v>
      </c>
      <c r="K166" s="155">
        <v>4.6899999999999997E-2</v>
      </c>
      <c r="L166" s="154">
        <v>1</v>
      </c>
    </row>
    <row r="167" spans="1:13" x14ac:dyDescent="0.3">
      <c r="A167"/>
      <c r="C167"/>
      <c r="D167" s="142"/>
      <c r="E167" s="161"/>
      <c r="G167" s="153"/>
      <c r="H167" s="156"/>
      <c r="I167" s="142"/>
      <c r="L167" s="142"/>
      <c r="M167" s="142"/>
    </row>
    <row r="168" spans="1:13" x14ac:dyDescent="0.3">
      <c r="A168"/>
      <c r="C168"/>
      <c r="D168" s="142"/>
      <c r="E168" s="161"/>
      <c r="H168" s="142"/>
      <c r="I168" s="142"/>
      <c r="L168" s="142"/>
      <c r="M168" s="142"/>
    </row>
    <row r="169" spans="1:13" x14ac:dyDescent="0.3">
      <c r="A169"/>
      <c r="B169" s="52" t="s">
        <v>47</v>
      </c>
      <c r="C169" s="52" t="s">
        <v>283</v>
      </c>
      <c r="D169"/>
    </row>
    <row r="170" spans="1:13" x14ac:dyDescent="0.3">
      <c r="A170"/>
      <c r="B170" s="5" t="s">
        <v>288</v>
      </c>
      <c r="C170" s="132">
        <v>-2.89</v>
      </c>
      <c r="D170"/>
    </row>
    <row r="171" spans="1:13" x14ac:dyDescent="0.3">
      <c r="A171"/>
      <c r="B171" s="5" t="s">
        <v>290</v>
      </c>
      <c r="C171" s="132">
        <v>7.24</v>
      </c>
      <c r="D171" s="143"/>
    </row>
    <row r="172" spans="1:13" x14ac:dyDescent="0.3">
      <c r="A172"/>
      <c r="C172"/>
      <c r="D172" s="144"/>
    </row>
    <row r="173" spans="1:13" x14ac:dyDescent="0.3">
      <c r="A173"/>
      <c r="C173"/>
      <c r="D173" s="144"/>
    </row>
    <row r="174" spans="1:13" x14ac:dyDescent="0.3">
      <c r="A174"/>
      <c r="B174" s="52" t="s">
        <v>88</v>
      </c>
      <c r="C174"/>
      <c r="D174"/>
      <c r="E174" s="52" t="s">
        <v>89</v>
      </c>
    </row>
    <row r="175" spans="1:13" x14ac:dyDescent="0.3">
      <c r="A175"/>
      <c r="B175" s="52" t="s">
        <v>296</v>
      </c>
      <c r="C175" s="134">
        <f>SQRT(MAX(0,MAX(C170,0)^2+MAX(C171,0)^2+2*D165*C170*C171*IF(AND(C170&lt;0,C171&lt;0),0,1)))</f>
        <v>7.0570638370359093</v>
      </c>
      <c r="D175"/>
      <c r="E175" s="52" t="s">
        <v>296</v>
      </c>
      <c r="F175" s="134">
        <f>SQRT(MAX(0,MAX(F170,0)^2+MAX(F171,0)^2+2*G165*F170*F171*IF(AND(F170&lt;0,F171&lt;0),0,1)))</f>
        <v>0</v>
      </c>
    </row>
    <row r="176" spans="1:13" x14ac:dyDescent="0.3">
      <c r="A176"/>
      <c r="B176" s="52" t="s">
        <v>297</v>
      </c>
      <c r="C176" s="134">
        <f>SQRT(MAX(0,MAX(C170,0)^2+MAX(C171,0)^2+2*H165*C170*C171*IF(AND(C170&lt;0,C171&lt;0),0,1)))</f>
        <v>7.0106585767672351</v>
      </c>
      <c r="D176" s="35"/>
      <c r="E176" s="52" t="s">
        <v>297</v>
      </c>
      <c r="F176" s="134">
        <f>SQRT(MAX(0,MAX(F170,0)^2+MAX(F171,0)^2+2*K165*F170*F171*IF(AND(F170&lt;0,F171&lt;0),0,1)))</f>
        <v>0</v>
      </c>
    </row>
    <row r="177" spans="1:16" x14ac:dyDescent="0.3">
      <c r="A177"/>
      <c r="B177" s="52" t="s">
        <v>298</v>
      </c>
      <c r="C177" s="134">
        <f>SQRT(MAX(0,MAX(C170,0)^2+MAX(C171,0)^2+2*L165*C170*C171*IF(AND(C170&lt;0,C171&lt;0),0,1)))</f>
        <v>7.1031659363976569</v>
      </c>
      <c r="D177" s="146"/>
      <c r="E177" s="52" t="s">
        <v>298</v>
      </c>
      <c r="F177" s="134">
        <f>SQRT(MAX(0,MAX(F170,0)^2+MAX(F171,0)^2+2*O165*F170*F171*IF(AND(F170&lt;0,F171&lt;0),0,1)))</f>
        <v>0</v>
      </c>
    </row>
    <row r="178" spans="1:16" x14ac:dyDescent="0.3">
      <c r="A178"/>
      <c r="C178" s="145"/>
      <c r="D178" s="146"/>
    </row>
    <row r="179" spans="1:16" x14ac:dyDescent="0.3">
      <c r="A179"/>
      <c r="C179" s="145"/>
      <c r="D179" s="146"/>
    </row>
    <row r="180" spans="1:16" x14ac:dyDescent="0.3">
      <c r="A180" s="217" t="s">
        <v>300</v>
      </c>
      <c r="B180" s="218"/>
      <c r="C180" s="218"/>
      <c r="D180" s="218"/>
      <c r="E180" s="218"/>
      <c r="F180" s="218"/>
      <c r="G180" s="218"/>
      <c r="H180" s="219"/>
    </row>
    <row r="181" spans="1:16" x14ac:dyDescent="0.3">
      <c r="C181"/>
      <c r="D181"/>
    </row>
    <row r="182" spans="1:16" x14ac:dyDescent="0.3">
      <c r="A182"/>
      <c r="B182" s="52" t="s">
        <v>285</v>
      </c>
      <c r="C182" s="11">
        <v>0.15</v>
      </c>
      <c r="D182"/>
    </row>
    <row r="183" spans="1:16" x14ac:dyDescent="0.3">
      <c r="A183"/>
      <c r="C183"/>
      <c r="D183"/>
    </row>
    <row r="184" spans="1:16" x14ac:dyDescent="0.3">
      <c r="A184"/>
      <c r="C184"/>
      <c r="D184"/>
    </row>
    <row r="185" spans="1:16" ht="15" customHeight="1" x14ac:dyDescent="0.3">
      <c r="A185"/>
      <c r="B185" s="5"/>
      <c r="C185" s="10" t="s">
        <v>88</v>
      </c>
      <c r="D185" s="10" t="s">
        <v>89</v>
      </c>
      <c r="F185" s="220" t="s">
        <v>301</v>
      </c>
      <c r="G185" s="221"/>
      <c r="H185" s="221"/>
      <c r="J185" s="223" t="s">
        <v>302</v>
      </c>
      <c r="K185" s="223"/>
      <c r="L185" s="223"/>
      <c r="N185" s="220" t="s">
        <v>286</v>
      </c>
      <c r="O185" s="221"/>
      <c r="P185" s="221"/>
    </row>
    <row r="186" spans="1:16" x14ac:dyDescent="0.3">
      <c r="A186"/>
      <c r="B186" s="10" t="s">
        <v>138</v>
      </c>
      <c r="C186" s="113">
        <v>7.06</v>
      </c>
      <c r="D186" s="113"/>
      <c r="F186" s="52" t="s">
        <v>250</v>
      </c>
      <c r="G186" s="52">
        <v>6</v>
      </c>
      <c r="H186" s="52">
        <v>8</v>
      </c>
      <c r="J186" s="10" t="s">
        <v>250</v>
      </c>
      <c r="K186" s="10">
        <v>6</v>
      </c>
      <c r="L186" s="10">
        <v>8</v>
      </c>
      <c r="N186" s="10" t="s">
        <v>250</v>
      </c>
      <c r="O186" s="10">
        <v>6</v>
      </c>
      <c r="P186" s="10">
        <v>8</v>
      </c>
    </row>
    <row r="187" spans="1:16" x14ac:dyDescent="0.3">
      <c r="A187"/>
      <c r="B187" s="10" t="s">
        <v>137</v>
      </c>
      <c r="C187" s="113">
        <v>7.02</v>
      </c>
      <c r="D187" s="113"/>
      <c r="F187" s="52">
        <v>6</v>
      </c>
      <c r="G187" s="135">
        <v>0</v>
      </c>
      <c r="H187" s="135">
        <v>2.2499999999999999E-2</v>
      </c>
      <c r="J187" s="10">
        <v>6</v>
      </c>
      <c r="K187" s="19">
        <v>0</v>
      </c>
      <c r="L187" s="19">
        <f>H187*1.25</f>
        <v>2.8124999999999997E-2</v>
      </c>
      <c r="N187" s="10">
        <v>6</v>
      </c>
      <c r="O187" s="135">
        <v>0</v>
      </c>
      <c r="P187" s="135">
        <f>H187*0.75</f>
        <v>1.6875000000000001E-2</v>
      </c>
    </row>
    <row r="188" spans="1:16" x14ac:dyDescent="0.3">
      <c r="A188"/>
      <c r="B188" s="10" t="s">
        <v>136</v>
      </c>
      <c r="C188" s="113">
        <v>7.11</v>
      </c>
      <c r="D188" s="113"/>
      <c r="F188" s="52">
        <v>8</v>
      </c>
      <c r="G188" s="135">
        <v>2.2499999999999999E-2</v>
      </c>
      <c r="H188" s="135">
        <v>0</v>
      </c>
      <c r="J188" s="10">
        <v>8</v>
      </c>
      <c r="K188" s="19">
        <f>L187</f>
        <v>2.8124999999999997E-2</v>
      </c>
      <c r="L188" s="19">
        <v>0</v>
      </c>
      <c r="N188" s="10">
        <v>8</v>
      </c>
      <c r="O188" s="135">
        <f>P187</f>
        <v>1.6875000000000001E-2</v>
      </c>
      <c r="P188" s="135">
        <v>0</v>
      </c>
    </row>
    <row r="189" spans="1:16" x14ac:dyDescent="0.3">
      <c r="A189"/>
      <c r="B189" s="10" t="s">
        <v>273</v>
      </c>
      <c r="C189" s="113">
        <v>4.3600000000000003</v>
      </c>
      <c r="D189" s="113"/>
    </row>
    <row r="190" spans="1:16" x14ac:dyDescent="0.3">
      <c r="A190"/>
      <c r="B190" s="10" t="s">
        <v>103</v>
      </c>
      <c r="C190" s="113">
        <v>4.3600000000000003</v>
      </c>
      <c r="D190" s="113"/>
    </row>
    <row r="191" spans="1:16" s="138" customFormat="1" ht="14.25" customHeight="1" x14ac:dyDescent="0.4">
      <c r="B191" s="160"/>
      <c r="C191" s="245"/>
      <c r="D191" s="245"/>
      <c r="E191" s="160"/>
      <c r="N191" s="160"/>
      <c r="O191" s="160"/>
      <c r="P191" s="160"/>
    </row>
    <row r="192" spans="1:16" x14ac:dyDescent="0.3">
      <c r="A192"/>
      <c r="C192"/>
      <c r="D192"/>
    </row>
    <row r="193" spans="1:17" x14ac:dyDescent="0.3">
      <c r="A193"/>
      <c r="B193" s="5"/>
      <c r="C193" s="10" t="s">
        <v>141</v>
      </c>
      <c r="D193" s="10" t="s">
        <v>140</v>
      </c>
      <c r="E193" s="10" t="s">
        <v>287</v>
      </c>
    </row>
    <row r="194" spans="1:17" ht="15" customHeight="1" x14ac:dyDescent="0.3">
      <c r="A194"/>
      <c r="B194" s="10" t="s">
        <v>138</v>
      </c>
      <c r="C194" s="167">
        <v>49.87</v>
      </c>
      <c r="D194" s="167">
        <v>49.87</v>
      </c>
      <c r="E194" s="168">
        <v>7.06</v>
      </c>
    </row>
    <row r="195" spans="1:17" x14ac:dyDescent="0.3">
      <c r="A195"/>
      <c r="B195" s="10" t="s">
        <v>137</v>
      </c>
      <c r="C195" s="167">
        <v>49.22</v>
      </c>
      <c r="D195" s="167">
        <v>49.22</v>
      </c>
      <c r="E195" s="168">
        <v>7.02</v>
      </c>
      <c r="G195" s="242"/>
      <c r="H195" s="242"/>
      <c r="I195" s="242"/>
      <c r="K195" s="242"/>
      <c r="L195" s="242"/>
      <c r="M195" s="242"/>
      <c r="O195" s="242"/>
      <c r="P195" s="242"/>
      <c r="Q195" s="242"/>
    </row>
    <row r="196" spans="1:17" x14ac:dyDescent="0.3">
      <c r="A196"/>
      <c r="B196" s="10" t="s">
        <v>136</v>
      </c>
      <c r="C196" s="167">
        <v>50.53</v>
      </c>
      <c r="D196" s="167">
        <v>50.53</v>
      </c>
      <c r="E196" s="169">
        <v>7.11</v>
      </c>
      <c r="G196" s="26"/>
      <c r="H196" s="26"/>
      <c r="I196" s="26"/>
      <c r="K196" s="26"/>
      <c r="L196" s="26"/>
      <c r="M196" s="26"/>
      <c r="O196" s="35"/>
      <c r="P196" s="35"/>
      <c r="Q196" s="26"/>
    </row>
    <row r="197" spans="1:17" x14ac:dyDescent="0.3">
      <c r="A197"/>
      <c r="C197" s="136"/>
      <c r="D197" s="148"/>
      <c r="E197" s="162"/>
      <c r="G197" s="26"/>
      <c r="H197" s="149"/>
      <c r="I197" s="149"/>
      <c r="K197" s="26"/>
      <c r="L197" s="149"/>
      <c r="M197" s="149"/>
      <c r="O197" s="35"/>
      <c r="P197" s="21"/>
      <c r="Q197" s="149"/>
    </row>
    <row r="198" spans="1:17" x14ac:dyDescent="0.3">
      <c r="A198"/>
      <c r="C198" s="136"/>
      <c r="D198" s="148"/>
      <c r="E198" s="162"/>
      <c r="G198" s="26"/>
      <c r="H198" s="149"/>
      <c r="I198" s="149"/>
      <c r="K198" s="26"/>
      <c r="L198" s="149"/>
      <c r="M198" s="149"/>
      <c r="O198" s="35"/>
      <c r="P198" s="21"/>
      <c r="Q198" s="149"/>
    </row>
    <row r="199" spans="1:17" x14ac:dyDescent="0.3">
      <c r="A199"/>
      <c r="C199" s="136"/>
      <c r="D199" s="148"/>
      <c r="E199" s="162"/>
    </row>
    <row r="200" spans="1:17" x14ac:dyDescent="0.3">
      <c r="A200"/>
      <c r="C200" s="136"/>
      <c r="D200" s="148"/>
      <c r="E200" s="162"/>
    </row>
    <row r="201" spans="1:17" x14ac:dyDescent="0.3">
      <c r="A201"/>
      <c r="C201"/>
      <c r="D201"/>
    </row>
    <row r="202" spans="1:17" x14ac:dyDescent="0.3">
      <c r="A202"/>
      <c r="C202"/>
      <c r="D202"/>
    </row>
    <row r="203" spans="1:17" x14ac:dyDescent="0.3">
      <c r="A203"/>
      <c r="C203"/>
      <c r="D203"/>
    </row>
    <row r="204" spans="1:17" x14ac:dyDescent="0.3">
      <c r="A204"/>
      <c r="C204" s="147"/>
      <c r="D204" s="147"/>
      <c r="E204" s="147"/>
      <c r="F204" s="147"/>
    </row>
    <row r="205" spans="1:17" x14ac:dyDescent="0.3">
      <c r="A205"/>
      <c r="C205" s="150"/>
      <c r="D205" s="148"/>
      <c r="E205" s="162"/>
      <c r="F205" s="148"/>
    </row>
    <row r="206" spans="1:17" x14ac:dyDescent="0.3">
      <c r="A206"/>
      <c r="C206" s="150"/>
      <c r="D206" s="148"/>
      <c r="E206" s="162"/>
      <c r="F206" s="148"/>
    </row>
    <row r="207" spans="1:17" x14ac:dyDescent="0.3">
      <c r="A207"/>
      <c r="C207" s="150"/>
      <c r="D207" s="148"/>
      <c r="E207" s="162"/>
      <c r="F207" s="148"/>
    </row>
    <row r="208" spans="1:17" x14ac:dyDescent="0.3">
      <c r="A208"/>
      <c r="C208"/>
      <c r="D208"/>
    </row>
    <row r="209" spans="1:4" x14ac:dyDescent="0.3">
      <c r="A209"/>
      <c r="C209"/>
      <c r="D209"/>
    </row>
    <row r="210" spans="1:4" x14ac:dyDescent="0.3">
      <c r="A210"/>
      <c r="C210"/>
      <c r="D210"/>
    </row>
    <row r="211" spans="1:4" x14ac:dyDescent="0.3">
      <c r="A211"/>
      <c r="C211"/>
      <c r="D211"/>
    </row>
    <row r="212" spans="1:4" x14ac:dyDescent="0.3">
      <c r="A212"/>
      <c r="C212"/>
      <c r="D212"/>
    </row>
    <row r="213" spans="1:4" x14ac:dyDescent="0.3">
      <c r="A213"/>
      <c r="C213"/>
      <c r="D213"/>
    </row>
    <row r="214" spans="1:4" x14ac:dyDescent="0.3">
      <c r="A214"/>
      <c r="C214"/>
      <c r="D214"/>
    </row>
    <row r="215" spans="1:4" x14ac:dyDescent="0.3">
      <c r="A215"/>
      <c r="C215"/>
      <c r="D215"/>
    </row>
    <row r="216" spans="1:4" x14ac:dyDescent="0.3">
      <c r="A216"/>
      <c r="C216"/>
      <c r="D216"/>
    </row>
    <row r="217" spans="1:4" x14ac:dyDescent="0.3">
      <c r="A217"/>
      <c r="C217"/>
      <c r="D217"/>
    </row>
    <row r="218" spans="1:4" x14ac:dyDescent="0.3">
      <c r="A218"/>
      <c r="C218"/>
      <c r="D218"/>
    </row>
  </sheetData>
  <mergeCells count="41">
    <mergeCell ref="G195:I195"/>
    <mergeCell ref="K195:M195"/>
    <mergeCell ref="O195:Q195"/>
    <mergeCell ref="G136:I136"/>
    <mergeCell ref="L136:N136"/>
    <mergeCell ref="A149:M149"/>
    <mergeCell ref="B163:D163"/>
    <mergeCell ref="F163:H163"/>
    <mergeCell ref="J163:L163"/>
    <mergeCell ref="C191:D191"/>
    <mergeCell ref="A180:H180"/>
    <mergeCell ref="A158:H158"/>
    <mergeCell ref="F185:H185"/>
    <mergeCell ref="J185:L185"/>
    <mergeCell ref="N185:P185"/>
    <mergeCell ref="L40:N40"/>
    <mergeCell ref="B40:D40"/>
    <mergeCell ref="G40:I40"/>
    <mergeCell ref="B51:D51"/>
    <mergeCell ref="B60:D60"/>
    <mergeCell ref="G60:I60"/>
    <mergeCell ref="A1:L1"/>
    <mergeCell ref="B3:B10"/>
    <mergeCell ref="C3:C6"/>
    <mergeCell ref="C7:C10"/>
    <mergeCell ref="A31:B31"/>
    <mergeCell ref="B11:B12"/>
    <mergeCell ref="A125:H125"/>
    <mergeCell ref="B136:D136"/>
    <mergeCell ref="L60:N60"/>
    <mergeCell ref="L46:M46"/>
    <mergeCell ref="O94:P95"/>
    <mergeCell ref="C109:G109"/>
    <mergeCell ref="H109:L109"/>
    <mergeCell ref="I82:M82"/>
    <mergeCell ref="A75:L75"/>
    <mergeCell ref="B77:D77"/>
    <mergeCell ref="B89:C89"/>
    <mergeCell ref="B46:C46"/>
    <mergeCell ref="G46:H46"/>
    <mergeCell ref="B94:C95"/>
  </mergeCells>
  <phoneticPr fontId="1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FE0D-1DE6-4C1A-8CF0-D332BE760CDB}">
  <dimension ref="A1:DK90"/>
  <sheetViews>
    <sheetView showGridLines="0" zoomScale="80" zoomScaleNormal="80" workbookViewId="0">
      <selection activeCell="F42" sqref="F42"/>
    </sheetView>
  </sheetViews>
  <sheetFormatPr defaultRowHeight="14.4" x14ac:dyDescent="0.3"/>
  <cols>
    <col min="1" max="1" width="58.33203125" customWidth="1"/>
    <col min="2" max="2" width="21.88671875" bestFit="1" customWidth="1"/>
    <col min="3" max="3" width="16.33203125" bestFit="1" customWidth="1"/>
    <col min="4" max="11" width="14.88671875" customWidth="1"/>
    <col min="12" max="12" width="9.33203125" bestFit="1" customWidth="1"/>
    <col min="13" max="13" width="12.33203125" bestFit="1" customWidth="1"/>
    <col min="14" max="14" width="9.33203125" bestFit="1" customWidth="1"/>
    <col min="15" max="15" width="10.5546875" bestFit="1" customWidth="1"/>
    <col min="16" max="16" width="15.109375" customWidth="1"/>
    <col min="17" max="17" width="12.33203125" customWidth="1"/>
    <col min="18" max="18" width="9.33203125" bestFit="1" customWidth="1"/>
    <col min="19" max="19" width="10.5546875" bestFit="1" customWidth="1"/>
    <col min="20" max="21" width="9.33203125" bestFit="1" customWidth="1"/>
  </cols>
  <sheetData>
    <row r="1" spans="1:115" s="249" customFormat="1" ht="31.5" customHeight="1" x14ac:dyDescent="0.3">
      <c r="A1" s="249" t="s">
        <v>181</v>
      </c>
    </row>
    <row r="3" spans="1:115" s="172" customFormat="1" ht="47.25" customHeight="1" x14ac:dyDescent="0.3">
      <c r="A3" s="253" t="s">
        <v>180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1"/>
      <c r="BR3" s="171"/>
      <c r="BS3" s="171"/>
      <c r="BT3" s="171"/>
      <c r="BU3" s="171"/>
      <c r="BV3" s="171"/>
      <c r="BW3" s="171"/>
      <c r="BX3" s="171"/>
      <c r="BY3" s="171"/>
      <c r="BZ3" s="171"/>
      <c r="CA3" s="171"/>
      <c r="CB3" s="171"/>
      <c r="CC3" s="171"/>
      <c r="CD3" s="171"/>
      <c r="CE3" s="171"/>
      <c r="CF3" s="171"/>
      <c r="CG3" s="171"/>
      <c r="CH3" s="171"/>
      <c r="CI3" s="171"/>
      <c r="CJ3" s="171"/>
      <c r="CK3" s="171"/>
      <c r="CL3" s="171"/>
      <c r="CM3" s="171"/>
      <c r="CN3" s="171"/>
      <c r="CO3" s="171"/>
      <c r="CP3" s="171"/>
      <c r="CQ3" s="171"/>
      <c r="CR3" s="171"/>
      <c r="CS3" s="171"/>
      <c r="CT3" s="171"/>
      <c r="CU3" s="171"/>
      <c r="CV3" s="171"/>
      <c r="CW3" s="171"/>
      <c r="CX3" s="171"/>
      <c r="CY3" s="171"/>
      <c r="CZ3" s="171"/>
      <c r="DA3" s="171"/>
      <c r="DB3" s="171"/>
      <c r="DC3" s="171"/>
      <c r="DD3" s="171"/>
      <c r="DE3" s="171"/>
      <c r="DF3" s="171"/>
      <c r="DG3" s="171"/>
      <c r="DH3" s="171"/>
      <c r="DI3" s="171"/>
      <c r="DJ3" s="171"/>
      <c r="DK3" s="171"/>
    </row>
    <row r="5" spans="1:115" ht="15" thickBot="1" x14ac:dyDescent="0.35">
      <c r="A5" s="34" t="s">
        <v>179</v>
      </c>
      <c r="B5" s="173"/>
      <c r="C5" s="175">
        <v>0.25</v>
      </c>
      <c r="D5" s="175">
        <v>0.5</v>
      </c>
      <c r="E5" s="175">
        <v>1</v>
      </c>
      <c r="F5" s="175">
        <v>2</v>
      </c>
      <c r="G5" s="175">
        <v>3</v>
      </c>
      <c r="H5" s="175">
        <v>5</v>
      </c>
      <c r="I5" s="175">
        <v>10</v>
      </c>
      <c r="J5" s="175">
        <v>15</v>
      </c>
      <c r="K5" s="175">
        <v>20</v>
      </c>
      <c r="L5" s="175">
        <v>30</v>
      </c>
      <c r="S5" s="250" t="s">
        <v>270</v>
      </c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R5" s="266" t="s">
        <v>178</v>
      </c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67"/>
      <c r="BM5" s="267"/>
      <c r="BQ5" s="250" t="s">
        <v>177</v>
      </c>
      <c r="BR5" s="251"/>
      <c r="BS5" s="251"/>
      <c r="BT5" s="251"/>
      <c r="BU5" s="251"/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1"/>
      <c r="CH5" s="251"/>
      <c r="CI5" s="251"/>
      <c r="CJ5" s="251"/>
      <c r="CK5" s="251"/>
      <c r="CL5" s="251"/>
      <c r="DB5" s="112">
        <f t="shared" ref="DB5:DK5" si="0">C5</f>
        <v>0.25</v>
      </c>
      <c r="DC5">
        <f t="shared" si="0"/>
        <v>0.5</v>
      </c>
      <c r="DD5">
        <f t="shared" si="0"/>
        <v>1</v>
      </c>
      <c r="DE5">
        <f t="shared" si="0"/>
        <v>2</v>
      </c>
      <c r="DF5">
        <f t="shared" si="0"/>
        <v>3</v>
      </c>
      <c r="DG5">
        <f t="shared" si="0"/>
        <v>5</v>
      </c>
      <c r="DH5">
        <f t="shared" si="0"/>
        <v>10</v>
      </c>
      <c r="DI5">
        <f t="shared" si="0"/>
        <v>15</v>
      </c>
      <c r="DJ5">
        <f t="shared" si="0"/>
        <v>20</v>
      </c>
      <c r="DK5">
        <f t="shared" si="0"/>
        <v>30</v>
      </c>
    </row>
    <row r="6" spans="1:115" ht="15" thickBot="1" x14ac:dyDescent="0.35">
      <c r="A6" s="6" t="s">
        <v>146</v>
      </c>
      <c r="B6" s="6" t="s">
        <v>158</v>
      </c>
      <c r="C6" s="113">
        <v>0</v>
      </c>
      <c r="D6" s="113">
        <v>0</v>
      </c>
      <c r="E6" s="113">
        <v>4500</v>
      </c>
      <c r="F6" s="113">
        <v>1200</v>
      </c>
      <c r="G6" s="113">
        <v>49000</v>
      </c>
      <c r="H6" s="113">
        <v>310</v>
      </c>
      <c r="I6" s="113">
        <v>1300</v>
      </c>
      <c r="J6" s="113">
        <v>1600</v>
      </c>
      <c r="K6" s="113">
        <v>140</v>
      </c>
      <c r="L6" s="113">
        <v>0</v>
      </c>
      <c r="M6" s="124">
        <f>SUM(C6:L6)</f>
        <v>58050</v>
      </c>
      <c r="P6" s="6" t="s">
        <v>176</v>
      </c>
      <c r="Q6" s="6"/>
      <c r="S6" s="123"/>
      <c r="T6" s="122"/>
      <c r="U6" s="261" t="s">
        <v>175</v>
      </c>
      <c r="V6" s="261"/>
      <c r="W6" s="261"/>
      <c r="X6" s="261"/>
      <c r="Y6" s="261"/>
      <c r="Z6" s="261"/>
      <c r="AA6" s="261"/>
      <c r="AB6" s="261"/>
      <c r="AC6" s="261"/>
      <c r="AD6" s="261"/>
      <c r="AE6" s="261" t="s">
        <v>172</v>
      </c>
      <c r="AF6" s="261"/>
      <c r="AG6" s="261"/>
      <c r="AH6" s="261"/>
      <c r="AI6" s="261"/>
      <c r="AJ6" s="261"/>
      <c r="AK6" s="261"/>
      <c r="AL6" s="261"/>
      <c r="AM6" s="261"/>
      <c r="AN6" s="261"/>
      <c r="AR6" s="123"/>
      <c r="AS6" s="122"/>
      <c r="AT6" s="261" t="s">
        <v>175</v>
      </c>
      <c r="AU6" s="261"/>
      <c r="AV6" s="261"/>
      <c r="AW6" s="261"/>
      <c r="AX6" s="261"/>
      <c r="AY6" s="261"/>
      <c r="AZ6" s="261"/>
      <c r="BA6" s="261"/>
      <c r="BB6" s="261"/>
      <c r="BC6" s="262"/>
      <c r="BD6" s="263" t="s">
        <v>172</v>
      </c>
      <c r="BE6" s="264"/>
      <c r="BF6" s="264"/>
      <c r="BG6" s="264"/>
      <c r="BH6" s="264"/>
      <c r="BI6" s="264"/>
      <c r="BJ6" s="264"/>
      <c r="BK6" s="264"/>
      <c r="BL6" s="264"/>
      <c r="BM6" s="265"/>
      <c r="BQ6" s="123"/>
      <c r="BR6" s="122"/>
      <c r="BS6" s="268" t="s">
        <v>175</v>
      </c>
      <c r="BT6" s="268"/>
      <c r="BU6" s="268"/>
      <c r="BV6" s="268"/>
      <c r="BW6" s="268"/>
      <c r="BX6" s="268"/>
      <c r="BY6" s="268"/>
      <c r="BZ6" s="268"/>
      <c r="CA6" s="268"/>
      <c r="CB6" s="269"/>
      <c r="CC6" s="246" t="s">
        <v>175</v>
      </c>
      <c r="CD6" s="247"/>
      <c r="CE6" s="247"/>
      <c r="CF6" s="247"/>
      <c r="CG6" s="247"/>
      <c r="CH6" s="247"/>
      <c r="CI6" s="247"/>
      <c r="CJ6" s="247"/>
      <c r="CK6" s="247"/>
      <c r="CL6" s="248"/>
      <c r="DB6" s="112">
        <v>0</v>
      </c>
      <c r="DC6" s="112">
        <v>0</v>
      </c>
      <c r="DD6" s="112">
        <v>450000</v>
      </c>
      <c r="DE6" s="112">
        <v>120000</v>
      </c>
      <c r="DF6" s="112">
        <v>4900000</v>
      </c>
      <c r="DG6" s="112">
        <v>31000</v>
      </c>
      <c r="DH6" s="112">
        <v>130000</v>
      </c>
      <c r="DI6" s="112">
        <v>160000</v>
      </c>
      <c r="DJ6" s="112">
        <v>14000</v>
      </c>
      <c r="DK6" s="112">
        <v>0</v>
      </c>
    </row>
    <row r="7" spans="1:115" ht="15" thickBot="1" x14ac:dyDescent="0.35">
      <c r="A7" s="6" t="s">
        <v>146</v>
      </c>
      <c r="B7" s="6" t="s">
        <v>167</v>
      </c>
      <c r="C7" s="113">
        <v>0</v>
      </c>
      <c r="D7" s="113">
        <v>0</v>
      </c>
      <c r="E7" s="113">
        <v>0</v>
      </c>
      <c r="F7" s="113">
        <v>27000</v>
      </c>
      <c r="G7" s="113">
        <v>300</v>
      </c>
      <c r="H7" s="113">
        <v>320</v>
      </c>
      <c r="I7" s="113">
        <v>360</v>
      </c>
      <c r="J7" s="113">
        <v>40000</v>
      </c>
      <c r="K7" s="113">
        <v>0</v>
      </c>
      <c r="L7" s="113">
        <v>0</v>
      </c>
      <c r="P7" s="6" t="s">
        <v>144</v>
      </c>
      <c r="Q7" s="6">
        <v>0.86</v>
      </c>
      <c r="S7" s="118"/>
      <c r="T7" s="110"/>
      <c r="U7" s="120">
        <v>0.25</v>
      </c>
      <c r="V7" s="120">
        <v>0.5</v>
      </c>
      <c r="W7" s="120">
        <v>1</v>
      </c>
      <c r="X7" s="120">
        <v>2</v>
      </c>
      <c r="Y7" s="120">
        <v>3</v>
      </c>
      <c r="Z7" s="120">
        <v>5</v>
      </c>
      <c r="AA7" s="120">
        <v>10</v>
      </c>
      <c r="AB7" s="120">
        <v>15</v>
      </c>
      <c r="AC7" s="120">
        <v>20</v>
      </c>
      <c r="AD7" s="121">
        <v>30</v>
      </c>
      <c r="AE7" s="120">
        <f t="shared" ref="AE7:AN7" si="1">U7</f>
        <v>0.25</v>
      </c>
      <c r="AF7" s="120">
        <f t="shared" si="1"/>
        <v>0.5</v>
      </c>
      <c r="AG7" s="120">
        <f t="shared" si="1"/>
        <v>1</v>
      </c>
      <c r="AH7" s="120">
        <f t="shared" si="1"/>
        <v>2</v>
      </c>
      <c r="AI7" s="120">
        <f t="shared" si="1"/>
        <v>3</v>
      </c>
      <c r="AJ7" s="120">
        <f t="shared" si="1"/>
        <v>5</v>
      </c>
      <c r="AK7" s="120">
        <f t="shared" si="1"/>
        <v>10</v>
      </c>
      <c r="AL7" s="120">
        <f t="shared" si="1"/>
        <v>15</v>
      </c>
      <c r="AM7" s="120">
        <f t="shared" si="1"/>
        <v>20</v>
      </c>
      <c r="AN7" s="121">
        <f t="shared" si="1"/>
        <v>30</v>
      </c>
      <c r="AR7" s="118"/>
      <c r="AS7" s="110"/>
      <c r="AT7" s="120">
        <v>0.25</v>
      </c>
      <c r="AU7" s="120">
        <v>0.5</v>
      </c>
      <c r="AV7" s="120">
        <v>1</v>
      </c>
      <c r="AW7" s="120">
        <v>2</v>
      </c>
      <c r="AX7" s="120">
        <v>3</v>
      </c>
      <c r="AY7" s="120">
        <v>5</v>
      </c>
      <c r="AZ7" s="120">
        <v>10</v>
      </c>
      <c r="BA7" s="120">
        <v>15</v>
      </c>
      <c r="BB7" s="120">
        <v>20</v>
      </c>
      <c r="BC7" s="119">
        <v>30</v>
      </c>
      <c r="BD7" s="116">
        <f t="shared" ref="BD7:BM7" si="2">AT7</f>
        <v>0.25</v>
      </c>
      <c r="BE7" s="115">
        <f t="shared" si="2"/>
        <v>0.5</v>
      </c>
      <c r="BF7" s="115">
        <f t="shared" si="2"/>
        <v>1</v>
      </c>
      <c r="BG7" s="115">
        <f t="shared" si="2"/>
        <v>2</v>
      </c>
      <c r="BH7" s="115">
        <f t="shared" si="2"/>
        <v>3</v>
      </c>
      <c r="BI7" s="115">
        <f t="shared" si="2"/>
        <v>5</v>
      </c>
      <c r="BJ7" s="115">
        <f t="shared" si="2"/>
        <v>10</v>
      </c>
      <c r="BK7" s="115">
        <f t="shared" si="2"/>
        <v>15</v>
      </c>
      <c r="BL7" s="115">
        <f t="shared" si="2"/>
        <v>20</v>
      </c>
      <c r="BM7" s="114">
        <f t="shared" si="2"/>
        <v>30</v>
      </c>
      <c r="BQ7" s="118"/>
      <c r="BR7" s="110"/>
      <c r="BS7" s="115">
        <v>0.25</v>
      </c>
      <c r="BT7" s="115">
        <v>0.5</v>
      </c>
      <c r="BU7" s="115">
        <v>1</v>
      </c>
      <c r="BV7" s="115">
        <v>2</v>
      </c>
      <c r="BW7" s="115">
        <v>3</v>
      </c>
      <c r="BX7" s="115">
        <v>5</v>
      </c>
      <c r="BY7" s="115">
        <v>10</v>
      </c>
      <c r="BZ7" s="115">
        <v>15</v>
      </c>
      <c r="CA7" s="115">
        <v>20</v>
      </c>
      <c r="CB7" s="117">
        <v>30</v>
      </c>
      <c r="CC7" s="116">
        <f t="shared" ref="CC7:CL7" si="3">BS7</f>
        <v>0.25</v>
      </c>
      <c r="CD7" s="115">
        <f t="shared" si="3"/>
        <v>0.5</v>
      </c>
      <c r="CE7" s="115">
        <f t="shared" si="3"/>
        <v>1</v>
      </c>
      <c r="CF7" s="115">
        <f t="shared" si="3"/>
        <v>2</v>
      </c>
      <c r="CG7" s="115">
        <f t="shared" si="3"/>
        <v>3</v>
      </c>
      <c r="CH7" s="115">
        <f t="shared" si="3"/>
        <v>5</v>
      </c>
      <c r="CI7" s="115">
        <f t="shared" si="3"/>
        <v>10</v>
      </c>
      <c r="CJ7" s="115">
        <f t="shared" si="3"/>
        <v>15</v>
      </c>
      <c r="CK7" s="115">
        <f t="shared" si="3"/>
        <v>20</v>
      </c>
      <c r="CL7" s="114">
        <f t="shared" si="3"/>
        <v>30</v>
      </c>
      <c r="DB7" s="112">
        <v>0</v>
      </c>
      <c r="DC7" s="112">
        <v>0</v>
      </c>
      <c r="DD7" s="112">
        <v>0</v>
      </c>
      <c r="DE7" s="112">
        <v>2700000</v>
      </c>
      <c r="DF7" s="112">
        <v>30000</v>
      </c>
      <c r="DG7" s="112">
        <v>32000</v>
      </c>
      <c r="DH7" s="112">
        <v>36000</v>
      </c>
      <c r="DI7" s="112">
        <v>4000000</v>
      </c>
      <c r="DJ7" s="112">
        <v>0</v>
      </c>
      <c r="DK7" s="112">
        <v>0</v>
      </c>
    </row>
    <row r="8" spans="1:115" ht="16.5" customHeight="1" x14ac:dyDescent="0.3">
      <c r="A8" s="6"/>
      <c r="B8" s="6"/>
      <c r="C8" s="113"/>
      <c r="D8" s="113"/>
      <c r="E8" s="113"/>
      <c r="F8" s="113"/>
      <c r="G8" s="113"/>
      <c r="H8" s="113"/>
      <c r="I8" s="113"/>
      <c r="J8" s="113"/>
      <c r="K8" s="113"/>
      <c r="L8" s="113"/>
      <c r="P8" s="6" t="s">
        <v>142</v>
      </c>
      <c r="Q8" s="6">
        <v>0.64</v>
      </c>
      <c r="S8" s="259" t="s">
        <v>175</v>
      </c>
      <c r="T8" s="110">
        <v>0.25</v>
      </c>
      <c r="U8" s="107">
        <f t="shared" ref="U8:AD17" si="4">MAX(EXP(-3%*(ABS(U$7-$T8))/MIN(U$7,$T8)),40%)</f>
        <v>1</v>
      </c>
      <c r="V8" s="107">
        <f t="shared" si="4"/>
        <v>0.97044553354850815</v>
      </c>
      <c r="W8" s="107">
        <f t="shared" si="4"/>
        <v>0.91393118527122819</v>
      </c>
      <c r="X8" s="107">
        <f t="shared" si="4"/>
        <v>0.81058424597018708</v>
      </c>
      <c r="Y8" s="107">
        <f t="shared" si="4"/>
        <v>0.71892373343192617</v>
      </c>
      <c r="Z8" s="107">
        <f t="shared" si="4"/>
        <v>0.56552543869953709</v>
      </c>
      <c r="AA8" s="107">
        <f t="shared" si="4"/>
        <v>0.4</v>
      </c>
      <c r="AB8" s="107">
        <f t="shared" si="4"/>
        <v>0.4</v>
      </c>
      <c r="AC8" s="107">
        <f t="shared" si="4"/>
        <v>0.4</v>
      </c>
      <c r="AD8" s="111">
        <f t="shared" si="4"/>
        <v>0.4</v>
      </c>
      <c r="AE8" s="107">
        <f t="shared" ref="AE8:AE16" si="5">U18</f>
        <v>0.99900000000000011</v>
      </c>
      <c r="AF8" s="107">
        <f t="shared" ref="AF8:AF16" si="6">V18</f>
        <v>0.96947508801495974</v>
      </c>
      <c r="AG8" s="107">
        <f t="shared" ref="AG8:AG16" si="7">W18</f>
        <v>0.91301725408595702</v>
      </c>
      <c r="AH8" s="107">
        <f t="shared" ref="AH8:AH16" si="8">X18</f>
        <v>0.80977366172421694</v>
      </c>
      <c r="AI8" s="107">
        <f t="shared" ref="AI8:AI16" si="9">Y18</f>
        <v>0.71820480969849432</v>
      </c>
      <c r="AJ8" s="107">
        <f t="shared" ref="AJ8:AJ16" si="10">Z18</f>
        <v>0.56495991326083761</v>
      </c>
      <c r="AK8" s="107">
        <f t="shared" ref="AK8:AK16" si="11">AA18</f>
        <v>0.39960000000000007</v>
      </c>
      <c r="AL8" s="107">
        <f t="shared" ref="AL8:AL16" si="12">AB18</f>
        <v>0.39960000000000007</v>
      </c>
      <c r="AM8" s="107">
        <f t="shared" ref="AM8:AM16" si="13">AC18</f>
        <v>0.39960000000000007</v>
      </c>
      <c r="AN8" s="111">
        <f t="shared" ref="AN8:AN16" si="14">AD18</f>
        <v>0.39960000000000007</v>
      </c>
      <c r="AR8" s="259" t="s">
        <v>175</v>
      </c>
      <c r="AS8" s="110">
        <v>0.25</v>
      </c>
      <c r="AT8" s="107">
        <f t="shared" ref="AT8:AT27" si="15">MIN(U8*1.25,1)</f>
        <v>1</v>
      </c>
      <c r="AU8" s="107">
        <f t="shared" ref="AU8:AU27" si="16">MIN(V8*1.25,1)</f>
        <v>1</v>
      </c>
      <c r="AV8" s="107">
        <f t="shared" ref="AV8:AV27" si="17">MIN(W8*1.25,1)</f>
        <v>1</v>
      </c>
      <c r="AW8" s="107">
        <f t="shared" ref="AW8:AW27" si="18">MIN(X8*1.25,1)</f>
        <v>1</v>
      </c>
      <c r="AX8" s="107">
        <f t="shared" ref="AX8:AX27" si="19">MIN(Y8*1.25,1)</f>
        <v>0.89865466678990769</v>
      </c>
      <c r="AY8" s="107">
        <f t="shared" ref="AY8:AY27" si="20">MIN(Z8*1.25,1)</f>
        <v>0.70690679837442139</v>
      </c>
      <c r="AZ8" s="107">
        <f t="shared" ref="AZ8:AZ27" si="21">MIN(AA8*1.25,1)</f>
        <v>0.5</v>
      </c>
      <c r="BA8" s="107">
        <f t="shared" ref="BA8:BA27" si="22">MIN(AB8*1.25,1)</f>
        <v>0.5</v>
      </c>
      <c r="BB8" s="107">
        <f t="shared" ref="BB8:BB27" si="23">MIN(AC8*1.25,1)</f>
        <v>0.5</v>
      </c>
      <c r="BC8" s="106">
        <f t="shared" ref="BC8:BC27" si="24">MIN(AD8*1.25,1)</f>
        <v>0.5</v>
      </c>
      <c r="BD8" s="108">
        <f t="shared" ref="BD8:BD16" si="25">AT18</f>
        <v>1</v>
      </c>
      <c r="BE8" s="107">
        <f t="shared" ref="BE8:BE16" si="26">AU18</f>
        <v>1</v>
      </c>
      <c r="BF8" s="107">
        <f t="shared" ref="BF8:BF16" si="27">AV18</f>
        <v>1</v>
      </c>
      <c r="BG8" s="107">
        <f t="shared" ref="BG8:BG16" si="28">AW18</f>
        <v>1</v>
      </c>
      <c r="BH8" s="107">
        <f t="shared" ref="BH8:BH16" si="29">AX18</f>
        <v>0.89775601212311784</v>
      </c>
      <c r="BI8" s="107">
        <f t="shared" ref="BI8:BI16" si="30">AY18</f>
        <v>0.70619989157604701</v>
      </c>
      <c r="BJ8" s="107">
        <f t="shared" ref="BJ8:BJ16" si="31">AZ18</f>
        <v>0.49950000000000006</v>
      </c>
      <c r="BK8" s="107">
        <f t="shared" ref="BK8:BK16" si="32">BA18</f>
        <v>0.49950000000000006</v>
      </c>
      <c r="BL8" s="107">
        <f t="shared" ref="BL8:BL16" si="33">BB18</f>
        <v>0.49950000000000006</v>
      </c>
      <c r="BM8" s="111">
        <f t="shared" ref="BM8:BM16" si="34">BC18</f>
        <v>0.49950000000000006</v>
      </c>
      <c r="BQ8" s="255" t="s">
        <v>175</v>
      </c>
      <c r="BR8" s="109">
        <v>0.25</v>
      </c>
      <c r="BS8" s="108">
        <f t="shared" ref="BS8:BS17" si="35">IF(BS$7=$BR8,100%,U8*0.75)</f>
        <v>1</v>
      </c>
      <c r="BT8" s="107">
        <f t="shared" ref="BT8:BT17" si="36">IF(BT$7=$BR8,100%,V8*0.75)</f>
        <v>0.72783415016138109</v>
      </c>
      <c r="BU8" s="107">
        <f t="shared" ref="BU8:BU17" si="37">IF(BU$7=$BR8,100%,W8*0.75)</f>
        <v>0.68544838895342108</v>
      </c>
      <c r="BV8" s="107">
        <f t="shared" ref="BV8:BV17" si="38">IF(BV$7=$BR8,100%,X8*0.75)</f>
        <v>0.60793818447764036</v>
      </c>
      <c r="BW8" s="107">
        <f t="shared" ref="BW8:BW17" si="39">IF(BW$7=$BR8,100%,Y8*0.75)</f>
        <v>0.53919280007394466</v>
      </c>
      <c r="BX8" s="107">
        <f t="shared" ref="BX8:BX17" si="40">IF(BX$7=$BR8,100%,Z8*0.75)</f>
        <v>0.42414407902465279</v>
      </c>
      <c r="BY8" s="107">
        <f t="shared" ref="BY8:BY17" si="41">IF(BY$7=$BR8,100%,AA8*0.75)</f>
        <v>0.30000000000000004</v>
      </c>
      <c r="BZ8" s="107">
        <f t="shared" ref="BZ8:BZ17" si="42">IF(BZ$7=$BR8,100%,AB8*0.75)</f>
        <v>0.30000000000000004</v>
      </c>
      <c r="CA8" s="107">
        <f t="shared" ref="CA8:CA17" si="43">IF(CA$7=$BR8,100%,AC8*0.75)</f>
        <v>0.30000000000000004</v>
      </c>
      <c r="CB8" s="106">
        <f t="shared" ref="CB8:CB17" si="44">IF(CB$7=$BR8,100%,AD8*0.75)</f>
        <v>0.30000000000000004</v>
      </c>
      <c r="CC8" s="108">
        <f t="shared" ref="CC8:CC16" si="45">BS18</f>
        <v>0.74925000000000008</v>
      </c>
      <c r="CD8" s="107">
        <f t="shared" ref="CD8:CD16" si="46">BT18</f>
        <v>0.72710631601121978</v>
      </c>
      <c r="CE8" s="107">
        <f t="shared" ref="CE8:CE16" si="47">BU18</f>
        <v>0.68476294056446774</v>
      </c>
      <c r="CF8" s="107">
        <f t="shared" ref="CF8:CF16" si="48">BV18</f>
        <v>0.60733024629316268</v>
      </c>
      <c r="CG8" s="107">
        <f t="shared" ref="CG8:CG16" si="49">BW18</f>
        <v>0.53865360727387079</v>
      </c>
      <c r="CH8" s="107">
        <f t="shared" ref="CH8:CH16" si="50">BX18</f>
        <v>0.42371993494562821</v>
      </c>
      <c r="CI8" s="107">
        <f t="shared" ref="CI8:CI16" si="51">BY18</f>
        <v>0.29970000000000008</v>
      </c>
      <c r="CJ8" s="107">
        <f t="shared" ref="CJ8:CJ16" si="52">BZ18</f>
        <v>0.29970000000000008</v>
      </c>
      <c r="CK8" s="107">
        <f t="shared" ref="CK8:CK16" si="53">CA18</f>
        <v>0.29970000000000008</v>
      </c>
      <c r="CL8" s="111">
        <f t="shared" ref="CL8:CL16" si="54">CB18</f>
        <v>0.29970000000000008</v>
      </c>
      <c r="DB8" s="112">
        <v>0</v>
      </c>
      <c r="DC8" s="112">
        <v>0</v>
      </c>
      <c r="DD8" s="112">
        <v>0</v>
      </c>
      <c r="DE8" s="112">
        <v>0</v>
      </c>
      <c r="DF8" s="112">
        <v>0</v>
      </c>
      <c r="DG8" s="112">
        <v>0</v>
      </c>
      <c r="DH8" s="112">
        <v>0</v>
      </c>
      <c r="DI8" s="112">
        <v>0</v>
      </c>
      <c r="DJ8" s="112">
        <v>0</v>
      </c>
      <c r="DK8" s="112">
        <v>0</v>
      </c>
    </row>
    <row r="9" spans="1:115" x14ac:dyDescent="0.3">
      <c r="A9" s="6" t="s">
        <v>144</v>
      </c>
      <c r="B9" s="6" t="s">
        <v>173</v>
      </c>
      <c r="C9" s="113">
        <v>0</v>
      </c>
      <c r="D9" s="113">
        <v>4200</v>
      </c>
      <c r="E9" s="113">
        <v>1200</v>
      </c>
      <c r="F9" s="113">
        <v>1200</v>
      </c>
      <c r="G9" s="113">
        <v>120</v>
      </c>
      <c r="H9" s="113">
        <v>21000</v>
      </c>
      <c r="I9" s="113">
        <v>40000</v>
      </c>
      <c r="J9" s="113">
        <v>0</v>
      </c>
      <c r="K9" s="113">
        <v>0</v>
      </c>
      <c r="L9" s="113">
        <v>0</v>
      </c>
      <c r="S9" s="259"/>
      <c r="T9" s="96">
        <v>0.5</v>
      </c>
      <c r="U9" s="92">
        <f t="shared" si="4"/>
        <v>0.97044553354850815</v>
      </c>
      <c r="V9" s="92">
        <f t="shared" si="4"/>
        <v>1</v>
      </c>
      <c r="W9" s="92">
        <f t="shared" si="4"/>
        <v>0.97044553354850815</v>
      </c>
      <c r="X9" s="92">
        <f t="shared" si="4"/>
        <v>0.91393118527122819</v>
      </c>
      <c r="Y9" s="92">
        <f t="shared" si="4"/>
        <v>0.86070797642505781</v>
      </c>
      <c r="Z9" s="92">
        <f t="shared" si="4"/>
        <v>0.76337949433685315</v>
      </c>
      <c r="AA9" s="92">
        <f t="shared" si="4"/>
        <v>0.56552543869953709</v>
      </c>
      <c r="AB9" s="92">
        <f t="shared" si="4"/>
        <v>0.418951549247639</v>
      </c>
      <c r="AC9" s="92">
        <f t="shared" si="4"/>
        <v>0.4</v>
      </c>
      <c r="AD9" s="91">
        <f t="shared" si="4"/>
        <v>0.4</v>
      </c>
      <c r="AE9" s="92">
        <f t="shared" si="5"/>
        <v>0.96947508801495974</v>
      </c>
      <c r="AF9" s="92">
        <f t="shared" si="6"/>
        <v>0.99900000000000011</v>
      </c>
      <c r="AG9" s="92">
        <f t="shared" si="7"/>
        <v>0.96947508801495974</v>
      </c>
      <c r="AH9" s="92">
        <f t="shared" si="8"/>
        <v>0.91301725408595702</v>
      </c>
      <c r="AI9" s="92">
        <f t="shared" si="9"/>
        <v>0.8598472684486328</v>
      </c>
      <c r="AJ9" s="92">
        <f t="shared" si="10"/>
        <v>0.76261611484251635</v>
      </c>
      <c r="AK9" s="92">
        <f t="shared" si="11"/>
        <v>0.56495991326083761</v>
      </c>
      <c r="AL9" s="92">
        <f t="shared" si="12"/>
        <v>0.41853259769839141</v>
      </c>
      <c r="AM9" s="92">
        <f t="shared" si="13"/>
        <v>0.39960000000000007</v>
      </c>
      <c r="AN9" s="91">
        <f t="shared" si="14"/>
        <v>0.39960000000000007</v>
      </c>
      <c r="AR9" s="259"/>
      <c r="AS9" s="96">
        <v>0.5</v>
      </c>
      <c r="AT9" s="92">
        <f t="shared" si="15"/>
        <v>1</v>
      </c>
      <c r="AU9" s="92">
        <f t="shared" si="16"/>
        <v>1</v>
      </c>
      <c r="AV9" s="92">
        <f t="shared" si="17"/>
        <v>1</v>
      </c>
      <c r="AW9" s="92">
        <f t="shared" si="18"/>
        <v>1</v>
      </c>
      <c r="AX9" s="92">
        <f t="shared" si="19"/>
        <v>1</v>
      </c>
      <c r="AY9" s="92">
        <f t="shared" si="20"/>
        <v>0.95422436792106646</v>
      </c>
      <c r="AZ9" s="92">
        <f t="shared" si="21"/>
        <v>0.70690679837442139</v>
      </c>
      <c r="BA9" s="92">
        <f t="shared" si="22"/>
        <v>0.5236894365595488</v>
      </c>
      <c r="BB9" s="92">
        <f t="shared" si="23"/>
        <v>0.5</v>
      </c>
      <c r="BC9" s="94">
        <f t="shared" si="24"/>
        <v>0.5</v>
      </c>
      <c r="BD9" s="93">
        <f t="shared" si="25"/>
        <v>1</v>
      </c>
      <c r="BE9" s="92">
        <f t="shared" si="26"/>
        <v>1</v>
      </c>
      <c r="BF9" s="92">
        <f t="shared" si="27"/>
        <v>1</v>
      </c>
      <c r="BG9" s="92">
        <f t="shared" si="28"/>
        <v>1</v>
      </c>
      <c r="BH9" s="92">
        <f t="shared" si="29"/>
        <v>1</v>
      </c>
      <c r="BI9" s="92">
        <f t="shared" si="30"/>
        <v>0.95327014355314543</v>
      </c>
      <c r="BJ9" s="92">
        <f t="shared" si="31"/>
        <v>0.70619989157604701</v>
      </c>
      <c r="BK9" s="92">
        <f t="shared" si="32"/>
        <v>0.52316574712298924</v>
      </c>
      <c r="BL9" s="92">
        <f t="shared" si="33"/>
        <v>0.49950000000000006</v>
      </c>
      <c r="BM9" s="91">
        <f t="shared" si="34"/>
        <v>0.49950000000000006</v>
      </c>
      <c r="BQ9" s="255"/>
      <c r="BR9" s="95">
        <v>0.5</v>
      </c>
      <c r="BS9" s="93">
        <f t="shared" si="35"/>
        <v>0.72783415016138109</v>
      </c>
      <c r="BT9" s="92">
        <f t="shared" si="36"/>
        <v>1</v>
      </c>
      <c r="BU9" s="92">
        <f t="shared" si="37"/>
        <v>0.72783415016138109</v>
      </c>
      <c r="BV9" s="92">
        <f t="shared" si="38"/>
        <v>0.68544838895342108</v>
      </c>
      <c r="BW9" s="92">
        <f t="shared" si="39"/>
        <v>0.64553098231879336</v>
      </c>
      <c r="BX9" s="92">
        <f t="shared" si="40"/>
        <v>0.57253462075263983</v>
      </c>
      <c r="BY9" s="92">
        <f t="shared" si="41"/>
        <v>0.42414407902465279</v>
      </c>
      <c r="BZ9" s="92">
        <f t="shared" si="42"/>
        <v>0.31421366193572925</v>
      </c>
      <c r="CA9" s="92">
        <f t="shared" si="43"/>
        <v>0.30000000000000004</v>
      </c>
      <c r="CB9" s="94">
        <f t="shared" si="44"/>
        <v>0.30000000000000004</v>
      </c>
      <c r="CC9" s="93">
        <f t="shared" si="45"/>
        <v>0.72710631601121978</v>
      </c>
      <c r="CD9" s="92">
        <f t="shared" si="46"/>
        <v>0.74925000000000008</v>
      </c>
      <c r="CE9" s="92">
        <f t="shared" si="47"/>
        <v>0.72710631601121978</v>
      </c>
      <c r="CF9" s="92">
        <f t="shared" si="48"/>
        <v>0.68476294056446774</v>
      </c>
      <c r="CG9" s="92">
        <f t="shared" si="49"/>
        <v>0.64488545133647457</v>
      </c>
      <c r="CH9" s="92">
        <f t="shared" si="50"/>
        <v>0.57196208613188726</v>
      </c>
      <c r="CI9" s="92">
        <f t="shared" si="51"/>
        <v>0.42371993494562821</v>
      </c>
      <c r="CJ9" s="92">
        <f t="shared" si="52"/>
        <v>0.31389944827379357</v>
      </c>
      <c r="CK9" s="92">
        <f t="shared" si="53"/>
        <v>0.29970000000000008</v>
      </c>
      <c r="CL9" s="91">
        <f t="shared" si="54"/>
        <v>0.29970000000000008</v>
      </c>
      <c r="DB9" s="112">
        <v>0</v>
      </c>
      <c r="DC9" s="112">
        <v>420000</v>
      </c>
      <c r="DD9" s="112">
        <v>120000</v>
      </c>
      <c r="DE9" s="112">
        <v>120000</v>
      </c>
      <c r="DF9" s="112">
        <v>12000</v>
      </c>
      <c r="DG9" s="112">
        <v>2100000</v>
      </c>
      <c r="DH9" s="112">
        <v>4000000</v>
      </c>
      <c r="DI9" s="112">
        <v>0</v>
      </c>
      <c r="DJ9" s="112">
        <v>0</v>
      </c>
      <c r="DK9" s="112">
        <v>0</v>
      </c>
    </row>
    <row r="10" spans="1:115" x14ac:dyDescent="0.3">
      <c r="A10" s="6"/>
      <c r="B10" s="6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S10" s="259"/>
      <c r="T10" s="96">
        <v>1</v>
      </c>
      <c r="U10" s="92">
        <f t="shared" si="4"/>
        <v>0.91393118527122819</v>
      </c>
      <c r="V10" s="92">
        <f t="shared" si="4"/>
        <v>0.97044553354850815</v>
      </c>
      <c r="W10" s="92">
        <f t="shared" si="4"/>
        <v>1</v>
      </c>
      <c r="X10" s="92">
        <f t="shared" si="4"/>
        <v>0.97044553354850815</v>
      </c>
      <c r="Y10" s="92">
        <f t="shared" si="4"/>
        <v>0.94176453358424872</v>
      </c>
      <c r="Z10" s="92">
        <f t="shared" si="4"/>
        <v>0.88692043671715748</v>
      </c>
      <c r="AA10" s="92">
        <f t="shared" si="4"/>
        <v>0.76337949433685315</v>
      </c>
      <c r="AB10" s="92">
        <f t="shared" si="4"/>
        <v>0.65704681981505675</v>
      </c>
      <c r="AC10" s="92">
        <f t="shared" si="4"/>
        <v>0.56552543869953709</v>
      </c>
      <c r="AD10" s="91">
        <f t="shared" si="4"/>
        <v>0.418951549247639</v>
      </c>
      <c r="AE10" s="92">
        <f t="shared" si="5"/>
        <v>0.91301725408595702</v>
      </c>
      <c r="AF10" s="92">
        <f t="shared" si="6"/>
        <v>0.96947508801495974</v>
      </c>
      <c r="AG10" s="92">
        <f t="shared" si="7"/>
        <v>0.99900000000000011</v>
      </c>
      <c r="AH10" s="92">
        <f t="shared" si="8"/>
        <v>0.96947508801495974</v>
      </c>
      <c r="AI10" s="92">
        <f t="shared" si="9"/>
        <v>0.94082276905066453</v>
      </c>
      <c r="AJ10" s="92">
        <f t="shared" si="10"/>
        <v>0.88603351628044047</v>
      </c>
      <c r="AK10" s="92">
        <f t="shared" si="11"/>
        <v>0.76261611484251635</v>
      </c>
      <c r="AL10" s="92">
        <f t="shared" si="12"/>
        <v>0.65638977299524182</v>
      </c>
      <c r="AM10" s="92">
        <f t="shared" si="13"/>
        <v>0.56495991326083761</v>
      </c>
      <c r="AN10" s="91">
        <f t="shared" si="14"/>
        <v>0.41853259769839141</v>
      </c>
      <c r="AR10" s="259"/>
      <c r="AS10" s="96">
        <v>1</v>
      </c>
      <c r="AT10" s="92">
        <f t="shared" si="15"/>
        <v>1</v>
      </c>
      <c r="AU10" s="92">
        <f t="shared" si="16"/>
        <v>1</v>
      </c>
      <c r="AV10" s="92">
        <f t="shared" si="17"/>
        <v>1</v>
      </c>
      <c r="AW10" s="92">
        <f t="shared" si="18"/>
        <v>1</v>
      </c>
      <c r="AX10" s="92">
        <f t="shared" si="19"/>
        <v>1</v>
      </c>
      <c r="AY10" s="92">
        <f t="shared" si="20"/>
        <v>1</v>
      </c>
      <c r="AZ10" s="92">
        <f t="shared" si="21"/>
        <v>0.95422436792106646</v>
      </c>
      <c r="BA10" s="92">
        <f t="shared" si="22"/>
        <v>0.82130852476882099</v>
      </c>
      <c r="BB10" s="92">
        <f t="shared" si="23"/>
        <v>0.70690679837442139</v>
      </c>
      <c r="BC10" s="94">
        <f t="shared" si="24"/>
        <v>0.5236894365595488</v>
      </c>
      <c r="BD10" s="93">
        <f t="shared" si="25"/>
        <v>1</v>
      </c>
      <c r="BE10" s="92">
        <f t="shared" si="26"/>
        <v>1</v>
      </c>
      <c r="BF10" s="92">
        <f t="shared" si="27"/>
        <v>1</v>
      </c>
      <c r="BG10" s="92">
        <f t="shared" si="28"/>
        <v>1</v>
      </c>
      <c r="BH10" s="92">
        <f t="shared" si="29"/>
        <v>1</v>
      </c>
      <c r="BI10" s="92">
        <f t="shared" si="30"/>
        <v>1</v>
      </c>
      <c r="BJ10" s="92">
        <f t="shared" si="31"/>
        <v>0.95327014355314543</v>
      </c>
      <c r="BK10" s="92">
        <f t="shared" si="32"/>
        <v>0.8204872162440523</v>
      </c>
      <c r="BL10" s="92">
        <f t="shared" si="33"/>
        <v>0.70619989157604701</v>
      </c>
      <c r="BM10" s="91">
        <f t="shared" si="34"/>
        <v>0.52316574712298924</v>
      </c>
      <c r="BQ10" s="255"/>
      <c r="BR10" s="95">
        <v>1</v>
      </c>
      <c r="BS10" s="93">
        <f t="shared" si="35"/>
        <v>0.68544838895342108</v>
      </c>
      <c r="BT10" s="92">
        <f t="shared" si="36"/>
        <v>0.72783415016138109</v>
      </c>
      <c r="BU10" s="92">
        <f t="shared" si="37"/>
        <v>1</v>
      </c>
      <c r="BV10" s="92">
        <f t="shared" si="38"/>
        <v>0.72783415016138109</v>
      </c>
      <c r="BW10" s="92">
        <f t="shared" si="39"/>
        <v>0.70632340018818651</v>
      </c>
      <c r="BX10" s="92">
        <f t="shared" si="40"/>
        <v>0.66519032753786811</v>
      </c>
      <c r="BY10" s="92">
        <f t="shared" si="41"/>
        <v>0.57253462075263983</v>
      </c>
      <c r="BZ10" s="92">
        <f t="shared" si="42"/>
        <v>0.49278511486129256</v>
      </c>
      <c r="CA10" s="92">
        <f t="shared" si="43"/>
        <v>0.42414407902465279</v>
      </c>
      <c r="CB10" s="94">
        <f t="shared" si="44"/>
        <v>0.31421366193572925</v>
      </c>
      <c r="CC10" s="93">
        <f t="shared" si="45"/>
        <v>0.68476294056446774</v>
      </c>
      <c r="CD10" s="92">
        <f t="shared" si="46"/>
        <v>0.72710631601121978</v>
      </c>
      <c r="CE10" s="92">
        <f t="shared" si="47"/>
        <v>0.74925000000000008</v>
      </c>
      <c r="CF10" s="92">
        <f t="shared" si="48"/>
        <v>0.72710631601121978</v>
      </c>
      <c r="CG10" s="92">
        <f t="shared" si="49"/>
        <v>0.70561707678799834</v>
      </c>
      <c r="CH10" s="92">
        <f t="shared" si="50"/>
        <v>0.66452513721033035</v>
      </c>
      <c r="CI10" s="92">
        <f t="shared" si="51"/>
        <v>0.57196208613188726</v>
      </c>
      <c r="CJ10" s="92">
        <f t="shared" si="52"/>
        <v>0.49229232974643133</v>
      </c>
      <c r="CK10" s="92">
        <f t="shared" si="53"/>
        <v>0.42371993494562821</v>
      </c>
      <c r="CL10" s="91">
        <f t="shared" si="54"/>
        <v>0.31389944827379357</v>
      </c>
      <c r="DB10" s="112">
        <v>0</v>
      </c>
      <c r="DC10" s="112">
        <v>0</v>
      </c>
      <c r="DD10" s="112">
        <v>0</v>
      </c>
      <c r="DE10" s="112">
        <v>0</v>
      </c>
      <c r="DF10" s="112">
        <v>0</v>
      </c>
      <c r="DG10" s="112">
        <v>0</v>
      </c>
      <c r="DH10" s="112">
        <v>0</v>
      </c>
      <c r="DI10" s="112">
        <v>0</v>
      </c>
      <c r="DJ10" s="112">
        <v>0</v>
      </c>
      <c r="DK10" s="112">
        <v>0</v>
      </c>
    </row>
    <row r="11" spans="1:115" x14ac:dyDescent="0.3">
      <c r="A11" s="6" t="s">
        <v>142</v>
      </c>
      <c r="B11" s="6" t="s">
        <v>171</v>
      </c>
      <c r="C11" s="113">
        <v>0</v>
      </c>
      <c r="D11" s="113">
        <v>49000</v>
      </c>
      <c r="E11" s="113">
        <v>12000</v>
      </c>
      <c r="F11" s="113">
        <v>150</v>
      </c>
      <c r="G11" s="113">
        <v>140</v>
      </c>
      <c r="H11" s="113">
        <v>160</v>
      </c>
      <c r="I11" s="113">
        <v>3200</v>
      </c>
      <c r="J11" s="113">
        <v>41000</v>
      </c>
      <c r="K11" s="113">
        <v>21000</v>
      </c>
      <c r="L11" s="113">
        <v>0</v>
      </c>
      <c r="S11" s="259"/>
      <c r="T11" s="96">
        <v>2</v>
      </c>
      <c r="U11" s="92">
        <f t="shared" si="4"/>
        <v>0.81058424597018708</v>
      </c>
      <c r="V11" s="92">
        <f t="shared" si="4"/>
        <v>0.91393118527122819</v>
      </c>
      <c r="W11" s="92">
        <f t="shared" si="4"/>
        <v>0.97044553354850815</v>
      </c>
      <c r="X11" s="92">
        <f t="shared" si="4"/>
        <v>1</v>
      </c>
      <c r="Y11" s="92">
        <f t="shared" si="4"/>
        <v>0.98511193960306265</v>
      </c>
      <c r="Z11" s="92">
        <f t="shared" si="4"/>
        <v>0.95599748183309996</v>
      </c>
      <c r="AA11" s="92">
        <f t="shared" si="4"/>
        <v>0.88692043671715748</v>
      </c>
      <c r="AB11" s="92">
        <f t="shared" si="4"/>
        <v>0.82283465805601841</v>
      </c>
      <c r="AC11" s="92">
        <f t="shared" si="4"/>
        <v>0.76337949433685315</v>
      </c>
      <c r="AD11" s="91">
        <f t="shared" si="4"/>
        <v>0.65704681981505675</v>
      </c>
      <c r="AE11" s="92">
        <f t="shared" si="5"/>
        <v>0.80977366172421694</v>
      </c>
      <c r="AF11" s="92">
        <f t="shared" si="6"/>
        <v>0.91301725408595702</v>
      </c>
      <c r="AG11" s="92">
        <f t="shared" si="7"/>
        <v>0.96947508801495974</v>
      </c>
      <c r="AH11" s="92">
        <f t="shared" si="8"/>
        <v>0.99900000000000011</v>
      </c>
      <c r="AI11" s="92">
        <f t="shared" si="9"/>
        <v>0.98412682766345971</v>
      </c>
      <c r="AJ11" s="92">
        <f t="shared" si="10"/>
        <v>0.95504148435126701</v>
      </c>
      <c r="AK11" s="92">
        <f t="shared" si="11"/>
        <v>0.88603351628044047</v>
      </c>
      <c r="AL11" s="92">
        <f t="shared" si="12"/>
        <v>0.82201182339796253</v>
      </c>
      <c r="AM11" s="92">
        <f t="shared" si="13"/>
        <v>0.76261611484251635</v>
      </c>
      <c r="AN11" s="91">
        <f t="shared" si="14"/>
        <v>0.65638977299524182</v>
      </c>
      <c r="AR11" s="259"/>
      <c r="AS11" s="96">
        <v>2</v>
      </c>
      <c r="AT11" s="92">
        <f t="shared" si="15"/>
        <v>1</v>
      </c>
      <c r="AU11" s="92">
        <f t="shared" si="16"/>
        <v>1</v>
      </c>
      <c r="AV11" s="92">
        <f t="shared" si="17"/>
        <v>1</v>
      </c>
      <c r="AW11" s="92">
        <f t="shared" si="18"/>
        <v>1</v>
      </c>
      <c r="AX11" s="92">
        <f t="shared" si="19"/>
        <v>1</v>
      </c>
      <c r="AY11" s="92">
        <f t="shared" si="20"/>
        <v>1</v>
      </c>
      <c r="AZ11" s="92">
        <f t="shared" si="21"/>
        <v>1</v>
      </c>
      <c r="BA11" s="92">
        <f t="shared" si="22"/>
        <v>1</v>
      </c>
      <c r="BB11" s="92">
        <f t="shared" si="23"/>
        <v>0.95422436792106646</v>
      </c>
      <c r="BC11" s="94">
        <f t="shared" si="24"/>
        <v>0.82130852476882099</v>
      </c>
      <c r="BD11" s="93">
        <f t="shared" si="25"/>
        <v>1</v>
      </c>
      <c r="BE11" s="92">
        <f t="shared" si="26"/>
        <v>1</v>
      </c>
      <c r="BF11" s="92">
        <f t="shared" si="27"/>
        <v>1</v>
      </c>
      <c r="BG11" s="92">
        <f t="shared" si="28"/>
        <v>1</v>
      </c>
      <c r="BH11" s="92">
        <f t="shared" si="29"/>
        <v>1</v>
      </c>
      <c r="BI11" s="92">
        <f t="shared" si="30"/>
        <v>1</v>
      </c>
      <c r="BJ11" s="92">
        <f t="shared" si="31"/>
        <v>1</v>
      </c>
      <c r="BK11" s="92">
        <f t="shared" si="32"/>
        <v>1</v>
      </c>
      <c r="BL11" s="92">
        <f t="shared" si="33"/>
        <v>0.95327014355314543</v>
      </c>
      <c r="BM11" s="91">
        <f t="shared" si="34"/>
        <v>0.8204872162440523</v>
      </c>
      <c r="BQ11" s="255"/>
      <c r="BR11" s="95">
        <v>2</v>
      </c>
      <c r="BS11" s="93">
        <f t="shared" si="35"/>
        <v>0.60793818447764036</v>
      </c>
      <c r="BT11" s="92">
        <f t="shared" si="36"/>
        <v>0.68544838895342108</v>
      </c>
      <c r="BU11" s="92">
        <f t="shared" si="37"/>
        <v>0.72783415016138109</v>
      </c>
      <c r="BV11" s="92">
        <f t="shared" si="38"/>
        <v>1</v>
      </c>
      <c r="BW11" s="92">
        <f t="shared" si="39"/>
        <v>0.73883395470229696</v>
      </c>
      <c r="BX11" s="92">
        <f t="shared" si="40"/>
        <v>0.71699811137482494</v>
      </c>
      <c r="BY11" s="92">
        <f t="shared" si="41"/>
        <v>0.66519032753786811</v>
      </c>
      <c r="BZ11" s="92">
        <f t="shared" si="42"/>
        <v>0.61712599354201381</v>
      </c>
      <c r="CA11" s="92">
        <f t="shared" si="43"/>
        <v>0.57253462075263983</v>
      </c>
      <c r="CB11" s="94">
        <f t="shared" si="44"/>
        <v>0.49278511486129256</v>
      </c>
      <c r="CC11" s="93">
        <f t="shared" si="45"/>
        <v>0.60733024629316268</v>
      </c>
      <c r="CD11" s="92">
        <f t="shared" si="46"/>
        <v>0.68476294056446774</v>
      </c>
      <c r="CE11" s="92">
        <f t="shared" si="47"/>
        <v>0.72710631601121978</v>
      </c>
      <c r="CF11" s="92">
        <f t="shared" si="48"/>
        <v>0.74925000000000008</v>
      </c>
      <c r="CG11" s="92">
        <f t="shared" si="49"/>
        <v>0.73809512074759476</v>
      </c>
      <c r="CH11" s="92">
        <f t="shared" si="50"/>
        <v>0.71628111326345023</v>
      </c>
      <c r="CI11" s="92">
        <f t="shared" si="51"/>
        <v>0.66452513721033035</v>
      </c>
      <c r="CJ11" s="92">
        <f t="shared" si="52"/>
        <v>0.61650886754847189</v>
      </c>
      <c r="CK11" s="92">
        <f t="shared" si="53"/>
        <v>0.57196208613188726</v>
      </c>
      <c r="CL11" s="91">
        <f t="shared" si="54"/>
        <v>0.49229232974643133</v>
      </c>
      <c r="DB11" s="112">
        <v>0</v>
      </c>
      <c r="DC11" s="112">
        <v>4900000</v>
      </c>
      <c r="DD11" s="112">
        <v>1200000</v>
      </c>
      <c r="DE11" s="112">
        <v>15000</v>
      </c>
      <c r="DF11" s="112">
        <v>14000</v>
      </c>
      <c r="DG11" s="112">
        <v>16000</v>
      </c>
      <c r="DH11" s="112">
        <v>320000</v>
      </c>
      <c r="DI11" s="112">
        <v>4100000</v>
      </c>
      <c r="DJ11" s="112">
        <v>2100000</v>
      </c>
      <c r="DK11" s="112">
        <v>0</v>
      </c>
    </row>
    <row r="12" spans="1:115" x14ac:dyDescent="0.3">
      <c r="S12" s="259"/>
      <c r="T12" s="96">
        <v>3</v>
      </c>
      <c r="U12" s="92">
        <f t="shared" si="4"/>
        <v>0.71892373343192617</v>
      </c>
      <c r="V12" s="92">
        <f t="shared" si="4"/>
        <v>0.86070797642505781</v>
      </c>
      <c r="W12" s="92">
        <f t="shared" si="4"/>
        <v>0.94176453358424872</v>
      </c>
      <c r="X12" s="92">
        <f t="shared" si="4"/>
        <v>0.98511193960306265</v>
      </c>
      <c r="Y12" s="92">
        <f t="shared" si="4"/>
        <v>1</v>
      </c>
      <c r="Z12" s="92">
        <f t="shared" si="4"/>
        <v>0.98019867330675525</v>
      </c>
      <c r="AA12" s="92">
        <f t="shared" si="4"/>
        <v>0.93239381990594827</v>
      </c>
      <c r="AB12" s="92">
        <f t="shared" si="4"/>
        <v>0.88692043671715748</v>
      </c>
      <c r="AC12" s="92">
        <f t="shared" si="4"/>
        <v>0.8436648165963837</v>
      </c>
      <c r="AD12" s="91">
        <f t="shared" si="4"/>
        <v>0.76337949433685326</v>
      </c>
      <c r="AE12" s="92">
        <f t="shared" si="5"/>
        <v>0.71820480969849432</v>
      </c>
      <c r="AF12" s="92">
        <f t="shared" si="6"/>
        <v>0.8598472684486328</v>
      </c>
      <c r="AG12" s="92">
        <f t="shared" si="7"/>
        <v>0.94082276905066453</v>
      </c>
      <c r="AH12" s="92">
        <f t="shared" si="8"/>
        <v>0.98412682766345971</v>
      </c>
      <c r="AI12" s="92">
        <f t="shared" si="9"/>
        <v>0.99900000000000011</v>
      </c>
      <c r="AJ12" s="92">
        <f t="shared" si="10"/>
        <v>0.97921847463344858</v>
      </c>
      <c r="AK12" s="92">
        <f t="shared" si="11"/>
        <v>0.93146142608604243</v>
      </c>
      <c r="AL12" s="92">
        <f t="shared" si="12"/>
        <v>0.88603351628044047</v>
      </c>
      <c r="AM12" s="92">
        <f t="shared" si="13"/>
        <v>0.84282115177978745</v>
      </c>
      <c r="AN12" s="91">
        <f t="shared" si="14"/>
        <v>0.76261611484251646</v>
      </c>
      <c r="AR12" s="259"/>
      <c r="AS12" s="96">
        <v>3</v>
      </c>
      <c r="AT12" s="92">
        <f t="shared" si="15"/>
        <v>0.89865466678990769</v>
      </c>
      <c r="AU12" s="92">
        <f t="shared" si="16"/>
        <v>1</v>
      </c>
      <c r="AV12" s="92">
        <f t="shared" si="17"/>
        <v>1</v>
      </c>
      <c r="AW12" s="92">
        <f t="shared" si="18"/>
        <v>1</v>
      </c>
      <c r="AX12" s="92">
        <f t="shared" si="19"/>
        <v>1</v>
      </c>
      <c r="AY12" s="92">
        <f t="shared" si="20"/>
        <v>1</v>
      </c>
      <c r="AZ12" s="92">
        <f t="shared" si="21"/>
        <v>1</v>
      </c>
      <c r="BA12" s="92">
        <f t="shared" si="22"/>
        <v>1</v>
      </c>
      <c r="BB12" s="92">
        <f t="shared" si="23"/>
        <v>1</v>
      </c>
      <c r="BC12" s="94">
        <f t="shared" si="24"/>
        <v>0.95422436792106657</v>
      </c>
      <c r="BD12" s="93">
        <f t="shared" si="25"/>
        <v>0.89775601212311784</v>
      </c>
      <c r="BE12" s="92">
        <f t="shared" si="26"/>
        <v>1</v>
      </c>
      <c r="BF12" s="92">
        <f t="shared" si="27"/>
        <v>1</v>
      </c>
      <c r="BG12" s="92">
        <f t="shared" si="28"/>
        <v>1</v>
      </c>
      <c r="BH12" s="92">
        <f t="shared" si="29"/>
        <v>1</v>
      </c>
      <c r="BI12" s="92">
        <f t="shared" si="30"/>
        <v>1</v>
      </c>
      <c r="BJ12" s="92">
        <f t="shared" si="31"/>
        <v>1</v>
      </c>
      <c r="BK12" s="92">
        <f t="shared" si="32"/>
        <v>1</v>
      </c>
      <c r="BL12" s="92">
        <f t="shared" si="33"/>
        <v>1</v>
      </c>
      <c r="BM12" s="91">
        <f t="shared" si="34"/>
        <v>0.95327014355314554</v>
      </c>
      <c r="BQ12" s="255"/>
      <c r="BR12" s="95">
        <v>3</v>
      </c>
      <c r="BS12" s="93">
        <f t="shared" si="35"/>
        <v>0.53919280007394466</v>
      </c>
      <c r="BT12" s="92">
        <f t="shared" si="36"/>
        <v>0.64553098231879336</v>
      </c>
      <c r="BU12" s="92">
        <f t="shared" si="37"/>
        <v>0.70632340018818651</v>
      </c>
      <c r="BV12" s="92">
        <f t="shared" si="38"/>
        <v>0.73883395470229696</v>
      </c>
      <c r="BW12" s="92">
        <f t="shared" si="39"/>
        <v>1</v>
      </c>
      <c r="BX12" s="92">
        <f t="shared" si="40"/>
        <v>0.73514900498006641</v>
      </c>
      <c r="BY12" s="92">
        <f t="shared" si="41"/>
        <v>0.69929536492946121</v>
      </c>
      <c r="BZ12" s="92">
        <f t="shared" si="42"/>
        <v>0.66519032753786811</v>
      </c>
      <c r="CA12" s="92">
        <f t="shared" si="43"/>
        <v>0.63274861244728775</v>
      </c>
      <c r="CB12" s="94">
        <f t="shared" si="44"/>
        <v>0.57253462075263994</v>
      </c>
      <c r="CC12" s="93">
        <f t="shared" si="45"/>
        <v>0.53865360727387079</v>
      </c>
      <c r="CD12" s="92">
        <f t="shared" si="46"/>
        <v>0.64488545133647457</v>
      </c>
      <c r="CE12" s="92">
        <f t="shared" si="47"/>
        <v>0.70561707678799834</v>
      </c>
      <c r="CF12" s="92">
        <f t="shared" si="48"/>
        <v>0.73809512074759476</v>
      </c>
      <c r="CG12" s="92">
        <f t="shared" si="49"/>
        <v>0.74925000000000008</v>
      </c>
      <c r="CH12" s="92">
        <f t="shared" si="50"/>
        <v>0.73441385597508646</v>
      </c>
      <c r="CI12" s="92">
        <f t="shared" si="51"/>
        <v>0.6985960695645318</v>
      </c>
      <c r="CJ12" s="92">
        <f t="shared" si="52"/>
        <v>0.66452513721033035</v>
      </c>
      <c r="CK12" s="92">
        <f t="shared" si="53"/>
        <v>0.63211586383484053</v>
      </c>
      <c r="CL12" s="91">
        <f t="shared" si="54"/>
        <v>0.57196208613188737</v>
      </c>
      <c r="DB12" s="112"/>
      <c r="DC12" s="112"/>
      <c r="DD12" s="112"/>
      <c r="DE12" s="112"/>
      <c r="DF12" s="112"/>
      <c r="DG12" s="112"/>
      <c r="DH12" s="112"/>
      <c r="DI12" s="112"/>
      <c r="DJ12" s="112"/>
      <c r="DK12" s="112"/>
    </row>
    <row r="13" spans="1:115" x14ac:dyDescent="0.3">
      <c r="S13" s="259"/>
      <c r="T13" s="96">
        <v>5</v>
      </c>
      <c r="U13" s="92">
        <f t="shared" si="4"/>
        <v>0.56552543869953709</v>
      </c>
      <c r="V13" s="92">
        <f t="shared" si="4"/>
        <v>0.76337949433685315</v>
      </c>
      <c r="W13" s="92">
        <f t="shared" si="4"/>
        <v>0.88692043671715748</v>
      </c>
      <c r="X13" s="92">
        <f t="shared" si="4"/>
        <v>0.95599748183309996</v>
      </c>
      <c r="Y13" s="92">
        <f t="shared" si="4"/>
        <v>0.98019867330675525</v>
      </c>
      <c r="Z13" s="92">
        <f t="shared" si="4"/>
        <v>1</v>
      </c>
      <c r="AA13" s="92">
        <f t="shared" si="4"/>
        <v>0.97044553354850815</v>
      </c>
      <c r="AB13" s="92">
        <f t="shared" si="4"/>
        <v>0.94176453358424872</v>
      </c>
      <c r="AC13" s="92">
        <f t="shared" si="4"/>
        <v>0.91393118527122819</v>
      </c>
      <c r="AD13" s="91">
        <f t="shared" si="4"/>
        <v>0.86070797642505781</v>
      </c>
      <c r="AE13" s="92">
        <f t="shared" si="5"/>
        <v>0.56495991326083761</v>
      </c>
      <c r="AF13" s="92">
        <f t="shared" si="6"/>
        <v>0.76261611484251635</v>
      </c>
      <c r="AG13" s="92">
        <f t="shared" si="7"/>
        <v>0.88603351628044047</v>
      </c>
      <c r="AH13" s="92">
        <f t="shared" si="8"/>
        <v>0.95504148435126701</v>
      </c>
      <c r="AI13" s="92">
        <f t="shared" si="9"/>
        <v>0.97921847463344858</v>
      </c>
      <c r="AJ13" s="92">
        <f t="shared" si="10"/>
        <v>0.99900000000000011</v>
      </c>
      <c r="AK13" s="92">
        <f t="shared" si="11"/>
        <v>0.96947508801495974</v>
      </c>
      <c r="AL13" s="92">
        <f t="shared" si="12"/>
        <v>0.94082276905066453</v>
      </c>
      <c r="AM13" s="92">
        <f t="shared" si="13"/>
        <v>0.91301725408595702</v>
      </c>
      <c r="AN13" s="91">
        <f t="shared" si="14"/>
        <v>0.8598472684486328</v>
      </c>
      <c r="AR13" s="259"/>
      <c r="AS13" s="96">
        <v>5</v>
      </c>
      <c r="AT13" s="92">
        <f t="shared" si="15"/>
        <v>0.70690679837442139</v>
      </c>
      <c r="AU13" s="92">
        <f t="shared" si="16"/>
        <v>0.95422436792106646</v>
      </c>
      <c r="AV13" s="92">
        <f t="shared" si="17"/>
        <v>1</v>
      </c>
      <c r="AW13" s="92">
        <f t="shared" si="18"/>
        <v>1</v>
      </c>
      <c r="AX13" s="92">
        <f t="shared" si="19"/>
        <v>1</v>
      </c>
      <c r="AY13" s="92">
        <f t="shared" si="20"/>
        <v>1</v>
      </c>
      <c r="AZ13" s="92">
        <f t="shared" si="21"/>
        <v>1</v>
      </c>
      <c r="BA13" s="92">
        <f t="shared" si="22"/>
        <v>1</v>
      </c>
      <c r="BB13" s="92">
        <f t="shared" si="23"/>
        <v>1</v>
      </c>
      <c r="BC13" s="94">
        <f t="shared" si="24"/>
        <v>1</v>
      </c>
      <c r="BD13" s="93">
        <f t="shared" si="25"/>
        <v>0.70619989157604701</v>
      </c>
      <c r="BE13" s="92">
        <f t="shared" si="26"/>
        <v>0.95327014355314543</v>
      </c>
      <c r="BF13" s="92">
        <f t="shared" si="27"/>
        <v>1</v>
      </c>
      <c r="BG13" s="92">
        <f t="shared" si="28"/>
        <v>1</v>
      </c>
      <c r="BH13" s="92">
        <f t="shared" si="29"/>
        <v>1</v>
      </c>
      <c r="BI13" s="92">
        <f t="shared" si="30"/>
        <v>1</v>
      </c>
      <c r="BJ13" s="92">
        <f t="shared" si="31"/>
        <v>1</v>
      </c>
      <c r="BK13" s="92">
        <f t="shared" si="32"/>
        <v>1</v>
      </c>
      <c r="BL13" s="92">
        <f t="shared" si="33"/>
        <v>1</v>
      </c>
      <c r="BM13" s="91">
        <f t="shared" si="34"/>
        <v>1</v>
      </c>
      <c r="BQ13" s="255"/>
      <c r="BR13" s="95">
        <v>5</v>
      </c>
      <c r="BS13" s="93">
        <f t="shared" si="35"/>
        <v>0.42414407902465279</v>
      </c>
      <c r="BT13" s="92">
        <f t="shared" si="36"/>
        <v>0.57253462075263983</v>
      </c>
      <c r="BU13" s="92">
        <f t="shared" si="37"/>
        <v>0.66519032753786811</v>
      </c>
      <c r="BV13" s="92">
        <f t="shared" si="38"/>
        <v>0.71699811137482494</v>
      </c>
      <c r="BW13" s="92">
        <f t="shared" si="39"/>
        <v>0.73514900498006641</v>
      </c>
      <c r="BX13" s="92">
        <f t="shared" si="40"/>
        <v>1</v>
      </c>
      <c r="BY13" s="92">
        <f t="shared" si="41"/>
        <v>0.72783415016138109</v>
      </c>
      <c r="BZ13" s="92">
        <f t="shared" si="42"/>
        <v>0.70632340018818651</v>
      </c>
      <c r="CA13" s="92">
        <f t="shared" si="43"/>
        <v>0.68544838895342108</v>
      </c>
      <c r="CB13" s="94">
        <f t="shared" si="44"/>
        <v>0.64553098231879336</v>
      </c>
      <c r="CC13" s="93">
        <f t="shared" si="45"/>
        <v>0.42371993494562821</v>
      </c>
      <c r="CD13" s="92">
        <f t="shared" si="46"/>
        <v>0.57196208613188726</v>
      </c>
      <c r="CE13" s="92">
        <f t="shared" si="47"/>
        <v>0.66452513721033035</v>
      </c>
      <c r="CF13" s="92">
        <f t="shared" si="48"/>
        <v>0.71628111326345023</v>
      </c>
      <c r="CG13" s="92">
        <f t="shared" si="49"/>
        <v>0.73441385597508646</v>
      </c>
      <c r="CH13" s="92">
        <f t="shared" si="50"/>
        <v>0.74925000000000008</v>
      </c>
      <c r="CI13" s="92">
        <f t="shared" si="51"/>
        <v>0.72710631601121978</v>
      </c>
      <c r="CJ13" s="92">
        <f t="shared" si="52"/>
        <v>0.70561707678799834</v>
      </c>
      <c r="CK13" s="92">
        <f t="shared" si="53"/>
        <v>0.68476294056446774</v>
      </c>
      <c r="CL13" s="91">
        <f t="shared" si="54"/>
        <v>0.64488545133647457</v>
      </c>
    </row>
    <row r="14" spans="1:115" x14ac:dyDescent="0.3">
      <c r="A14" s="34" t="s">
        <v>174</v>
      </c>
      <c r="B14" s="6"/>
      <c r="C14" s="175">
        <v>0.25</v>
      </c>
      <c r="D14" s="175">
        <v>0.5</v>
      </c>
      <c r="E14" s="175">
        <v>1</v>
      </c>
      <c r="F14" s="175">
        <v>2</v>
      </c>
      <c r="G14" s="175">
        <v>3</v>
      </c>
      <c r="H14" s="175">
        <v>5</v>
      </c>
      <c r="I14" s="175">
        <v>10</v>
      </c>
      <c r="J14" s="175">
        <v>15</v>
      </c>
      <c r="K14" s="175">
        <v>20</v>
      </c>
      <c r="L14" s="175">
        <v>30</v>
      </c>
      <c r="S14" s="259"/>
      <c r="T14" s="96">
        <v>10</v>
      </c>
      <c r="U14" s="92">
        <f t="shared" si="4"/>
        <v>0.4</v>
      </c>
      <c r="V14" s="92">
        <f t="shared" si="4"/>
        <v>0.56552543869953709</v>
      </c>
      <c r="W14" s="92">
        <f t="shared" si="4"/>
        <v>0.76337949433685315</v>
      </c>
      <c r="X14" s="92">
        <f t="shared" si="4"/>
        <v>0.88692043671715748</v>
      </c>
      <c r="Y14" s="92">
        <f t="shared" si="4"/>
        <v>0.93239381990594827</v>
      </c>
      <c r="Z14" s="92">
        <f t="shared" si="4"/>
        <v>0.97044553354850815</v>
      </c>
      <c r="AA14" s="92">
        <f t="shared" si="4"/>
        <v>1</v>
      </c>
      <c r="AB14" s="92">
        <f t="shared" si="4"/>
        <v>0.98511193960306265</v>
      </c>
      <c r="AC14" s="92">
        <f t="shared" si="4"/>
        <v>0.97044553354850815</v>
      </c>
      <c r="AD14" s="91">
        <f t="shared" si="4"/>
        <v>0.94176453358424872</v>
      </c>
      <c r="AE14" s="92">
        <f t="shared" si="5"/>
        <v>0.39960000000000007</v>
      </c>
      <c r="AF14" s="92">
        <f t="shared" si="6"/>
        <v>0.56495991326083761</v>
      </c>
      <c r="AG14" s="92">
        <f t="shared" si="7"/>
        <v>0.76261611484251635</v>
      </c>
      <c r="AH14" s="92">
        <f t="shared" si="8"/>
        <v>0.88603351628044047</v>
      </c>
      <c r="AI14" s="92">
        <f t="shared" si="9"/>
        <v>0.93146142608604243</v>
      </c>
      <c r="AJ14" s="92">
        <f t="shared" si="10"/>
        <v>0.96947508801495974</v>
      </c>
      <c r="AK14" s="92">
        <f t="shared" si="11"/>
        <v>0.99900000000000011</v>
      </c>
      <c r="AL14" s="92">
        <f t="shared" si="12"/>
        <v>0.98412682766345971</v>
      </c>
      <c r="AM14" s="92">
        <f t="shared" si="13"/>
        <v>0.96947508801495974</v>
      </c>
      <c r="AN14" s="91">
        <f t="shared" si="14"/>
        <v>0.94082276905066453</v>
      </c>
      <c r="AR14" s="259"/>
      <c r="AS14" s="96">
        <v>10</v>
      </c>
      <c r="AT14" s="92">
        <f t="shared" si="15"/>
        <v>0.5</v>
      </c>
      <c r="AU14" s="92">
        <f t="shared" si="16"/>
        <v>0.70690679837442139</v>
      </c>
      <c r="AV14" s="92">
        <f t="shared" si="17"/>
        <v>0.95422436792106646</v>
      </c>
      <c r="AW14" s="92">
        <f t="shared" si="18"/>
        <v>1</v>
      </c>
      <c r="AX14" s="92">
        <f t="shared" si="19"/>
        <v>1</v>
      </c>
      <c r="AY14" s="92">
        <f t="shared" si="20"/>
        <v>1</v>
      </c>
      <c r="AZ14" s="92">
        <f t="shared" si="21"/>
        <v>1</v>
      </c>
      <c r="BA14" s="92">
        <f t="shared" si="22"/>
        <v>1</v>
      </c>
      <c r="BB14" s="92">
        <f t="shared" si="23"/>
        <v>1</v>
      </c>
      <c r="BC14" s="94">
        <f t="shared" si="24"/>
        <v>1</v>
      </c>
      <c r="BD14" s="93">
        <f t="shared" si="25"/>
        <v>0.49950000000000006</v>
      </c>
      <c r="BE14" s="92">
        <f t="shared" si="26"/>
        <v>0.70619989157604701</v>
      </c>
      <c r="BF14" s="92">
        <f t="shared" si="27"/>
        <v>0.95327014355314543</v>
      </c>
      <c r="BG14" s="92">
        <f t="shared" si="28"/>
        <v>1</v>
      </c>
      <c r="BH14" s="92">
        <f t="shared" si="29"/>
        <v>1</v>
      </c>
      <c r="BI14" s="92">
        <f t="shared" si="30"/>
        <v>1</v>
      </c>
      <c r="BJ14" s="92">
        <f t="shared" si="31"/>
        <v>1</v>
      </c>
      <c r="BK14" s="92">
        <f t="shared" si="32"/>
        <v>1</v>
      </c>
      <c r="BL14" s="92">
        <f t="shared" si="33"/>
        <v>1</v>
      </c>
      <c r="BM14" s="91">
        <f t="shared" si="34"/>
        <v>1</v>
      </c>
      <c r="BQ14" s="255"/>
      <c r="BR14" s="95">
        <v>10</v>
      </c>
      <c r="BS14" s="93">
        <f t="shared" si="35"/>
        <v>0.30000000000000004</v>
      </c>
      <c r="BT14" s="92">
        <f t="shared" si="36"/>
        <v>0.42414407902465279</v>
      </c>
      <c r="BU14" s="92">
        <f t="shared" si="37"/>
        <v>0.57253462075263983</v>
      </c>
      <c r="BV14" s="92">
        <f t="shared" si="38"/>
        <v>0.66519032753786811</v>
      </c>
      <c r="BW14" s="92">
        <f t="shared" si="39"/>
        <v>0.69929536492946121</v>
      </c>
      <c r="BX14" s="92">
        <f t="shared" si="40"/>
        <v>0.72783415016138109</v>
      </c>
      <c r="BY14" s="92">
        <f t="shared" si="41"/>
        <v>1</v>
      </c>
      <c r="BZ14" s="92">
        <f t="shared" si="42"/>
        <v>0.73883395470229696</v>
      </c>
      <c r="CA14" s="92">
        <f t="shared" si="43"/>
        <v>0.72783415016138109</v>
      </c>
      <c r="CB14" s="94">
        <f t="shared" si="44"/>
        <v>0.70632340018818651</v>
      </c>
      <c r="CC14" s="93">
        <f t="shared" si="45"/>
        <v>0.29970000000000008</v>
      </c>
      <c r="CD14" s="92">
        <f t="shared" si="46"/>
        <v>0.42371993494562821</v>
      </c>
      <c r="CE14" s="92">
        <f t="shared" si="47"/>
        <v>0.57196208613188726</v>
      </c>
      <c r="CF14" s="92">
        <f t="shared" si="48"/>
        <v>0.66452513721033035</v>
      </c>
      <c r="CG14" s="92">
        <f t="shared" si="49"/>
        <v>0.6985960695645318</v>
      </c>
      <c r="CH14" s="92">
        <f t="shared" si="50"/>
        <v>0.72710631601121978</v>
      </c>
      <c r="CI14" s="92">
        <f t="shared" si="51"/>
        <v>0.74925000000000008</v>
      </c>
      <c r="CJ14" s="92">
        <f t="shared" si="52"/>
        <v>0.73809512074759476</v>
      </c>
      <c r="CK14" s="92">
        <f t="shared" si="53"/>
        <v>0.72710631601121978</v>
      </c>
      <c r="CL14" s="91">
        <f t="shared" si="54"/>
        <v>0.70561707678799834</v>
      </c>
    </row>
    <row r="15" spans="1:115" x14ac:dyDescent="0.3">
      <c r="A15" s="6" t="s">
        <v>146</v>
      </c>
      <c r="B15" s="6" t="s">
        <v>158</v>
      </c>
      <c r="C15" s="60">
        <f t="shared" ref="C15:L15" si="55">C6</f>
        <v>0</v>
      </c>
      <c r="D15" s="60">
        <f t="shared" si="55"/>
        <v>0</v>
      </c>
      <c r="E15" s="60">
        <f t="shared" si="55"/>
        <v>4500</v>
      </c>
      <c r="F15" s="60">
        <f t="shared" si="55"/>
        <v>1200</v>
      </c>
      <c r="G15" s="60">
        <f t="shared" si="55"/>
        <v>49000</v>
      </c>
      <c r="H15" s="60">
        <f t="shared" si="55"/>
        <v>310</v>
      </c>
      <c r="I15" s="60">
        <f t="shared" si="55"/>
        <v>1300</v>
      </c>
      <c r="J15" s="60">
        <f t="shared" si="55"/>
        <v>1600</v>
      </c>
      <c r="K15" s="60">
        <f t="shared" si="55"/>
        <v>140</v>
      </c>
      <c r="L15" s="60">
        <f t="shared" si="55"/>
        <v>0</v>
      </c>
      <c r="S15" s="259"/>
      <c r="T15" s="96">
        <v>15</v>
      </c>
      <c r="U15" s="92">
        <f t="shared" si="4"/>
        <v>0.4</v>
      </c>
      <c r="V15" s="92">
        <f t="shared" si="4"/>
        <v>0.418951549247639</v>
      </c>
      <c r="W15" s="92">
        <f t="shared" si="4"/>
        <v>0.65704681981505675</v>
      </c>
      <c r="X15" s="92">
        <f t="shared" si="4"/>
        <v>0.82283465805601841</v>
      </c>
      <c r="Y15" s="92">
        <f t="shared" si="4"/>
        <v>0.88692043671715748</v>
      </c>
      <c r="Z15" s="92">
        <f t="shared" si="4"/>
        <v>0.94176453358424872</v>
      </c>
      <c r="AA15" s="92">
        <f t="shared" si="4"/>
        <v>0.98511193960306265</v>
      </c>
      <c r="AB15" s="92">
        <f t="shared" si="4"/>
        <v>1</v>
      </c>
      <c r="AC15" s="92">
        <f t="shared" si="4"/>
        <v>0.99004983374916811</v>
      </c>
      <c r="AD15" s="91">
        <f t="shared" si="4"/>
        <v>0.97044553354850815</v>
      </c>
      <c r="AE15" s="92">
        <f t="shared" si="5"/>
        <v>0.39960000000000007</v>
      </c>
      <c r="AF15" s="92">
        <f t="shared" si="6"/>
        <v>0.41853259769839141</v>
      </c>
      <c r="AG15" s="92">
        <f t="shared" si="7"/>
        <v>0.65638977299524182</v>
      </c>
      <c r="AH15" s="92">
        <f t="shared" si="8"/>
        <v>0.82201182339796253</v>
      </c>
      <c r="AI15" s="92">
        <f t="shared" si="9"/>
        <v>0.88603351628044047</v>
      </c>
      <c r="AJ15" s="92">
        <f t="shared" si="10"/>
        <v>0.94082276905066453</v>
      </c>
      <c r="AK15" s="92">
        <f t="shared" si="11"/>
        <v>0.98412682766345971</v>
      </c>
      <c r="AL15" s="92">
        <f t="shared" si="12"/>
        <v>0.99900000000000011</v>
      </c>
      <c r="AM15" s="92">
        <f t="shared" si="13"/>
        <v>0.98905978391541904</v>
      </c>
      <c r="AN15" s="91">
        <f t="shared" si="14"/>
        <v>0.96947508801495974</v>
      </c>
      <c r="AR15" s="259"/>
      <c r="AS15" s="96">
        <v>15</v>
      </c>
      <c r="AT15" s="92">
        <f t="shared" si="15"/>
        <v>0.5</v>
      </c>
      <c r="AU15" s="92">
        <f t="shared" si="16"/>
        <v>0.5236894365595488</v>
      </c>
      <c r="AV15" s="92">
        <f t="shared" si="17"/>
        <v>0.82130852476882099</v>
      </c>
      <c r="AW15" s="92">
        <f t="shared" si="18"/>
        <v>1</v>
      </c>
      <c r="AX15" s="92">
        <f t="shared" si="19"/>
        <v>1</v>
      </c>
      <c r="AY15" s="92">
        <f t="shared" si="20"/>
        <v>1</v>
      </c>
      <c r="AZ15" s="92">
        <f t="shared" si="21"/>
        <v>1</v>
      </c>
      <c r="BA15" s="92">
        <f t="shared" si="22"/>
        <v>1</v>
      </c>
      <c r="BB15" s="92">
        <f t="shared" si="23"/>
        <v>1</v>
      </c>
      <c r="BC15" s="94">
        <f t="shared" si="24"/>
        <v>1</v>
      </c>
      <c r="BD15" s="93">
        <f t="shared" si="25"/>
        <v>0.49950000000000006</v>
      </c>
      <c r="BE15" s="92">
        <f t="shared" si="26"/>
        <v>0.52316574712298924</v>
      </c>
      <c r="BF15" s="92">
        <f t="shared" si="27"/>
        <v>0.8204872162440523</v>
      </c>
      <c r="BG15" s="92">
        <f t="shared" si="28"/>
        <v>1</v>
      </c>
      <c r="BH15" s="92">
        <f t="shared" si="29"/>
        <v>1</v>
      </c>
      <c r="BI15" s="92">
        <f t="shared" si="30"/>
        <v>1</v>
      </c>
      <c r="BJ15" s="92">
        <f t="shared" si="31"/>
        <v>1</v>
      </c>
      <c r="BK15" s="92">
        <f t="shared" si="32"/>
        <v>1</v>
      </c>
      <c r="BL15" s="92">
        <f t="shared" si="33"/>
        <v>1</v>
      </c>
      <c r="BM15" s="91">
        <f t="shared" si="34"/>
        <v>1</v>
      </c>
      <c r="BQ15" s="255"/>
      <c r="BR15" s="95">
        <v>15</v>
      </c>
      <c r="BS15" s="93">
        <f t="shared" si="35"/>
        <v>0.30000000000000004</v>
      </c>
      <c r="BT15" s="92">
        <f t="shared" si="36"/>
        <v>0.31421366193572925</v>
      </c>
      <c r="BU15" s="92">
        <f t="shared" si="37"/>
        <v>0.49278511486129256</v>
      </c>
      <c r="BV15" s="92">
        <f t="shared" si="38"/>
        <v>0.61712599354201381</v>
      </c>
      <c r="BW15" s="92">
        <f t="shared" si="39"/>
        <v>0.66519032753786811</v>
      </c>
      <c r="BX15" s="92">
        <f t="shared" si="40"/>
        <v>0.70632340018818651</v>
      </c>
      <c r="BY15" s="92">
        <f t="shared" si="41"/>
        <v>0.73883395470229696</v>
      </c>
      <c r="BZ15" s="92">
        <f t="shared" si="42"/>
        <v>1</v>
      </c>
      <c r="CA15" s="92">
        <f t="shared" si="43"/>
        <v>0.74253737531187602</v>
      </c>
      <c r="CB15" s="94">
        <f t="shared" si="44"/>
        <v>0.72783415016138109</v>
      </c>
      <c r="CC15" s="93">
        <f t="shared" si="45"/>
        <v>0.29970000000000008</v>
      </c>
      <c r="CD15" s="92">
        <f t="shared" si="46"/>
        <v>0.31389944827379357</v>
      </c>
      <c r="CE15" s="92">
        <f t="shared" si="47"/>
        <v>0.49229232974643133</v>
      </c>
      <c r="CF15" s="92">
        <f t="shared" si="48"/>
        <v>0.61650886754847189</v>
      </c>
      <c r="CG15" s="92">
        <f t="shared" si="49"/>
        <v>0.66452513721033035</v>
      </c>
      <c r="CH15" s="92">
        <f t="shared" si="50"/>
        <v>0.70561707678799834</v>
      </c>
      <c r="CI15" s="92">
        <f t="shared" si="51"/>
        <v>0.73809512074759476</v>
      </c>
      <c r="CJ15" s="92">
        <f t="shared" si="52"/>
        <v>0.74925000000000008</v>
      </c>
      <c r="CK15" s="92">
        <f t="shared" si="53"/>
        <v>0.74179483793656431</v>
      </c>
      <c r="CL15" s="91">
        <f t="shared" si="54"/>
        <v>0.72710631601121978</v>
      </c>
    </row>
    <row r="16" spans="1:115" x14ac:dyDescent="0.3">
      <c r="A16" s="6" t="s">
        <v>146</v>
      </c>
      <c r="B16" s="6" t="s">
        <v>167</v>
      </c>
      <c r="C16" s="60">
        <f t="shared" ref="C16:L16" si="56">C7</f>
        <v>0</v>
      </c>
      <c r="D16" s="60">
        <f t="shared" si="56"/>
        <v>0</v>
      </c>
      <c r="E16" s="60">
        <f t="shared" si="56"/>
        <v>0</v>
      </c>
      <c r="F16" s="60">
        <f t="shared" si="56"/>
        <v>27000</v>
      </c>
      <c r="G16" s="60">
        <f t="shared" si="56"/>
        <v>300</v>
      </c>
      <c r="H16" s="60">
        <f t="shared" si="56"/>
        <v>320</v>
      </c>
      <c r="I16" s="60">
        <f t="shared" si="56"/>
        <v>360</v>
      </c>
      <c r="J16" s="60">
        <f t="shared" si="56"/>
        <v>40000</v>
      </c>
      <c r="K16" s="60">
        <f t="shared" si="56"/>
        <v>0</v>
      </c>
      <c r="L16" s="60">
        <f t="shared" si="56"/>
        <v>0</v>
      </c>
      <c r="S16" s="259"/>
      <c r="T16" s="96">
        <v>20</v>
      </c>
      <c r="U16" s="92">
        <f t="shared" si="4"/>
        <v>0.4</v>
      </c>
      <c r="V16" s="92">
        <f t="shared" si="4"/>
        <v>0.4</v>
      </c>
      <c r="W16" s="92">
        <f t="shared" si="4"/>
        <v>0.56552543869953709</v>
      </c>
      <c r="X16" s="92">
        <f t="shared" si="4"/>
        <v>0.76337949433685315</v>
      </c>
      <c r="Y16" s="92">
        <f t="shared" si="4"/>
        <v>0.8436648165963837</v>
      </c>
      <c r="Z16" s="92">
        <f t="shared" si="4"/>
        <v>0.91393118527122819</v>
      </c>
      <c r="AA16" s="92">
        <f t="shared" si="4"/>
        <v>0.97044553354850815</v>
      </c>
      <c r="AB16" s="92">
        <f t="shared" si="4"/>
        <v>0.99004983374916811</v>
      </c>
      <c r="AC16" s="92">
        <f t="shared" si="4"/>
        <v>1</v>
      </c>
      <c r="AD16" s="91">
        <f t="shared" si="4"/>
        <v>0.98511193960306265</v>
      </c>
      <c r="AE16" s="92">
        <f t="shared" si="5"/>
        <v>0.39960000000000007</v>
      </c>
      <c r="AF16" s="92">
        <f t="shared" si="6"/>
        <v>0.39960000000000007</v>
      </c>
      <c r="AG16" s="92">
        <f t="shared" si="7"/>
        <v>0.56495991326083761</v>
      </c>
      <c r="AH16" s="92">
        <f t="shared" si="8"/>
        <v>0.76261611484251635</v>
      </c>
      <c r="AI16" s="92">
        <f t="shared" si="9"/>
        <v>0.84282115177978745</v>
      </c>
      <c r="AJ16" s="92">
        <f t="shared" si="10"/>
        <v>0.91301725408595702</v>
      </c>
      <c r="AK16" s="92">
        <f t="shared" si="11"/>
        <v>0.96947508801495974</v>
      </c>
      <c r="AL16" s="92">
        <f t="shared" si="12"/>
        <v>0.98905978391541904</v>
      </c>
      <c r="AM16" s="92">
        <f t="shared" si="13"/>
        <v>0.99900000000000011</v>
      </c>
      <c r="AN16" s="91">
        <f t="shared" si="14"/>
        <v>0.98412682766345971</v>
      </c>
      <c r="AR16" s="259"/>
      <c r="AS16" s="96">
        <v>20</v>
      </c>
      <c r="AT16" s="92">
        <f t="shared" si="15"/>
        <v>0.5</v>
      </c>
      <c r="AU16" s="92">
        <f t="shared" si="16"/>
        <v>0.5</v>
      </c>
      <c r="AV16" s="92">
        <f t="shared" si="17"/>
        <v>0.70690679837442139</v>
      </c>
      <c r="AW16" s="92">
        <f t="shared" si="18"/>
        <v>0.95422436792106646</v>
      </c>
      <c r="AX16" s="92">
        <f t="shared" si="19"/>
        <v>1</v>
      </c>
      <c r="AY16" s="92">
        <f t="shared" si="20"/>
        <v>1</v>
      </c>
      <c r="AZ16" s="92">
        <f t="shared" si="21"/>
        <v>1</v>
      </c>
      <c r="BA16" s="92">
        <f t="shared" si="22"/>
        <v>1</v>
      </c>
      <c r="BB16" s="92">
        <f t="shared" si="23"/>
        <v>1</v>
      </c>
      <c r="BC16" s="94">
        <f t="shared" si="24"/>
        <v>1</v>
      </c>
      <c r="BD16" s="93">
        <f t="shared" si="25"/>
        <v>0.49950000000000006</v>
      </c>
      <c r="BE16" s="92">
        <f t="shared" si="26"/>
        <v>0.49950000000000006</v>
      </c>
      <c r="BF16" s="92">
        <f t="shared" si="27"/>
        <v>0.70619989157604701</v>
      </c>
      <c r="BG16" s="92">
        <f t="shared" si="28"/>
        <v>0.95327014355314543</v>
      </c>
      <c r="BH16" s="92">
        <f t="shared" si="29"/>
        <v>1</v>
      </c>
      <c r="BI16" s="92">
        <f t="shared" si="30"/>
        <v>1</v>
      </c>
      <c r="BJ16" s="92">
        <f t="shared" si="31"/>
        <v>1</v>
      </c>
      <c r="BK16" s="92">
        <f t="shared" si="32"/>
        <v>1</v>
      </c>
      <c r="BL16" s="92">
        <f t="shared" si="33"/>
        <v>1</v>
      </c>
      <c r="BM16" s="91">
        <f t="shared" si="34"/>
        <v>1</v>
      </c>
      <c r="BQ16" s="255"/>
      <c r="BR16" s="95">
        <v>20</v>
      </c>
      <c r="BS16" s="93">
        <f t="shared" si="35"/>
        <v>0.30000000000000004</v>
      </c>
      <c r="BT16" s="92">
        <f t="shared" si="36"/>
        <v>0.30000000000000004</v>
      </c>
      <c r="BU16" s="92">
        <f t="shared" si="37"/>
        <v>0.42414407902465279</v>
      </c>
      <c r="BV16" s="92">
        <f t="shared" si="38"/>
        <v>0.57253462075263983</v>
      </c>
      <c r="BW16" s="92">
        <f t="shared" si="39"/>
        <v>0.63274861244728775</v>
      </c>
      <c r="BX16" s="92">
        <f t="shared" si="40"/>
        <v>0.68544838895342108</v>
      </c>
      <c r="BY16" s="92">
        <f t="shared" si="41"/>
        <v>0.72783415016138109</v>
      </c>
      <c r="BZ16" s="92">
        <f t="shared" si="42"/>
        <v>0.74253737531187602</v>
      </c>
      <c r="CA16" s="92">
        <f t="shared" si="43"/>
        <v>1</v>
      </c>
      <c r="CB16" s="94">
        <f t="shared" si="44"/>
        <v>0.73883395470229696</v>
      </c>
      <c r="CC16" s="93">
        <f t="shared" si="45"/>
        <v>0.29970000000000008</v>
      </c>
      <c r="CD16" s="92">
        <f t="shared" si="46"/>
        <v>0.29970000000000008</v>
      </c>
      <c r="CE16" s="92">
        <f t="shared" si="47"/>
        <v>0.42371993494562821</v>
      </c>
      <c r="CF16" s="92">
        <f t="shared" si="48"/>
        <v>0.57196208613188726</v>
      </c>
      <c r="CG16" s="92">
        <f t="shared" si="49"/>
        <v>0.63211586383484053</v>
      </c>
      <c r="CH16" s="92">
        <f t="shared" si="50"/>
        <v>0.68476294056446774</v>
      </c>
      <c r="CI16" s="92">
        <f t="shared" si="51"/>
        <v>0.72710631601121978</v>
      </c>
      <c r="CJ16" s="92">
        <f t="shared" si="52"/>
        <v>0.74179483793656431</v>
      </c>
      <c r="CK16" s="92">
        <f t="shared" si="53"/>
        <v>0.74925000000000008</v>
      </c>
      <c r="CL16" s="91">
        <f t="shared" si="54"/>
        <v>0.73809512074759476</v>
      </c>
    </row>
    <row r="17" spans="1:90" ht="15" thickBot="1" x14ac:dyDescent="0.35">
      <c r="A17" s="6"/>
      <c r="B17" s="6"/>
      <c r="C17" s="60"/>
      <c r="D17" s="60"/>
      <c r="E17" s="60"/>
      <c r="F17" s="60"/>
      <c r="G17" s="60"/>
      <c r="H17" s="60"/>
      <c r="I17" s="60"/>
      <c r="J17" s="60"/>
      <c r="K17" s="60"/>
      <c r="L17" s="60"/>
      <c r="S17" s="260"/>
      <c r="T17" s="90">
        <v>30</v>
      </c>
      <c r="U17" s="86">
        <f t="shared" si="4"/>
        <v>0.4</v>
      </c>
      <c r="V17" s="86">
        <f t="shared" si="4"/>
        <v>0.4</v>
      </c>
      <c r="W17" s="86">
        <f t="shared" si="4"/>
        <v>0.418951549247639</v>
      </c>
      <c r="X17" s="86">
        <f t="shared" si="4"/>
        <v>0.65704681981505675</v>
      </c>
      <c r="Y17" s="86">
        <f t="shared" si="4"/>
        <v>0.76337949433685326</v>
      </c>
      <c r="Z17" s="86">
        <f t="shared" si="4"/>
        <v>0.86070797642505781</v>
      </c>
      <c r="AA17" s="86">
        <f t="shared" si="4"/>
        <v>0.94176453358424872</v>
      </c>
      <c r="AB17" s="86">
        <f t="shared" si="4"/>
        <v>0.97044553354850815</v>
      </c>
      <c r="AC17" s="86">
        <f t="shared" si="4"/>
        <v>0.98511193960306265</v>
      </c>
      <c r="AD17" s="85">
        <f t="shared" si="4"/>
        <v>1</v>
      </c>
      <c r="AE17" s="86">
        <f t="shared" ref="AE17:AN17" si="57">U27</f>
        <v>0.39960000000000007</v>
      </c>
      <c r="AF17" s="86">
        <f t="shared" si="57"/>
        <v>0.39960000000000007</v>
      </c>
      <c r="AG17" s="86">
        <f t="shared" si="57"/>
        <v>0.41853259769839141</v>
      </c>
      <c r="AH17" s="86">
        <f t="shared" si="57"/>
        <v>0.65638977299524182</v>
      </c>
      <c r="AI17" s="86">
        <f t="shared" si="57"/>
        <v>0.76261611484251646</v>
      </c>
      <c r="AJ17" s="86">
        <f t="shared" si="57"/>
        <v>0.8598472684486328</v>
      </c>
      <c r="AK17" s="86">
        <f t="shared" si="57"/>
        <v>0.94082276905066453</v>
      </c>
      <c r="AL17" s="86">
        <f t="shared" si="57"/>
        <v>0.96947508801495974</v>
      </c>
      <c r="AM17" s="86">
        <f t="shared" si="57"/>
        <v>0.98412682766345971</v>
      </c>
      <c r="AN17" s="85">
        <f t="shared" si="57"/>
        <v>0.99900000000000011</v>
      </c>
      <c r="AR17" s="260"/>
      <c r="AS17" s="90">
        <v>30</v>
      </c>
      <c r="AT17" s="86">
        <f t="shared" si="15"/>
        <v>0.5</v>
      </c>
      <c r="AU17" s="86">
        <f t="shared" si="16"/>
        <v>0.5</v>
      </c>
      <c r="AV17" s="86">
        <f t="shared" si="17"/>
        <v>0.5236894365595488</v>
      </c>
      <c r="AW17" s="86">
        <f t="shared" si="18"/>
        <v>0.82130852476882099</v>
      </c>
      <c r="AX17" s="86">
        <f t="shared" si="19"/>
        <v>0.95422436792106657</v>
      </c>
      <c r="AY17" s="86">
        <f t="shared" si="20"/>
        <v>1</v>
      </c>
      <c r="AZ17" s="86">
        <f t="shared" si="21"/>
        <v>1</v>
      </c>
      <c r="BA17" s="86">
        <f t="shared" si="22"/>
        <v>1</v>
      </c>
      <c r="BB17" s="86">
        <f t="shared" si="23"/>
        <v>1</v>
      </c>
      <c r="BC17" s="88">
        <f t="shared" si="24"/>
        <v>1</v>
      </c>
      <c r="BD17" s="87">
        <f t="shared" ref="BD17:BM17" si="58">AT27</f>
        <v>0.49950000000000006</v>
      </c>
      <c r="BE17" s="86">
        <f t="shared" si="58"/>
        <v>0.49950000000000006</v>
      </c>
      <c r="BF17" s="86">
        <f t="shared" si="58"/>
        <v>0.52316574712298924</v>
      </c>
      <c r="BG17" s="86">
        <f t="shared" si="58"/>
        <v>0.8204872162440523</v>
      </c>
      <c r="BH17" s="86">
        <f t="shared" si="58"/>
        <v>0.95327014355314554</v>
      </c>
      <c r="BI17" s="86">
        <f t="shared" si="58"/>
        <v>1</v>
      </c>
      <c r="BJ17" s="86">
        <f t="shared" si="58"/>
        <v>1</v>
      </c>
      <c r="BK17" s="86">
        <f t="shared" si="58"/>
        <v>1</v>
      </c>
      <c r="BL17" s="86">
        <f t="shared" si="58"/>
        <v>1</v>
      </c>
      <c r="BM17" s="85">
        <f t="shared" si="58"/>
        <v>1</v>
      </c>
      <c r="BQ17" s="256"/>
      <c r="BR17" s="89">
        <v>30</v>
      </c>
      <c r="BS17" s="87">
        <f t="shared" si="35"/>
        <v>0.30000000000000004</v>
      </c>
      <c r="BT17" s="86">
        <f t="shared" si="36"/>
        <v>0.30000000000000004</v>
      </c>
      <c r="BU17" s="86">
        <f t="shared" si="37"/>
        <v>0.31421366193572925</v>
      </c>
      <c r="BV17" s="86">
        <f t="shared" si="38"/>
        <v>0.49278511486129256</v>
      </c>
      <c r="BW17" s="86">
        <f t="shared" si="39"/>
        <v>0.57253462075263994</v>
      </c>
      <c r="BX17" s="86">
        <f t="shared" si="40"/>
        <v>0.64553098231879336</v>
      </c>
      <c r="BY17" s="86">
        <f t="shared" si="41"/>
        <v>0.70632340018818651</v>
      </c>
      <c r="BZ17" s="86">
        <f t="shared" si="42"/>
        <v>0.72783415016138109</v>
      </c>
      <c r="CA17" s="86">
        <f t="shared" si="43"/>
        <v>0.73883395470229696</v>
      </c>
      <c r="CB17" s="88">
        <f t="shared" si="44"/>
        <v>1</v>
      </c>
      <c r="CC17" s="87">
        <f t="shared" ref="CC17:CL17" si="59">BS27</f>
        <v>0.29970000000000008</v>
      </c>
      <c r="CD17" s="86">
        <f t="shared" si="59"/>
        <v>0.29970000000000008</v>
      </c>
      <c r="CE17" s="86">
        <f t="shared" si="59"/>
        <v>0.31389944827379357</v>
      </c>
      <c r="CF17" s="86">
        <f t="shared" si="59"/>
        <v>0.49229232974643133</v>
      </c>
      <c r="CG17" s="86">
        <f t="shared" si="59"/>
        <v>0.57196208613188737</v>
      </c>
      <c r="CH17" s="86">
        <f t="shared" si="59"/>
        <v>0.64488545133647457</v>
      </c>
      <c r="CI17" s="86">
        <f t="shared" si="59"/>
        <v>0.70561707678799834</v>
      </c>
      <c r="CJ17" s="86">
        <f t="shared" si="59"/>
        <v>0.72710631601121978</v>
      </c>
      <c r="CK17" s="86">
        <f t="shared" si="59"/>
        <v>0.73809512074759476</v>
      </c>
      <c r="CL17" s="85">
        <f t="shared" si="59"/>
        <v>0.74925000000000008</v>
      </c>
    </row>
    <row r="18" spans="1:90" x14ac:dyDescent="0.3">
      <c r="A18" s="6" t="s">
        <v>144</v>
      </c>
      <c r="B18" s="6" t="s">
        <v>173</v>
      </c>
      <c r="C18" s="60">
        <f t="shared" ref="C18:L18" si="60">C9*$Q$7</f>
        <v>0</v>
      </c>
      <c r="D18" s="60">
        <f t="shared" si="60"/>
        <v>3612</v>
      </c>
      <c r="E18" s="60">
        <f t="shared" si="60"/>
        <v>1032</v>
      </c>
      <c r="F18" s="60">
        <f t="shared" si="60"/>
        <v>1032</v>
      </c>
      <c r="G18" s="60">
        <f t="shared" si="60"/>
        <v>103.2</v>
      </c>
      <c r="H18" s="60">
        <f t="shared" si="60"/>
        <v>18060</v>
      </c>
      <c r="I18" s="60">
        <f t="shared" si="60"/>
        <v>34400</v>
      </c>
      <c r="J18" s="60">
        <f t="shared" si="60"/>
        <v>0</v>
      </c>
      <c r="K18" s="60">
        <f t="shared" si="60"/>
        <v>0</v>
      </c>
      <c r="L18" s="60">
        <f t="shared" si="60"/>
        <v>0</v>
      </c>
      <c r="S18" s="259" t="s">
        <v>172</v>
      </c>
      <c r="T18" s="110">
        <v>0.25</v>
      </c>
      <c r="U18" s="107">
        <f t="shared" ref="U18:AD18" si="61">U8*99.9%</f>
        <v>0.99900000000000011</v>
      </c>
      <c r="V18" s="107">
        <f t="shared" si="61"/>
        <v>0.96947508801495974</v>
      </c>
      <c r="W18" s="107">
        <f t="shared" si="61"/>
        <v>0.91301725408595702</v>
      </c>
      <c r="X18" s="107">
        <f t="shared" si="61"/>
        <v>0.80977366172421694</v>
      </c>
      <c r="Y18" s="107">
        <f t="shared" si="61"/>
        <v>0.71820480969849432</v>
      </c>
      <c r="Z18" s="107">
        <f t="shared" si="61"/>
        <v>0.56495991326083761</v>
      </c>
      <c r="AA18" s="107">
        <f t="shared" si="61"/>
        <v>0.39960000000000007</v>
      </c>
      <c r="AB18" s="107">
        <f t="shared" si="61"/>
        <v>0.39960000000000007</v>
      </c>
      <c r="AC18" s="107">
        <f t="shared" si="61"/>
        <v>0.39960000000000007</v>
      </c>
      <c r="AD18" s="111">
        <f t="shared" si="61"/>
        <v>0.39960000000000007</v>
      </c>
      <c r="AE18" s="107">
        <f t="shared" ref="AE18:AE26" si="62">U8</f>
        <v>1</v>
      </c>
      <c r="AF18" s="107">
        <f t="shared" ref="AF18:AF26" si="63">V8</f>
        <v>0.97044553354850815</v>
      </c>
      <c r="AG18" s="107">
        <f t="shared" ref="AG18:AG26" si="64">W8</f>
        <v>0.91393118527122819</v>
      </c>
      <c r="AH18" s="107">
        <f t="shared" ref="AH18:AH26" si="65">X8</f>
        <v>0.81058424597018708</v>
      </c>
      <c r="AI18" s="107">
        <f t="shared" ref="AI18:AI26" si="66">Y8</f>
        <v>0.71892373343192617</v>
      </c>
      <c r="AJ18" s="107">
        <f t="shared" ref="AJ18:AJ26" si="67">Z8</f>
        <v>0.56552543869953709</v>
      </c>
      <c r="AK18" s="107">
        <f t="shared" ref="AK18:AK26" si="68">AA8</f>
        <v>0.4</v>
      </c>
      <c r="AL18" s="107">
        <f t="shared" ref="AL18:AL26" si="69">AB8</f>
        <v>0.4</v>
      </c>
      <c r="AM18" s="107">
        <f t="shared" ref="AM18:AM26" si="70">AC8</f>
        <v>0.4</v>
      </c>
      <c r="AN18" s="111">
        <f t="shared" ref="AN18:AN26" si="71">AD8</f>
        <v>0.4</v>
      </c>
      <c r="AR18" s="259" t="s">
        <v>172</v>
      </c>
      <c r="AS18" s="110">
        <v>0.25</v>
      </c>
      <c r="AT18" s="107">
        <f t="shared" si="15"/>
        <v>1</v>
      </c>
      <c r="AU18" s="107">
        <f t="shared" si="16"/>
        <v>1</v>
      </c>
      <c r="AV18" s="107">
        <f t="shared" si="17"/>
        <v>1</v>
      </c>
      <c r="AW18" s="107">
        <f t="shared" si="18"/>
        <v>1</v>
      </c>
      <c r="AX18" s="107">
        <f t="shared" si="19"/>
        <v>0.89775601212311784</v>
      </c>
      <c r="AY18" s="107">
        <f t="shared" si="20"/>
        <v>0.70619989157604701</v>
      </c>
      <c r="AZ18" s="107">
        <f t="shared" si="21"/>
        <v>0.49950000000000006</v>
      </c>
      <c r="BA18" s="107">
        <f t="shared" si="22"/>
        <v>0.49950000000000006</v>
      </c>
      <c r="BB18" s="107">
        <f t="shared" si="23"/>
        <v>0.49950000000000006</v>
      </c>
      <c r="BC18" s="106">
        <f t="shared" si="24"/>
        <v>0.49950000000000006</v>
      </c>
      <c r="BD18" s="105">
        <f t="shared" ref="BD18:BD26" si="72">AT8</f>
        <v>1</v>
      </c>
      <c r="BE18" s="104">
        <f t="shared" ref="BE18:BE26" si="73">AU8</f>
        <v>1</v>
      </c>
      <c r="BF18" s="104">
        <f t="shared" ref="BF18:BF26" si="74">AV8</f>
        <v>1</v>
      </c>
      <c r="BG18" s="104">
        <f t="shared" ref="BG18:BG26" si="75">AW8</f>
        <v>1</v>
      </c>
      <c r="BH18" s="104">
        <f t="shared" ref="BH18:BH26" si="76">AX8</f>
        <v>0.89865466678990769</v>
      </c>
      <c r="BI18" s="104">
        <f t="shared" ref="BI18:BI26" si="77">AY8</f>
        <v>0.70690679837442139</v>
      </c>
      <c r="BJ18" s="104">
        <f t="shared" ref="BJ18:BJ26" si="78">AZ8</f>
        <v>0.5</v>
      </c>
      <c r="BK18" s="104">
        <f t="shared" ref="BK18:BK26" si="79">BA8</f>
        <v>0.5</v>
      </c>
      <c r="BL18" s="104">
        <f t="shared" ref="BL18:BL26" si="80">BB8</f>
        <v>0.5</v>
      </c>
      <c r="BM18" s="103">
        <f t="shared" ref="BM18:BM26" si="81">BC8</f>
        <v>0.5</v>
      </c>
      <c r="BQ18" s="255" t="s">
        <v>172</v>
      </c>
      <c r="BR18" s="109">
        <v>0.25</v>
      </c>
      <c r="BS18" s="108">
        <f t="shared" ref="BS18:BS27" si="82">0.75*U18</f>
        <v>0.74925000000000008</v>
      </c>
      <c r="BT18" s="107">
        <f t="shared" ref="BT18:BT27" si="83">0.75*V18</f>
        <v>0.72710631601121978</v>
      </c>
      <c r="BU18" s="107">
        <f t="shared" ref="BU18:BU27" si="84">0.75*W18</f>
        <v>0.68476294056446774</v>
      </c>
      <c r="BV18" s="107">
        <f t="shared" ref="BV18:BV27" si="85">0.75*X18</f>
        <v>0.60733024629316268</v>
      </c>
      <c r="BW18" s="107">
        <f t="shared" ref="BW18:BW27" si="86">0.75*Y18</f>
        <v>0.53865360727387079</v>
      </c>
      <c r="BX18" s="107">
        <f t="shared" ref="BX18:BX27" si="87">0.75*Z18</f>
        <v>0.42371993494562821</v>
      </c>
      <c r="BY18" s="107">
        <f t="shared" ref="BY18:BY27" si="88">0.75*AA18</f>
        <v>0.29970000000000008</v>
      </c>
      <c r="BZ18" s="107">
        <f t="shared" ref="BZ18:BZ27" si="89">0.75*AB18</f>
        <v>0.29970000000000008</v>
      </c>
      <c r="CA18" s="107">
        <f t="shared" ref="CA18:CA27" si="90">0.75*AC18</f>
        <v>0.29970000000000008</v>
      </c>
      <c r="CB18" s="106">
        <f t="shared" ref="CB18:CB27" si="91">0.75*AD18</f>
        <v>0.29970000000000008</v>
      </c>
      <c r="CC18" s="105">
        <f t="shared" ref="CC18:CC26" si="92">BS8</f>
        <v>1</v>
      </c>
      <c r="CD18" s="104">
        <f t="shared" ref="CD18:CD26" si="93">BT8</f>
        <v>0.72783415016138109</v>
      </c>
      <c r="CE18" s="104">
        <f t="shared" ref="CE18:CE26" si="94">BU8</f>
        <v>0.68544838895342108</v>
      </c>
      <c r="CF18" s="104">
        <f t="shared" ref="CF18:CF26" si="95">BV8</f>
        <v>0.60793818447764036</v>
      </c>
      <c r="CG18" s="104">
        <f t="shared" ref="CG18:CG26" si="96">BW8</f>
        <v>0.53919280007394466</v>
      </c>
      <c r="CH18" s="104">
        <f t="shared" ref="CH18:CH26" si="97">BX8</f>
        <v>0.42414407902465279</v>
      </c>
      <c r="CI18" s="104">
        <f t="shared" ref="CI18:CI26" si="98">BY8</f>
        <v>0.30000000000000004</v>
      </c>
      <c r="CJ18" s="104">
        <f t="shared" ref="CJ18:CJ26" si="99">BZ8</f>
        <v>0.30000000000000004</v>
      </c>
      <c r="CK18" s="104">
        <f t="shared" ref="CK18:CK26" si="100">CA8</f>
        <v>0.30000000000000004</v>
      </c>
      <c r="CL18" s="103">
        <f t="shared" ref="CL18:CL26" si="101">CB8</f>
        <v>0.30000000000000004</v>
      </c>
    </row>
    <row r="19" spans="1:90" x14ac:dyDescent="0.3">
      <c r="A19" s="6"/>
      <c r="B19" s="6"/>
      <c r="C19" s="60"/>
      <c r="D19" s="60"/>
      <c r="E19" s="60"/>
      <c r="F19" s="60"/>
      <c r="G19" s="60"/>
      <c r="H19" s="60"/>
      <c r="I19" s="60"/>
      <c r="J19" s="60"/>
      <c r="K19" s="60"/>
      <c r="L19" s="60"/>
      <c r="S19" s="259"/>
      <c r="T19" s="96">
        <v>0.5</v>
      </c>
      <c r="U19" s="92">
        <f t="shared" ref="U19:AD19" si="102">U9*99.9%</f>
        <v>0.96947508801495974</v>
      </c>
      <c r="V19" s="92">
        <f t="shared" si="102"/>
        <v>0.99900000000000011</v>
      </c>
      <c r="W19" s="92">
        <f t="shared" si="102"/>
        <v>0.96947508801495974</v>
      </c>
      <c r="X19" s="92">
        <f t="shared" si="102"/>
        <v>0.91301725408595702</v>
      </c>
      <c r="Y19" s="92">
        <f t="shared" si="102"/>
        <v>0.8598472684486328</v>
      </c>
      <c r="Z19" s="92">
        <f t="shared" si="102"/>
        <v>0.76261611484251635</v>
      </c>
      <c r="AA19" s="92">
        <f t="shared" si="102"/>
        <v>0.56495991326083761</v>
      </c>
      <c r="AB19" s="92">
        <f t="shared" si="102"/>
        <v>0.41853259769839141</v>
      </c>
      <c r="AC19" s="92">
        <f t="shared" si="102"/>
        <v>0.39960000000000007</v>
      </c>
      <c r="AD19" s="91">
        <f t="shared" si="102"/>
        <v>0.39960000000000007</v>
      </c>
      <c r="AE19" s="92">
        <f t="shared" si="62"/>
        <v>0.97044553354850815</v>
      </c>
      <c r="AF19" s="92">
        <f t="shared" si="63"/>
        <v>1</v>
      </c>
      <c r="AG19" s="92">
        <f t="shared" si="64"/>
        <v>0.97044553354850815</v>
      </c>
      <c r="AH19" s="92">
        <f t="shared" si="65"/>
        <v>0.91393118527122819</v>
      </c>
      <c r="AI19" s="92">
        <f t="shared" si="66"/>
        <v>0.86070797642505781</v>
      </c>
      <c r="AJ19" s="92">
        <f t="shared" si="67"/>
        <v>0.76337949433685315</v>
      </c>
      <c r="AK19" s="92">
        <f t="shared" si="68"/>
        <v>0.56552543869953709</v>
      </c>
      <c r="AL19" s="92">
        <f t="shared" si="69"/>
        <v>0.418951549247639</v>
      </c>
      <c r="AM19" s="92">
        <f t="shared" si="70"/>
        <v>0.4</v>
      </c>
      <c r="AN19" s="91">
        <f t="shared" si="71"/>
        <v>0.4</v>
      </c>
      <c r="AR19" s="259"/>
      <c r="AS19" s="96">
        <v>0.5</v>
      </c>
      <c r="AT19" s="92">
        <f t="shared" si="15"/>
        <v>1</v>
      </c>
      <c r="AU19" s="92">
        <f t="shared" si="16"/>
        <v>1</v>
      </c>
      <c r="AV19" s="92">
        <f t="shared" si="17"/>
        <v>1</v>
      </c>
      <c r="AW19" s="92">
        <f t="shared" si="18"/>
        <v>1</v>
      </c>
      <c r="AX19" s="92">
        <f t="shared" si="19"/>
        <v>1</v>
      </c>
      <c r="AY19" s="92">
        <f t="shared" si="20"/>
        <v>0.95327014355314543</v>
      </c>
      <c r="AZ19" s="92">
        <f t="shared" si="21"/>
        <v>0.70619989157604701</v>
      </c>
      <c r="BA19" s="92">
        <f t="shared" si="22"/>
        <v>0.52316574712298924</v>
      </c>
      <c r="BB19" s="92">
        <f t="shared" si="23"/>
        <v>0.49950000000000006</v>
      </c>
      <c r="BC19" s="94">
        <f t="shared" si="24"/>
        <v>0.49950000000000006</v>
      </c>
      <c r="BD19" s="93">
        <f t="shared" si="72"/>
        <v>1</v>
      </c>
      <c r="BE19" s="92">
        <f t="shared" si="73"/>
        <v>1</v>
      </c>
      <c r="BF19" s="92">
        <f t="shared" si="74"/>
        <v>1</v>
      </c>
      <c r="BG19" s="92">
        <f t="shared" si="75"/>
        <v>1</v>
      </c>
      <c r="BH19" s="92">
        <f t="shared" si="76"/>
        <v>1</v>
      </c>
      <c r="BI19" s="92">
        <f t="shared" si="77"/>
        <v>0.95422436792106646</v>
      </c>
      <c r="BJ19" s="92">
        <f t="shared" si="78"/>
        <v>0.70690679837442139</v>
      </c>
      <c r="BK19" s="92">
        <f t="shared" si="79"/>
        <v>0.5236894365595488</v>
      </c>
      <c r="BL19" s="92">
        <f t="shared" si="80"/>
        <v>0.5</v>
      </c>
      <c r="BM19" s="91">
        <f t="shared" si="81"/>
        <v>0.5</v>
      </c>
      <c r="BQ19" s="255"/>
      <c r="BR19" s="95">
        <v>0.5</v>
      </c>
      <c r="BS19" s="93">
        <f t="shared" si="82"/>
        <v>0.72710631601121978</v>
      </c>
      <c r="BT19" s="92">
        <f t="shared" si="83"/>
        <v>0.74925000000000008</v>
      </c>
      <c r="BU19" s="92">
        <f t="shared" si="84"/>
        <v>0.72710631601121978</v>
      </c>
      <c r="BV19" s="92">
        <f t="shared" si="85"/>
        <v>0.68476294056446774</v>
      </c>
      <c r="BW19" s="92">
        <f t="shared" si="86"/>
        <v>0.64488545133647457</v>
      </c>
      <c r="BX19" s="92">
        <f t="shared" si="87"/>
        <v>0.57196208613188726</v>
      </c>
      <c r="BY19" s="92">
        <f t="shared" si="88"/>
        <v>0.42371993494562821</v>
      </c>
      <c r="BZ19" s="92">
        <f t="shared" si="89"/>
        <v>0.31389944827379357</v>
      </c>
      <c r="CA19" s="92">
        <f t="shared" si="90"/>
        <v>0.29970000000000008</v>
      </c>
      <c r="CB19" s="94">
        <f t="shared" si="91"/>
        <v>0.29970000000000008</v>
      </c>
      <c r="CC19" s="93">
        <f t="shared" si="92"/>
        <v>0.72783415016138109</v>
      </c>
      <c r="CD19" s="92">
        <f t="shared" si="93"/>
        <v>1</v>
      </c>
      <c r="CE19" s="92">
        <f t="shared" si="94"/>
        <v>0.72783415016138109</v>
      </c>
      <c r="CF19" s="92">
        <f t="shared" si="95"/>
        <v>0.68544838895342108</v>
      </c>
      <c r="CG19" s="92">
        <f t="shared" si="96"/>
        <v>0.64553098231879336</v>
      </c>
      <c r="CH19" s="92">
        <f t="shared" si="97"/>
        <v>0.57253462075263983</v>
      </c>
      <c r="CI19" s="92">
        <f t="shared" si="98"/>
        <v>0.42414407902465279</v>
      </c>
      <c r="CJ19" s="92">
        <f t="shared" si="99"/>
        <v>0.31421366193572925</v>
      </c>
      <c r="CK19" s="92">
        <f t="shared" si="100"/>
        <v>0.30000000000000004</v>
      </c>
      <c r="CL19" s="91">
        <f t="shared" si="101"/>
        <v>0.30000000000000004</v>
      </c>
    </row>
    <row r="20" spans="1:90" x14ac:dyDescent="0.3">
      <c r="A20" s="6" t="s">
        <v>142</v>
      </c>
      <c r="B20" s="6" t="s">
        <v>171</v>
      </c>
      <c r="C20" s="60">
        <f t="shared" ref="C20:L20" si="103">C11*$Q$8</f>
        <v>0</v>
      </c>
      <c r="D20" s="60">
        <f t="shared" si="103"/>
        <v>31360</v>
      </c>
      <c r="E20" s="60">
        <f t="shared" si="103"/>
        <v>7680</v>
      </c>
      <c r="F20" s="60">
        <f t="shared" si="103"/>
        <v>96</v>
      </c>
      <c r="G20" s="60">
        <f t="shared" si="103"/>
        <v>89.600000000000009</v>
      </c>
      <c r="H20" s="60">
        <f t="shared" si="103"/>
        <v>102.4</v>
      </c>
      <c r="I20" s="60">
        <f t="shared" si="103"/>
        <v>2048</v>
      </c>
      <c r="J20" s="60">
        <f t="shared" si="103"/>
        <v>26240</v>
      </c>
      <c r="K20" s="60">
        <f t="shared" si="103"/>
        <v>13440</v>
      </c>
      <c r="L20" s="60">
        <f t="shared" si="103"/>
        <v>0</v>
      </c>
      <c r="S20" s="259"/>
      <c r="T20" s="96">
        <v>1</v>
      </c>
      <c r="U20" s="92">
        <f t="shared" ref="U20:AD20" si="104">U10*99.9%</f>
        <v>0.91301725408595702</v>
      </c>
      <c r="V20" s="92">
        <f t="shared" si="104"/>
        <v>0.96947508801495974</v>
      </c>
      <c r="W20" s="92">
        <f t="shared" si="104"/>
        <v>0.99900000000000011</v>
      </c>
      <c r="X20" s="92">
        <f t="shared" si="104"/>
        <v>0.96947508801495974</v>
      </c>
      <c r="Y20" s="92">
        <f t="shared" si="104"/>
        <v>0.94082276905066453</v>
      </c>
      <c r="Z20" s="92">
        <f t="shared" si="104"/>
        <v>0.88603351628044047</v>
      </c>
      <c r="AA20" s="92">
        <f t="shared" si="104"/>
        <v>0.76261611484251635</v>
      </c>
      <c r="AB20" s="92">
        <f t="shared" si="104"/>
        <v>0.65638977299524182</v>
      </c>
      <c r="AC20" s="92">
        <f t="shared" si="104"/>
        <v>0.56495991326083761</v>
      </c>
      <c r="AD20" s="91">
        <f t="shared" si="104"/>
        <v>0.41853259769839141</v>
      </c>
      <c r="AE20" s="92">
        <f t="shared" si="62"/>
        <v>0.91393118527122819</v>
      </c>
      <c r="AF20" s="92">
        <f t="shared" si="63"/>
        <v>0.97044553354850815</v>
      </c>
      <c r="AG20" s="92">
        <f t="shared" si="64"/>
        <v>1</v>
      </c>
      <c r="AH20" s="92">
        <f t="shared" si="65"/>
        <v>0.97044553354850815</v>
      </c>
      <c r="AI20" s="92">
        <f t="shared" si="66"/>
        <v>0.94176453358424872</v>
      </c>
      <c r="AJ20" s="92">
        <f t="shared" si="67"/>
        <v>0.88692043671715748</v>
      </c>
      <c r="AK20" s="92">
        <f t="shared" si="68"/>
        <v>0.76337949433685315</v>
      </c>
      <c r="AL20" s="92">
        <f t="shared" si="69"/>
        <v>0.65704681981505675</v>
      </c>
      <c r="AM20" s="92">
        <f t="shared" si="70"/>
        <v>0.56552543869953709</v>
      </c>
      <c r="AN20" s="91">
        <f t="shared" si="71"/>
        <v>0.418951549247639</v>
      </c>
      <c r="AR20" s="259"/>
      <c r="AS20" s="96">
        <v>1</v>
      </c>
      <c r="AT20" s="92">
        <f t="shared" si="15"/>
        <v>1</v>
      </c>
      <c r="AU20" s="92">
        <f t="shared" si="16"/>
        <v>1</v>
      </c>
      <c r="AV20" s="92">
        <f t="shared" si="17"/>
        <v>1</v>
      </c>
      <c r="AW20" s="92">
        <f t="shared" si="18"/>
        <v>1</v>
      </c>
      <c r="AX20" s="92">
        <f t="shared" si="19"/>
        <v>1</v>
      </c>
      <c r="AY20" s="92">
        <f t="shared" si="20"/>
        <v>1</v>
      </c>
      <c r="AZ20" s="92">
        <f t="shared" si="21"/>
        <v>0.95327014355314543</v>
      </c>
      <c r="BA20" s="92">
        <f t="shared" si="22"/>
        <v>0.8204872162440523</v>
      </c>
      <c r="BB20" s="92">
        <f t="shared" si="23"/>
        <v>0.70619989157604701</v>
      </c>
      <c r="BC20" s="94">
        <f t="shared" si="24"/>
        <v>0.52316574712298924</v>
      </c>
      <c r="BD20" s="93">
        <f t="shared" si="72"/>
        <v>1</v>
      </c>
      <c r="BE20" s="92">
        <f t="shared" si="73"/>
        <v>1</v>
      </c>
      <c r="BF20" s="92">
        <f t="shared" si="74"/>
        <v>1</v>
      </c>
      <c r="BG20" s="92">
        <f t="shared" si="75"/>
        <v>1</v>
      </c>
      <c r="BH20" s="92">
        <f t="shared" si="76"/>
        <v>1</v>
      </c>
      <c r="BI20" s="92">
        <f t="shared" si="77"/>
        <v>1</v>
      </c>
      <c r="BJ20" s="92">
        <f t="shared" si="78"/>
        <v>0.95422436792106646</v>
      </c>
      <c r="BK20" s="92">
        <f t="shared" si="79"/>
        <v>0.82130852476882099</v>
      </c>
      <c r="BL20" s="92">
        <f t="shared" si="80"/>
        <v>0.70690679837442139</v>
      </c>
      <c r="BM20" s="91">
        <f t="shared" si="81"/>
        <v>0.5236894365595488</v>
      </c>
      <c r="BQ20" s="255"/>
      <c r="BR20" s="95">
        <v>1</v>
      </c>
      <c r="BS20" s="93">
        <f t="shared" si="82"/>
        <v>0.68476294056446774</v>
      </c>
      <c r="BT20" s="92">
        <f t="shared" si="83"/>
        <v>0.72710631601121978</v>
      </c>
      <c r="BU20" s="92">
        <f t="shared" si="84"/>
        <v>0.74925000000000008</v>
      </c>
      <c r="BV20" s="92">
        <f t="shared" si="85"/>
        <v>0.72710631601121978</v>
      </c>
      <c r="BW20" s="92">
        <f t="shared" si="86"/>
        <v>0.70561707678799834</v>
      </c>
      <c r="BX20" s="92">
        <f t="shared" si="87"/>
        <v>0.66452513721033035</v>
      </c>
      <c r="BY20" s="92">
        <f t="shared" si="88"/>
        <v>0.57196208613188726</v>
      </c>
      <c r="BZ20" s="92">
        <f t="shared" si="89"/>
        <v>0.49229232974643133</v>
      </c>
      <c r="CA20" s="92">
        <f t="shared" si="90"/>
        <v>0.42371993494562821</v>
      </c>
      <c r="CB20" s="94">
        <f t="shared" si="91"/>
        <v>0.31389944827379357</v>
      </c>
      <c r="CC20" s="93">
        <f t="shared" si="92"/>
        <v>0.68544838895342108</v>
      </c>
      <c r="CD20" s="92">
        <f t="shared" si="93"/>
        <v>0.72783415016138109</v>
      </c>
      <c r="CE20" s="92">
        <f t="shared" si="94"/>
        <v>1</v>
      </c>
      <c r="CF20" s="92">
        <f t="shared" si="95"/>
        <v>0.72783415016138109</v>
      </c>
      <c r="CG20" s="92">
        <f t="shared" si="96"/>
        <v>0.70632340018818651</v>
      </c>
      <c r="CH20" s="92">
        <f t="shared" si="97"/>
        <v>0.66519032753786811</v>
      </c>
      <c r="CI20" s="92">
        <f t="shared" si="98"/>
        <v>0.57253462075263983</v>
      </c>
      <c r="CJ20" s="92">
        <f t="shared" si="99"/>
        <v>0.49278511486129256</v>
      </c>
      <c r="CK20" s="92">
        <f t="shared" si="100"/>
        <v>0.42414407902465279</v>
      </c>
      <c r="CL20" s="91">
        <f t="shared" si="101"/>
        <v>0.31421366193572925</v>
      </c>
    </row>
    <row r="21" spans="1:90" x14ac:dyDescent="0.3">
      <c r="S21" s="259"/>
      <c r="T21" s="96">
        <v>2</v>
      </c>
      <c r="U21" s="92">
        <f t="shared" ref="U21:AD21" si="105">U11*99.9%</f>
        <v>0.80977366172421694</v>
      </c>
      <c r="V21" s="92">
        <f t="shared" si="105"/>
        <v>0.91301725408595702</v>
      </c>
      <c r="W21" s="92">
        <f t="shared" si="105"/>
        <v>0.96947508801495974</v>
      </c>
      <c r="X21" s="92">
        <f t="shared" si="105"/>
        <v>0.99900000000000011</v>
      </c>
      <c r="Y21" s="92">
        <f t="shared" si="105"/>
        <v>0.98412682766345971</v>
      </c>
      <c r="Z21" s="92">
        <f t="shared" si="105"/>
        <v>0.95504148435126701</v>
      </c>
      <c r="AA21" s="92">
        <f t="shared" si="105"/>
        <v>0.88603351628044047</v>
      </c>
      <c r="AB21" s="92">
        <f t="shared" si="105"/>
        <v>0.82201182339796253</v>
      </c>
      <c r="AC21" s="92">
        <f t="shared" si="105"/>
        <v>0.76261611484251635</v>
      </c>
      <c r="AD21" s="91">
        <f t="shared" si="105"/>
        <v>0.65638977299524182</v>
      </c>
      <c r="AE21" s="92">
        <f t="shared" si="62"/>
        <v>0.81058424597018708</v>
      </c>
      <c r="AF21" s="92">
        <f t="shared" si="63"/>
        <v>0.91393118527122819</v>
      </c>
      <c r="AG21" s="92">
        <f t="shared" si="64"/>
        <v>0.97044553354850815</v>
      </c>
      <c r="AH21" s="92">
        <f t="shared" si="65"/>
        <v>1</v>
      </c>
      <c r="AI21" s="92">
        <f t="shared" si="66"/>
        <v>0.98511193960306265</v>
      </c>
      <c r="AJ21" s="92">
        <f t="shared" si="67"/>
        <v>0.95599748183309996</v>
      </c>
      <c r="AK21" s="92">
        <f t="shared" si="68"/>
        <v>0.88692043671715748</v>
      </c>
      <c r="AL21" s="92">
        <f t="shared" si="69"/>
        <v>0.82283465805601841</v>
      </c>
      <c r="AM21" s="92">
        <f t="shared" si="70"/>
        <v>0.76337949433685315</v>
      </c>
      <c r="AN21" s="91">
        <f t="shared" si="71"/>
        <v>0.65704681981505675</v>
      </c>
      <c r="AR21" s="259"/>
      <c r="AS21" s="96">
        <v>2</v>
      </c>
      <c r="AT21" s="92">
        <f t="shared" si="15"/>
        <v>1</v>
      </c>
      <c r="AU21" s="92">
        <f t="shared" si="16"/>
        <v>1</v>
      </c>
      <c r="AV21" s="92">
        <f t="shared" si="17"/>
        <v>1</v>
      </c>
      <c r="AW21" s="92">
        <f t="shared" si="18"/>
        <v>1</v>
      </c>
      <c r="AX21" s="92">
        <f t="shared" si="19"/>
        <v>1</v>
      </c>
      <c r="AY21" s="92">
        <f t="shared" si="20"/>
        <v>1</v>
      </c>
      <c r="AZ21" s="92">
        <f t="shared" si="21"/>
        <v>1</v>
      </c>
      <c r="BA21" s="92">
        <f t="shared" si="22"/>
        <v>1</v>
      </c>
      <c r="BB21" s="92">
        <f t="shared" si="23"/>
        <v>0.95327014355314543</v>
      </c>
      <c r="BC21" s="94">
        <f t="shared" si="24"/>
        <v>0.8204872162440523</v>
      </c>
      <c r="BD21" s="93">
        <f t="shared" si="72"/>
        <v>1</v>
      </c>
      <c r="BE21" s="92">
        <f t="shared" si="73"/>
        <v>1</v>
      </c>
      <c r="BF21" s="92">
        <f t="shared" si="74"/>
        <v>1</v>
      </c>
      <c r="BG21" s="92">
        <f t="shared" si="75"/>
        <v>1</v>
      </c>
      <c r="BH21" s="92">
        <f t="shared" si="76"/>
        <v>1</v>
      </c>
      <c r="BI21" s="92">
        <f t="shared" si="77"/>
        <v>1</v>
      </c>
      <c r="BJ21" s="92">
        <f t="shared" si="78"/>
        <v>1</v>
      </c>
      <c r="BK21" s="92">
        <f t="shared" si="79"/>
        <v>1</v>
      </c>
      <c r="BL21" s="92">
        <f t="shared" si="80"/>
        <v>0.95422436792106646</v>
      </c>
      <c r="BM21" s="91">
        <f t="shared" si="81"/>
        <v>0.82130852476882099</v>
      </c>
      <c r="BQ21" s="255"/>
      <c r="BR21" s="95">
        <v>2</v>
      </c>
      <c r="BS21" s="93">
        <f t="shared" si="82"/>
        <v>0.60733024629316268</v>
      </c>
      <c r="BT21" s="92">
        <f t="shared" si="83"/>
        <v>0.68476294056446774</v>
      </c>
      <c r="BU21" s="92">
        <f t="shared" si="84"/>
        <v>0.72710631601121978</v>
      </c>
      <c r="BV21" s="92">
        <f t="shared" si="85"/>
        <v>0.74925000000000008</v>
      </c>
      <c r="BW21" s="92">
        <f t="shared" si="86"/>
        <v>0.73809512074759476</v>
      </c>
      <c r="BX21" s="92">
        <f t="shared" si="87"/>
        <v>0.71628111326345023</v>
      </c>
      <c r="BY21" s="92">
        <f t="shared" si="88"/>
        <v>0.66452513721033035</v>
      </c>
      <c r="BZ21" s="92">
        <f t="shared" si="89"/>
        <v>0.61650886754847189</v>
      </c>
      <c r="CA21" s="92">
        <f t="shared" si="90"/>
        <v>0.57196208613188726</v>
      </c>
      <c r="CB21" s="94">
        <f t="shared" si="91"/>
        <v>0.49229232974643133</v>
      </c>
      <c r="CC21" s="93">
        <f t="shared" si="92"/>
        <v>0.60793818447764036</v>
      </c>
      <c r="CD21" s="92">
        <f t="shared" si="93"/>
        <v>0.68544838895342108</v>
      </c>
      <c r="CE21" s="92">
        <f t="shared" si="94"/>
        <v>0.72783415016138109</v>
      </c>
      <c r="CF21" s="92">
        <f t="shared" si="95"/>
        <v>1</v>
      </c>
      <c r="CG21" s="92">
        <f t="shared" si="96"/>
        <v>0.73883395470229696</v>
      </c>
      <c r="CH21" s="92">
        <f t="shared" si="97"/>
        <v>0.71699811137482494</v>
      </c>
      <c r="CI21" s="92">
        <f t="shared" si="98"/>
        <v>0.66519032753786811</v>
      </c>
      <c r="CJ21" s="92">
        <f t="shared" si="99"/>
        <v>0.61712599354201381</v>
      </c>
      <c r="CK21" s="92">
        <f t="shared" si="100"/>
        <v>0.57253462075263983</v>
      </c>
      <c r="CL21" s="91">
        <f t="shared" si="101"/>
        <v>0.49278511486129256</v>
      </c>
    </row>
    <row r="22" spans="1:90" x14ac:dyDescent="0.3">
      <c r="S22" s="259"/>
      <c r="T22" s="96">
        <v>3</v>
      </c>
      <c r="U22" s="92">
        <f t="shared" ref="U22:AD22" si="106">U12*99.9%</f>
        <v>0.71820480969849432</v>
      </c>
      <c r="V22" s="92">
        <f t="shared" si="106"/>
        <v>0.8598472684486328</v>
      </c>
      <c r="W22" s="92">
        <f t="shared" si="106"/>
        <v>0.94082276905066453</v>
      </c>
      <c r="X22" s="92">
        <f t="shared" si="106"/>
        <v>0.98412682766345971</v>
      </c>
      <c r="Y22" s="92">
        <f t="shared" si="106"/>
        <v>0.99900000000000011</v>
      </c>
      <c r="Z22" s="92">
        <f t="shared" si="106"/>
        <v>0.97921847463344858</v>
      </c>
      <c r="AA22" s="92">
        <f t="shared" si="106"/>
        <v>0.93146142608604243</v>
      </c>
      <c r="AB22" s="92">
        <f t="shared" si="106"/>
        <v>0.88603351628044047</v>
      </c>
      <c r="AC22" s="92">
        <f t="shared" si="106"/>
        <v>0.84282115177978745</v>
      </c>
      <c r="AD22" s="91">
        <f t="shared" si="106"/>
        <v>0.76261611484251646</v>
      </c>
      <c r="AE22" s="92">
        <f t="shared" si="62"/>
        <v>0.71892373343192617</v>
      </c>
      <c r="AF22" s="92">
        <f t="shared" si="63"/>
        <v>0.86070797642505781</v>
      </c>
      <c r="AG22" s="92">
        <f t="shared" si="64"/>
        <v>0.94176453358424872</v>
      </c>
      <c r="AH22" s="92">
        <f t="shared" si="65"/>
        <v>0.98511193960306265</v>
      </c>
      <c r="AI22" s="92">
        <f t="shared" si="66"/>
        <v>1</v>
      </c>
      <c r="AJ22" s="92">
        <f t="shared" si="67"/>
        <v>0.98019867330675525</v>
      </c>
      <c r="AK22" s="92">
        <f t="shared" si="68"/>
        <v>0.93239381990594827</v>
      </c>
      <c r="AL22" s="92">
        <f t="shared" si="69"/>
        <v>0.88692043671715748</v>
      </c>
      <c r="AM22" s="92">
        <f t="shared" si="70"/>
        <v>0.8436648165963837</v>
      </c>
      <c r="AN22" s="91">
        <f t="shared" si="71"/>
        <v>0.76337949433685326</v>
      </c>
      <c r="AR22" s="259"/>
      <c r="AS22" s="96">
        <v>3</v>
      </c>
      <c r="AT22" s="92">
        <f t="shared" si="15"/>
        <v>0.89775601212311784</v>
      </c>
      <c r="AU22" s="92">
        <f t="shared" si="16"/>
        <v>1</v>
      </c>
      <c r="AV22" s="92">
        <f t="shared" si="17"/>
        <v>1</v>
      </c>
      <c r="AW22" s="92">
        <f t="shared" si="18"/>
        <v>1</v>
      </c>
      <c r="AX22" s="92">
        <f t="shared" si="19"/>
        <v>1</v>
      </c>
      <c r="AY22" s="92">
        <f t="shared" si="20"/>
        <v>1</v>
      </c>
      <c r="AZ22" s="92">
        <f t="shared" si="21"/>
        <v>1</v>
      </c>
      <c r="BA22" s="92">
        <f t="shared" si="22"/>
        <v>1</v>
      </c>
      <c r="BB22" s="92">
        <f t="shared" si="23"/>
        <v>1</v>
      </c>
      <c r="BC22" s="94">
        <f t="shared" si="24"/>
        <v>0.95327014355314554</v>
      </c>
      <c r="BD22" s="93">
        <f t="shared" si="72"/>
        <v>0.89865466678990769</v>
      </c>
      <c r="BE22" s="92">
        <f t="shared" si="73"/>
        <v>1</v>
      </c>
      <c r="BF22" s="92">
        <f t="shared" si="74"/>
        <v>1</v>
      </c>
      <c r="BG22" s="92">
        <f t="shared" si="75"/>
        <v>1</v>
      </c>
      <c r="BH22" s="92">
        <f t="shared" si="76"/>
        <v>1</v>
      </c>
      <c r="BI22" s="92">
        <f t="shared" si="77"/>
        <v>1</v>
      </c>
      <c r="BJ22" s="92">
        <f t="shared" si="78"/>
        <v>1</v>
      </c>
      <c r="BK22" s="92">
        <f t="shared" si="79"/>
        <v>1</v>
      </c>
      <c r="BL22" s="92">
        <f t="shared" si="80"/>
        <v>1</v>
      </c>
      <c r="BM22" s="91">
        <f t="shared" si="81"/>
        <v>0.95422436792106657</v>
      </c>
      <c r="BQ22" s="255"/>
      <c r="BR22" s="95">
        <v>3</v>
      </c>
      <c r="BS22" s="93">
        <f t="shared" si="82"/>
        <v>0.53865360727387079</v>
      </c>
      <c r="BT22" s="92">
        <f t="shared" si="83"/>
        <v>0.64488545133647457</v>
      </c>
      <c r="BU22" s="92">
        <f t="shared" si="84"/>
        <v>0.70561707678799834</v>
      </c>
      <c r="BV22" s="92">
        <f t="shared" si="85"/>
        <v>0.73809512074759476</v>
      </c>
      <c r="BW22" s="92">
        <f t="shared" si="86"/>
        <v>0.74925000000000008</v>
      </c>
      <c r="BX22" s="92">
        <f t="shared" si="87"/>
        <v>0.73441385597508646</v>
      </c>
      <c r="BY22" s="92">
        <f t="shared" si="88"/>
        <v>0.6985960695645318</v>
      </c>
      <c r="BZ22" s="92">
        <f t="shared" si="89"/>
        <v>0.66452513721033035</v>
      </c>
      <c r="CA22" s="92">
        <f t="shared" si="90"/>
        <v>0.63211586383484053</v>
      </c>
      <c r="CB22" s="94">
        <f t="shared" si="91"/>
        <v>0.57196208613188737</v>
      </c>
      <c r="CC22" s="93">
        <f t="shared" si="92"/>
        <v>0.53919280007394466</v>
      </c>
      <c r="CD22" s="92">
        <f t="shared" si="93"/>
        <v>0.64553098231879336</v>
      </c>
      <c r="CE22" s="92">
        <f t="shared" si="94"/>
        <v>0.70632340018818651</v>
      </c>
      <c r="CF22" s="92">
        <f t="shared" si="95"/>
        <v>0.73883395470229696</v>
      </c>
      <c r="CG22" s="92">
        <f t="shared" si="96"/>
        <v>1</v>
      </c>
      <c r="CH22" s="92">
        <f t="shared" si="97"/>
        <v>0.73514900498006641</v>
      </c>
      <c r="CI22" s="92">
        <f t="shared" si="98"/>
        <v>0.69929536492946121</v>
      </c>
      <c r="CJ22" s="92">
        <f t="shared" si="99"/>
        <v>0.66519032753786811</v>
      </c>
      <c r="CK22" s="92">
        <f t="shared" si="100"/>
        <v>0.63274861244728775</v>
      </c>
      <c r="CL22" s="91">
        <f t="shared" si="101"/>
        <v>0.57253462075263994</v>
      </c>
    </row>
    <row r="23" spans="1:90" x14ac:dyDescent="0.3">
      <c r="S23" s="259"/>
      <c r="T23" s="96">
        <v>5</v>
      </c>
      <c r="U23" s="92">
        <f t="shared" ref="U23:AD23" si="107">U13*99.9%</f>
        <v>0.56495991326083761</v>
      </c>
      <c r="V23" s="92">
        <f t="shared" si="107"/>
        <v>0.76261611484251635</v>
      </c>
      <c r="W23" s="92">
        <f t="shared" si="107"/>
        <v>0.88603351628044047</v>
      </c>
      <c r="X23" s="92">
        <f t="shared" si="107"/>
        <v>0.95504148435126701</v>
      </c>
      <c r="Y23" s="92">
        <f t="shared" si="107"/>
        <v>0.97921847463344858</v>
      </c>
      <c r="Z23" s="92">
        <f t="shared" si="107"/>
        <v>0.99900000000000011</v>
      </c>
      <c r="AA23" s="92">
        <f t="shared" si="107"/>
        <v>0.96947508801495974</v>
      </c>
      <c r="AB23" s="92">
        <f t="shared" si="107"/>
        <v>0.94082276905066453</v>
      </c>
      <c r="AC23" s="92">
        <f t="shared" si="107"/>
        <v>0.91301725408595702</v>
      </c>
      <c r="AD23" s="91">
        <f t="shared" si="107"/>
        <v>0.8598472684486328</v>
      </c>
      <c r="AE23" s="92">
        <f t="shared" si="62"/>
        <v>0.56552543869953709</v>
      </c>
      <c r="AF23" s="92">
        <f t="shared" si="63"/>
        <v>0.76337949433685315</v>
      </c>
      <c r="AG23" s="92">
        <f t="shared" si="64"/>
        <v>0.88692043671715748</v>
      </c>
      <c r="AH23" s="92">
        <f t="shared" si="65"/>
        <v>0.95599748183309996</v>
      </c>
      <c r="AI23" s="92">
        <f t="shared" si="66"/>
        <v>0.98019867330675525</v>
      </c>
      <c r="AJ23" s="92">
        <f t="shared" si="67"/>
        <v>1</v>
      </c>
      <c r="AK23" s="92">
        <f t="shared" si="68"/>
        <v>0.97044553354850815</v>
      </c>
      <c r="AL23" s="92">
        <f t="shared" si="69"/>
        <v>0.94176453358424872</v>
      </c>
      <c r="AM23" s="92">
        <f t="shared" si="70"/>
        <v>0.91393118527122819</v>
      </c>
      <c r="AN23" s="91">
        <f t="shared" si="71"/>
        <v>0.86070797642505781</v>
      </c>
      <c r="AR23" s="259"/>
      <c r="AS23" s="96">
        <v>5</v>
      </c>
      <c r="AT23" s="92">
        <f t="shared" si="15"/>
        <v>0.70619989157604701</v>
      </c>
      <c r="AU23" s="92">
        <f t="shared" si="16"/>
        <v>0.95327014355314543</v>
      </c>
      <c r="AV23" s="92">
        <f t="shared" si="17"/>
        <v>1</v>
      </c>
      <c r="AW23" s="92">
        <f t="shared" si="18"/>
        <v>1</v>
      </c>
      <c r="AX23" s="92">
        <f t="shared" si="19"/>
        <v>1</v>
      </c>
      <c r="AY23" s="92">
        <f t="shared" si="20"/>
        <v>1</v>
      </c>
      <c r="AZ23" s="92">
        <f t="shared" si="21"/>
        <v>1</v>
      </c>
      <c r="BA23" s="92">
        <f t="shared" si="22"/>
        <v>1</v>
      </c>
      <c r="BB23" s="92">
        <f t="shared" si="23"/>
        <v>1</v>
      </c>
      <c r="BC23" s="94">
        <f t="shared" si="24"/>
        <v>1</v>
      </c>
      <c r="BD23" s="93">
        <f t="shared" si="72"/>
        <v>0.70690679837442139</v>
      </c>
      <c r="BE23" s="92">
        <f t="shared" si="73"/>
        <v>0.95422436792106646</v>
      </c>
      <c r="BF23" s="92">
        <f t="shared" si="74"/>
        <v>1</v>
      </c>
      <c r="BG23" s="92">
        <f t="shared" si="75"/>
        <v>1</v>
      </c>
      <c r="BH23" s="92">
        <f t="shared" si="76"/>
        <v>1</v>
      </c>
      <c r="BI23" s="92">
        <f t="shared" si="77"/>
        <v>1</v>
      </c>
      <c r="BJ23" s="92">
        <f t="shared" si="78"/>
        <v>1</v>
      </c>
      <c r="BK23" s="92">
        <f t="shared" si="79"/>
        <v>1</v>
      </c>
      <c r="BL23" s="92">
        <f t="shared" si="80"/>
        <v>1</v>
      </c>
      <c r="BM23" s="91">
        <f t="shared" si="81"/>
        <v>1</v>
      </c>
      <c r="BQ23" s="255"/>
      <c r="BR23" s="95">
        <v>5</v>
      </c>
      <c r="BS23" s="93">
        <f t="shared" si="82"/>
        <v>0.42371993494562821</v>
      </c>
      <c r="BT23" s="92">
        <f t="shared" si="83"/>
        <v>0.57196208613188726</v>
      </c>
      <c r="BU23" s="92">
        <f t="shared" si="84"/>
        <v>0.66452513721033035</v>
      </c>
      <c r="BV23" s="92">
        <f t="shared" si="85"/>
        <v>0.71628111326345023</v>
      </c>
      <c r="BW23" s="92">
        <f t="shared" si="86"/>
        <v>0.73441385597508646</v>
      </c>
      <c r="BX23" s="92">
        <f t="shared" si="87"/>
        <v>0.74925000000000008</v>
      </c>
      <c r="BY23" s="92">
        <f t="shared" si="88"/>
        <v>0.72710631601121978</v>
      </c>
      <c r="BZ23" s="92">
        <f t="shared" si="89"/>
        <v>0.70561707678799834</v>
      </c>
      <c r="CA23" s="92">
        <f t="shared" si="90"/>
        <v>0.68476294056446774</v>
      </c>
      <c r="CB23" s="94">
        <f t="shared" si="91"/>
        <v>0.64488545133647457</v>
      </c>
      <c r="CC23" s="93">
        <f t="shared" si="92"/>
        <v>0.42414407902465279</v>
      </c>
      <c r="CD23" s="92">
        <f t="shared" si="93"/>
        <v>0.57253462075263983</v>
      </c>
      <c r="CE23" s="92">
        <f t="shared" si="94"/>
        <v>0.66519032753786811</v>
      </c>
      <c r="CF23" s="92">
        <f t="shared" si="95"/>
        <v>0.71699811137482494</v>
      </c>
      <c r="CG23" s="92">
        <f t="shared" si="96"/>
        <v>0.73514900498006641</v>
      </c>
      <c r="CH23" s="92">
        <f t="shared" si="97"/>
        <v>1</v>
      </c>
      <c r="CI23" s="92">
        <f t="shared" si="98"/>
        <v>0.72783415016138109</v>
      </c>
      <c r="CJ23" s="92">
        <f t="shared" si="99"/>
        <v>0.70632340018818651</v>
      </c>
      <c r="CK23" s="92">
        <f t="shared" si="100"/>
        <v>0.68544838895342108</v>
      </c>
      <c r="CL23" s="91">
        <f t="shared" si="101"/>
        <v>0.64553098231879336</v>
      </c>
    </row>
    <row r="24" spans="1:90" x14ac:dyDescent="0.3">
      <c r="C24" s="175">
        <v>0.25</v>
      </c>
      <c r="D24" s="175">
        <v>0.5</v>
      </c>
      <c r="E24" s="175">
        <v>1</v>
      </c>
      <c r="F24" s="175">
        <v>2</v>
      </c>
      <c r="G24" s="175">
        <v>3</v>
      </c>
      <c r="H24" s="175">
        <v>5</v>
      </c>
      <c r="I24" s="175">
        <v>10</v>
      </c>
      <c r="J24" s="175">
        <v>15</v>
      </c>
      <c r="K24" s="175">
        <v>20</v>
      </c>
      <c r="L24" s="175">
        <v>30</v>
      </c>
      <c r="S24" s="259"/>
      <c r="T24" s="96">
        <v>10</v>
      </c>
      <c r="U24" s="92">
        <f t="shared" ref="U24:AD24" si="108">U14*99.9%</f>
        <v>0.39960000000000007</v>
      </c>
      <c r="V24" s="92">
        <f t="shared" si="108"/>
        <v>0.56495991326083761</v>
      </c>
      <c r="W24" s="92">
        <f t="shared" si="108"/>
        <v>0.76261611484251635</v>
      </c>
      <c r="X24" s="92">
        <f t="shared" si="108"/>
        <v>0.88603351628044047</v>
      </c>
      <c r="Y24" s="92">
        <f t="shared" si="108"/>
        <v>0.93146142608604243</v>
      </c>
      <c r="Z24" s="92">
        <f t="shared" si="108"/>
        <v>0.96947508801495974</v>
      </c>
      <c r="AA24" s="92">
        <f t="shared" si="108"/>
        <v>0.99900000000000011</v>
      </c>
      <c r="AB24" s="92">
        <f t="shared" si="108"/>
        <v>0.98412682766345971</v>
      </c>
      <c r="AC24" s="92">
        <f t="shared" si="108"/>
        <v>0.96947508801495974</v>
      </c>
      <c r="AD24" s="91">
        <f t="shared" si="108"/>
        <v>0.94082276905066453</v>
      </c>
      <c r="AE24" s="92">
        <f t="shared" si="62"/>
        <v>0.4</v>
      </c>
      <c r="AF24" s="92">
        <f t="shared" si="63"/>
        <v>0.56552543869953709</v>
      </c>
      <c r="AG24" s="92">
        <f t="shared" si="64"/>
        <v>0.76337949433685315</v>
      </c>
      <c r="AH24" s="92">
        <f t="shared" si="65"/>
        <v>0.88692043671715748</v>
      </c>
      <c r="AI24" s="92">
        <f t="shared" si="66"/>
        <v>0.93239381990594827</v>
      </c>
      <c r="AJ24" s="92">
        <f t="shared" si="67"/>
        <v>0.97044553354850815</v>
      </c>
      <c r="AK24" s="92">
        <f t="shared" si="68"/>
        <v>1</v>
      </c>
      <c r="AL24" s="92">
        <f t="shared" si="69"/>
        <v>0.98511193960306265</v>
      </c>
      <c r="AM24" s="92">
        <f t="shared" si="70"/>
        <v>0.97044553354850815</v>
      </c>
      <c r="AN24" s="91">
        <f t="shared" si="71"/>
        <v>0.94176453358424872</v>
      </c>
      <c r="AR24" s="259"/>
      <c r="AS24" s="96">
        <v>10</v>
      </c>
      <c r="AT24" s="92">
        <f t="shared" si="15"/>
        <v>0.49950000000000006</v>
      </c>
      <c r="AU24" s="92">
        <f t="shared" si="16"/>
        <v>0.70619989157604701</v>
      </c>
      <c r="AV24" s="92">
        <f t="shared" si="17"/>
        <v>0.95327014355314543</v>
      </c>
      <c r="AW24" s="92">
        <f t="shared" si="18"/>
        <v>1</v>
      </c>
      <c r="AX24" s="92">
        <f t="shared" si="19"/>
        <v>1</v>
      </c>
      <c r="AY24" s="92">
        <f t="shared" si="20"/>
        <v>1</v>
      </c>
      <c r="AZ24" s="92">
        <f t="shared" si="21"/>
        <v>1</v>
      </c>
      <c r="BA24" s="92">
        <f t="shared" si="22"/>
        <v>1</v>
      </c>
      <c r="BB24" s="92">
        <f t="shared" si="23"/>
        <v>1</v>
      </c>
      <c r="BC24" s="94">
        <f t="shared" si="24"/>
        <v>1</v>
      </c>
      <c r="BD24" s="93">
        <f t="shared" si="72"/>
        <v>0.5</v>
      </c>
      <c r="BE24" s="92">
        <f t="shared" si="73"/>
        <v>0.70690679837442139</v>
      </c>
      <c r="BF24" s="92">
        <f t="shared" si="74"/>
        <v>0.95422436792106646</v>
      </c>
      <c r="BG24" s="92">
        <f t="shared" si="75"/>
        <v>1</v>
      </c>
      <c r="BH24" s="92">
        <f t="shared" si="76"/>
        <v>1</v>
      </c>
      <c r="BI24" s="92">
        <f t="shared" si="77"/>
        <v>1</v>
      </c>
      <c r="BJ24" s="92">
        <f t="shared" si="78"/>
        <v>1</v>
      </c>
      <c r="BK24" s="92">
        <f t="shared" si="79"/>
        <v>1</v>
      </c>
      <c r="BL24" s="92">
        <f t="shared" si="80"/>
        <v>1</v>
      </c>
      <c r="BM24" s="91">
        <f t="shared" si="81"/>
        <v>1</v>
      </c>
      <c r="BQ24" s="255"/>
      <c r="BR24" s="95">
        <v>10</v>
      </c>
      <c r="BS24" s="93">
        <f t="shared" si="82"/>
        <v>0.29970000000000008</v>
      </c>
      <c r="BT24" s="92">
        <f t="shared" si="83"/>
        <v>0.42371993494562821</v>
      </c>
      <c r="BU24" s="92">
        <f t="shared" si="84"/>
        <v>0.57196208613188726</v>
      </c>
      <c r="BV24" s="92">
        <f t="shared" si="85"/>
        <v>0.66452513721033035</v>
      </c>
      <c r="BW24" s="92">
        <f t="shared" si="86"/>
        <v>0.6985960695645318</v>
      </c>
      <c r="BX24" s="92">
        <f t="shared" si="87"/>
        <v>0.72710631601121978</v>
      </c>
      <c r="BY24" s="92">
        <f t="shared" si="88"/>
        <v>0.74925000000000008</v>
      </c>
      <c r="BZ24" s="92">
        <f t="shared" si="89"/>
        <v>0.73809512074759476</v>
      </c>
      <c r="CA24" s="92">
        <f t="shared" si="90"/>
        <v>0.72710631601121978</v>
      </c>
      <c r="CB24" s="94">
        <f t="shared" si="91"/>
        <v>0.70561707678799834</v>
      </c>
      <c r="CC24" s="93">
        <f t="shared" si="92"/>
        <v>0.30000000000000004</v>
      </c>
      <c r="CD24" s="92">
        <f t="shared" si="93"/>
        <v>0.42414407902465279</v>
      </c>
      <c r="CE24" s="92">
        <f t="shared" si="94"/>
        <v>0.57253462075263983</v>
      </c>
      <c r="CF24" s="92">
        <f t="shared" si="95"/>
        <v>0.66519032753786811</v>
      </c>
      <c r="CG24" s="92">
        <f t="shared" si="96"/>
        <v>0.69929536492946121</v>
      </c>
      <c r="CH24" s="92">
        <f t="shared" si="97"/>
        <v>0.72783415016138109</v>
      </c>
      <c r="CI24" s="92">
        <f t="shared" si="98"/>
        <v>1</v>
      </c>
      <c r="CJ24" s="92">
        <f t="shared" si="99"/>
        <v>0.73883395470229696</v>
      </c>
      <c r="CK24" s="92">
        <f t="shared" si="100"/>
        <v>0.72783415016138109</v>
      </c>
      <c r="CL24" s="91">
        <f t="shared" si="101"/>
        <v>0.70632340018818651</v>
      </c>
    </row>
    <row r="25" spans="1:90" x14ac:dyDescent="0.3">
      <c r="A25" s="175" t="s">
        <v>170</v>
      </c>
      <c r="B25" s="175"/>
      <c r="C25" s="102">
        <v>2.4E-2</v>
      </c>
      <c r="D25" s="101">
        <v>2.4E-2</v>
      </c>
      <c r="E25" s="101">
        <v>2.2499999999999999E-2</v>
      </c>
      <c r="F25" s="101">
        <v>1.8800000000000001E-2</v>
      </c>
      <c r="G25" s="101">
        <v>1.7299999999999999E-2</v>
      </c>
      <c r="H25" s="101">
        <v>1.4999999999999999E-2</v>
      </c>
      <c r="I25" s="101">
        <v>1.4999999999999999E-2</v>
      </c>
      <c r="J25" s="101">
        <v>1.4999999999999999E-2</v>
      </c>
      <c r="K25" s="101">
        <v>1.4999999999999999E-2</v>
      </c>
      <c r="L25" s="100">
        <v>1.4999999999999999E-2</v>
      </c>
      <c r="S25" s="259"/>
      <c r="T25" s="96">
        <v>15</v>
      </c>
      <c r="U25" s="92">
        <f t="shared" ref="U25:AD25" si="109">U15*99.9%</f>
        <v>0.39960000000000007</v>
      </c>
      <c r="V25" s="92">
        <f t="shared" si="109"/>
        <v>0.41853259769839141</v>
      </c>
      <c r="W25" s="92">
        <f t="shared" si="109"/>
        <v>0.65638977299524182</v>
      </c>
      <c r="X25" s="92">
        <f t="shared" si="109"/>
        <v>0.82201182339796253</v>
      </c>
      <c r="Y25" s="92">
        <f t="shared" si="109"/>
        <v>0.88603351628044047</v>
      </c>
      <c r="Z25" s="92">
        <f t="shared" si="109"/>
        <v>0.94082276905066453</v>
      </c>
      <c r="AA25" s="92">
        <f t="shared" si="109"/>
        <v>0.98412682766345971</v>
      </c>
      <c r="AB25" s="92">
        <f t="shared" si="109"/>
        <v>0.99900000000000011</v>
      </c>
      <c r="AC25" s="92">
        <f t="shared" si="109"/>
        <v>0.98905978391541904</v>
      </c>
      <c r="AD25" s="91">
        <f t="shared" si="109"/>
        <v>0.96947508801495974</v>
      </c>
      <c r="AE25" s="92">
        <f t="shared" si="62"/>
        <v>0.4</v>
      </c>
      <c r="AF25" s="92">
        <f t="shared" si="63"/>
        <v>0.418951549247639</v>
      </c>
      <c r="AG25" s="92">
        <f t="shared" si="64"/>
        <v>0.65704681981505675</v>
      </c>
      <c r="AH25" s="92">
        <f t="shared" si="65"/>
        <v>0.82283465805601841</v>
      </c>
      <c r="AI25" s="92">
        <f t="shared" si="66"/>
        <v>0.88692043671715748</v>
      </c>
      <c r="AJ25" s="92">
        <f t="shared" si="67"/>
        <v>0.94176453358424872</v>
      </c>
      <c r="AK25" s="92">
        <f t="shared" si="68"/>
        <v>0.98511193960306265</v>
      </c>
      <c r="AL25" s="92">
        <f t="shared" si="69"/>
        <v>1</v>
      </c>
      <c r="AM25" s="92">
        <f t="shared" si="70"/>
        <v>0.99004983374916811</v>
      </c>
      <c r="AN25" s="91">
        <f t="shared" si="71"/>
        <v>0.97044553354850815</v>
      </c>
      <c r="AR25" s="259"/>
      <c r="AS25" s="96">
        <v>15</v>
      </c>
      <c r="AT25" s="92">
        <f t="shared" si="15"/>
        <v>0.49950000000000006</v>
      </c>
      <c r="AU25" s="92">
        <f t="shared" si="16"/>
        <v>0.52316574712298924</v>
      </c>
      <c r="AV25" s="92">
        <f t="shared" si="17"/>
        <v>0.8204872162440523</v>
      </c>
      <c r="AW25" s="92">
        <f t="shared" si="18"/>
        <v>1</v>
      </c>
      <c r="AX25" s="92">
        <f t="shared" si="19"/>
        <v>1</v>
      </c>
      <c r="AY25" s="92">
        <f t="shared" si="20"/>
        <v>1</v>
      </c>
      <c r="AZ25" s="92">
        <f t="shared" si="21"/>
        <v>1</v>
      </c>
      <c r="BA25" s="92">
        <f t="shared" si="22"/>
        <v>1</v>
      </c>
      <c r="BB25" s="92">
        <f t="shared" si="23"/>
        <v>1</v>
      </c>
      <c r="BC25" s="94">
        <f t="shared" si="24"/>
        <v>1</v>
      </c>
      <c r="BD25" s="93">
        <f t="shared" si="72"/>
        <v>0.5</v>
      </c>
      <c r="BE25" s="92">
        <f t="shared" si="73"/>
        <v>0.5236894365595488</v>
      </c>
      <c r="BF25" s="92">
        <f t="shared" si="74"/>
        <v>0.82130852476882099</v>
      </c>
      <c r="BG25" s="92">
        <f t="shared" si="75"/>
        <v>1</v>
      </c>
      <c r="BH25" s="92">
        <f t="shared" si="76"/>
        <v>1</v>
      </c>
      <c r="BI25" s="92">
        <f t="shared" si="77"/>
        <v>1</v>
      </c>
      <c r="BJ25" s="92">
        <f t="shared" si="78"/>
        <v>1</v>
      </c>
      <c r="BK25" s="92">
        <f t="shared" si="79"/>
        <v>1</v>
      </c>
      <c r="BL25" s="92">
        <f t="shared" si="80"/>
        <v>1</v>
      </c>
      <c r="BM25" s="91">
        <f t="shared" si="81"/>
        <v>1</v>
      </c>
      <c r="BQ25" s="255"/>
      <c r="BR25" s="95">
        <v>15</v>
      </c>
      <c r="BS25" s="93">
        <f t="shared" si="82"/>
        <v>0.29970000000000008</v>
      </c>
      <c r="BT25" s="92">
        <f t="shared" si="83"/>
        <v>0.31389944827379357</v>
      </c>
      <c r="BU25" s="92">
        <f t="shared" si="84"/>
        <v>0.49229232974643133</v>
      </c>
      <c r="BV25" s="92">
        <f t="shared" si="85"/>
        <v>0.61650886754847189</v>
      </c>
      <c r="BW25" s="92">
        <f t="shared" si="86"/>
        <v>0.66452513721033035</v>
      </c>
      <c r="BX25" s="92">
        <f t="shared" si="87"/>
        <v>0.70561707678799834</v>
      </c>
      <c r="BY25" s="92">
        <f t="shared" si="88"/>
        <v>0.73809512074759476</v>
      </c>
      <c r="BZ25" s="92">
        <f t="shared" si="89"/>
        <v>0.74925000000000008</v>
      </c>
      <c r="CA25" s="92">
        <f t="shared" si="90"/>
        <v>0.74179483793656431</v>
      </c>
      <c r="CB25" s="94">
        <f t="shared" si="91"/>
        <v>0.72710631601121978</v>
      </c>
      <c r="CC25" s="93">
        <f t="shared" si="92"/>
        <v>0.30000000000000004</v>
      </c>
      <c r="CD25" s="92">
        <f t="shared" si="93"/>
        <v>0.31421366193572925</v>
      </c>
      <c r="CE25" s="92">
        <f t="shared" si="94"/>
        <v>0.49278511486129256</v>
      </c>
      <c r="CF25" s="92">
        <f t="shared" si="95"/>
        <v>0.61712599354201381</v>
      </c>
      <c r="CG25" s="92">
        <f t="shared" si="96"/>
        <v>0.66519032753786811</v>
      </c>
      <c r="CH25" s="92">
        <f t="shared" si="97"/>
        <v>0.70632340018818651</v>
      </c>
      <c r="CI25" s="92">
        <f t="shared" si="98"/>
        <v>0.73883395470229696</v>
      </c>
      <c r="CJ25" s="92">
        <f t="shared" si="99"/>
        <v>1</v>
      </c>
      <c r="CK25" s="92">
        <f t="shared" si="100"/>
        <v>0.74253737531187602</v>
      </c>
      <c r="CL25" s="91">
        <f t="shared" si="101"/>
        <v>0.72783415016138109</v>
      </c>
    </row>
    <row r="26" spans="1:90" ht="15" thickBot="1" x14ac:dyDescent="0.35">
      <c r="A26" s="175" t="s">
        <v>169</v>
      </c>
      <c r="B26" s="175"/>
      <c r="C26" s="99">
        <f t="shared" ref="C26:L26" si="110">C25/SQRT(2)</f>
        <v>1.6970562748477139E-2</v>
      </c>
      <c r="D26" s="98">
        <f t="shared" si="110"/>
        <v>1.6970562748477139E-2</v>
      </c>
      <c r="E26" s="98">
        <f t="shared" si="110"/>
        <v>1.5909902576697318E-2</v>
      </c>
      <c r="F26" s="98">
        <f t="shared" si="110"/>
        <v>1.3293607486307093E-2</v>
      </c>
      <c r="G26" s="98">
        <f t="shared" si="110"/>
        <v>1.2232947314527272E-2</v>
      </c>
      <c r="H26" s="98">
        <f t="shared" si="110"/>
        <v>1.0606601717798212E-2</v>
      </c>
      <c r="I26" s="98">
        <f t="shared" si="110"/>
        <v>1.0606601717798212E-2</v>
      </c>
      <c r="J26" s="98">
        <f t="shared" si="110"/>
        <v>1.0606601717798212E-2</v>
      </c>
      <c r="K26" s="98">
        <f t="shared" si="110"/>
        <v>1.0606601717798212E-2</v>
      </c>
      <c r="L26" s="97">
        <f t="shared" si="110"/>
        <v>1.0606601717798212E-2</v>
      </c>
      <c r="S26" s="259"/>
      <c r="T26" s="96">
        <v>20</v>
      </c>
      <c r="U26" s="92">
        <f t="shared" ref="U26:AD26" si="111">U16*99.9%</f>
        <v>0.39960000000000007</v>
      </c>
      <c r="V26" s="92">
        <f t="shared" si="111"/>
        <v>0.39960000000000007</v>
      </c>
      <c r="W26" s="92">
        <f t="shared" si="111"/>
        <v>0.56495991326083761</v>
      </c>
      <c r="X26" s="92">
        <f t="shared" si="111"/>
        <v>0.76261611484251635</v>
      </c>
      <c r="Y26" s="92">
        <f t="shared" si="111"/>
        <v>0.84282115177978745</v>
      </c>
      <c r="Z26" s="92">
        <f t="shared" si="111"/>
        <v>0.91301725408595702</v>
      </c>
      <c r="AA26" s="92">
        <f t="shared" si="111"/>
        <v>0.96947508801495974</v>
      </c>
      <c r="AB26" s="92">
        <f t="shared" si="111"/>
        <v>0.98905978391541904</v>
      </c>
      <c r="AC26" s="92">
        <f t="shared" si="111"/>
        <v>0.99900000000000011</v>
      </c>
      <c r="AD26" s="91">
        <f t="shared" si="111"/>
        <v>0.98412682766345971</v>
      </c>
      <c r="AE26" s="92">
        <f t="shared" si="62"/>
        <v>0.4</v>
      </c>
      <c r="AF26" s="92">
        <f t="shared" si="63"/>
        <v>0.4</v>
      </c>
      <c r="AG26" s="92">
        <f t="shared" si="64"/>
        <v>0.56552543869953709</v>
      </c>
      <c r="AH26" s="92">
        <f t="shared" si="65"/>
        <v>0.76337949433685315</v>
      </c>
      <c r="AI26" s="92">
        <f t="shared" si="66"/>
        <v>0.8436648165963837</v>
      </c>
      <c r="AJ26" s="92">
        <f t="shared" si="67"/>
        <v>0.91393118527122819</v>
      </c>
      <c r="AK26" s="92">
        <f t="shared" si="68"/>
        <v>0.97044553354850815</v>
      </c>
      <c r="AL26" s="92">
        <f t="shared" si="69"/>
        <v>0.99004983374916811</v>
      </c>
      <c r="AM26" s="92">
        <f t="shared" si="70"/>
        <v>1</v>
      </c>
      <c r="AN26" s="91">
        <f t="shared" si="71"/>
        <v>0.98511193960306265</v>
      </c>
      <c r="AR26" s="259"/>
      <c r="AS26" s="96">
        <v>20</v>
      </c>
      <c r="AT26" s="92">
        <f t="shared" si="15"/>
        <v>0.49950000000000006</v>
      </c>
      <c r="AU26" s="92">
        <f t="shared" si="16"/>
        <v>0.49950000000000006</v>
      </c>
      <c r="AV26" s="92">
        <f t="shared" si="17"/>
        <v>0.70619989157604701</v>
      </c>
      <c r="AW26" s="92">
        <f t="shared" si="18"/>
        <v>0.95327014355314543</v>
      </c>
      <c r="AX26" s="92">
        <f t="shared" si="19"/>
        <v>1</v>
      </c>
      <c r="AY26" s="92">
        <f t="shared" si="20"/>
        <v>1</v>
      </c>
      <c r="AZ26" s="92">
        <f t="shared" si="21"/>
        <v>1</v>
      </c>
      <c r="BA26" s="92">
        <f t="shared" si="22"/>
        <v>1</v>
      </c>
      <c r="BB26" s="92">
        <f t="shared" si="23"/>
        <v>1</v>
      </c>
      <c r="BC26" s="94">
        <f t="shared" si="24"/>
        <v>1</v>
      </c>
      <c r="BD26" s="93">
        <f t="shared" si="72"/>
        <v>0.5</v>
      </c>
      <c r="BE26" s="92">
        <f t="shared" si="73"/>
        <v>0.5</v>
      </c>
      <c r="BF26" s="92">
        <f t="shared" si="74"/>
        <v>0.70690679837442139</v>
      </c>
      <c r="BG26" s="92">
        <f t="shared" si="75"/>
        <v>0.95422436792106646</v>
      </c>
      <c r="BH26" s="92">
        <f t="shared" si="76"/>
        <v>1</v>
      </c>
      <c r="BI26" s="92">
        <f t="shared" si="77"/>
        <v>1</v>
      </c>
      <c r="BJ26" s="92">
        <f t="shared" si="78"/>
        <v>1</v>
      </c>
      <c r="BK26" s="92">
        <f t="shared" si="79"/>
        <v>1</v>
      </c>
      <c r="BL26" s="92">
        <f t="shared" si="80"/>
        <v>1</v>
      </c>
      <c r="BM26" s="91">
        <f t="shared" si="81"/>
        <v>1</v>
      </c>
      <c r="BQ26" s="255"/>
      <c r="BR26" s="95">
        <v>20</v>
      </c>
      <c r="BS26" s="93">
        <f t="shared" si="82"/>
        <v>0.29970000000000008</v>
      </c>
      <c r="BT26" s="92">
        <f t="shared" si="83"/>
        <v>0.29970000000000008</v>
      </c>
      <c r="BU26" s="92">
        <f t="shared" si="84"/>
        <v>0.42371993494562821</v>
      </c>
      <c r="BV26" s="92">
        <f t="shared" si="85"/>
        <v>0.57196208613188726</v>
      </c>
      <c r="BW26" s="92">
        <f t="shared" si="86"/>
        <v>0.63211586383484053</v>
      </c>
      <c r="BX26" s="92">
        <f t="shared" si="87"/>
        <v>0.68476294056446774</v>
      </c>
      <c r="BY26" s="92">
        <f t="shared" si="88"/>
        <v>0.72710631601121978</v>
      </c>
      <c r="BZ26" s="92">
        <f t="shared" si="89"/>
        <v>0.74179483793656431</v>
      </c>
      <c r="CA26" s="92">
        <f t="shared" si="90"/>
        <v>0.74925000000000008</v>
      </c>
      <c r="CB26" s="94">
        <f t="shared" si="91"/>
        <v>0.73809512074759476</v>
      </c>
      <c r="CC26" s="93">
        <f t="shared" si="92"/>
        <v>0.30000000000000004</v>
      </c>
      <c r="CD26" s="92">
        <f t="shared" si="93"/>
        <v>0.30000000000000004</v>
      </c>
      <c r="CE26" s="92">
        <f t="shared" si="94"/>
        <v>0.42414407902465279</v>
      </c>
      <c r="CF26" s="92">
        <f t="shared" si="95"/>
        <v>0.57253462075263983</v>
      </c>
      <c r="CG26" s="92">
        <f t="shared" si="96"/>
        <v>0.63274861244728775</v>
      </c>
      <c r="CH26" s="92">
        <f t="shared" si="97"/>
        <v>0.68544838895342108</v>
      </c>
      <c r="CI26" s="92">
        <f t="shared" si="98"/>
        <v>0.72783415016138109</v>
      </c>
      <c r="CJ26" s="92">
        <f t="shared" si="99"/>
        <v>0.74253737531187602</v>
      </c>
      <c r="CK26" s="92">
        <f t="shared" si="100"/>
        <v>1</v>
      </c>
      <c r="CL26" s="91">
        <f t="shared" si="101"/>
        <v>0.73883395470229696</v>
      </c>
    </row>
    <row r="27" spans="1:90" ht="15" thickBot="1" x14ac:dyDescent="0.35">
      <c r="S27" s="260"/>
      <c r="T27" s="90">
        <v>30</v>
      </c>
      <c r="U27" s="86">
        <f t="shared" ref="U27:AD27" si="112">U17*99.9%</f>
        <v>0.39960000000000007</v>
      </c>
      <c r="V27" s="86">
        <f t="shared" si="112"/>
        <v>0.39960000000000007</v>
      </c>
      <c r="W27" s="86">
        <f t="shared" si="112"/>
        <v>0.41853259769839141</v>
      </c>
      <c r="X27" s="86">
        <f t="shared" si="112"/>
        <v>0.65638977299524182</v>
      </c>
      <c r="Y27" s="86">
        <f t="shared" si="112"/>
        <v>0.76261611484251646</v>
      </c>
      <c r="Z27" s="86">
        <f t="shared" si="112"/>
        <v>0.8598472684486328</v>
      </c>
      <c r="AA27" s="86">
        <f t="shared" si="112"/>
        <v>0.94082276905066453</v>
      </c>
      <c r="AB27" s="86">
        <f t="shared" si="112"/>
        <v>0.96947508801495974</v>
      </c>
      <c r="AC27" s="86">
        <f t="shared" si="112"/>
        <v>0.98412682766345971</v>
      </c>
      <c r="AD27" s="85">
        <f t="shared" si="112"/>
        <v>0.99900000000000011</v>
      </c>
      <c r="AE27" s="86">
        <f t="shared" ref="AE27:AN27" si="113">U17</f>
        <v>0.4</v>
      </c>
      <c r="AF27" s="86">
        <f t="shared" si="113"/>
        <v>0.4</v>
      </c>
      <c r="AG27" s="86">
        <f t="shared" si="113"/>
        <v>0.418951549247639</v>
      </c>
      <c r="AH27" s="86">
        <f t="shared" si="113"/>
        <v>0.65704681981505675</v>
      </c>
      <c r="AI27" s="86">
        <f t="shared" si="113"/>
        <v>0.76337949433685326</v>
      </c>
      <c r="AJ27" s="86">
        <f t="shared" si="113"/>
        <v>0.86070797642505781</v>
      </c>
      <c r="AK27" s="86">
        <f t="shared" si="113"/>
        <v>0.94176453358424872</v>
      </c>
      <c r="AL27" s="86">
        <f t="shared" si="113"/>
        <v>0.97044553354850815</v>
      </c>
      <c r="AM27" s="86">
        <f t="shared" si="113"/>
        <v>0.98511193960306265</v>
      </c>
      <c r="AN27" s="85">
        <f t="shared" si="113"/>
        <v>1</v>
      </c>
      <c r="AR27" s="260"/>
      <c r="AS27" s="90">
        <v>30</v>
      </c>
      <c r="AT27" s="86">
        <f t="shared" si="15"/>
        <v>0.49950000000000006</v>
      </c>
      <c r="AU27" s="86">
        <f t="shared" si="16"/>
        <v>0.49950000000000006</v>
      </c>
      <c r="AV27" s="86">
        <f t="shared" si="17"/>
        <v>0.52316574712298924</v>
      </c>
      <c r="AW27" s="86">
        <f t="shared" si="18"/>
        <v>0.8204872162440523</v>
      </c>
      <c r="AX27" s="86">
        <f t="shared" si="19"/>
        <v>0.95327014355314554</v>
      </c>
      <c r="AY27" s="86">
        <f t="shared" si="20"/>
        <v>1</v>
      </c>
      <c r="AZ27" s="86">
        <f t="shared" si="21"/>
        <v>1</v>
      </c>
      <c r="BA27" s="86">
        <f t="shared" si="22"/>
        <v>1</v>
      </c>
      <c r="BB27" s="86">
        <f t="shared" si="23"/>
        <v>1</v>
      </c>
      <c r="BC27" s="88">
        <f t="shared" si="24"/>
        <v>1</v>
      </c>
      <c r="BD27" s="87">
        <f t="shared" ref="BD27:BM27" si="114">AT17</f>
        <v>0.5</v>
      </c>
      <c r="BE27" s="86">
        <f t="shared" si="114"/>
        <v>0.5</v>
      </c>
      <c r="BF27" s="86">
        <f t="shared" si="114"/>
        <v>0.5236894365595488</v>
      </c>
      <c r="BG27" s="86">
        <f t="shared" si="114"/>
        <v>0.82130852476882099</v>
      </c>
      <c r="BH27" s="86">
        <f t="shared" si="114"/>
        <v>0.95422436792106657</v>
      </c>
      <c r="BI27" s="86">
        <f t="shared" si="114"/>
        <v>1</v>
      </c>
      <c r="BJ27" s="86">
        <f t="shared" si="114"/>
        <v>1</v>
      </c>
      <c r="BK27" s="86">
        <f t="shared" si="114"/>
        <v>1</v>
      </c>
      <c r="BL27" s="86">
        <f t="shared" si="114"/>
        <v>1</v>
      </c>
      <c r="BM27" s="85">
        <f t="shared" si="114"/>
        <v>1</v>
      </c>
      <c r="BQ27" s="256"/>
      <c r="BR27" s="89">
        <v>30</v>
      </c>
      <c r="BS27" s="87">
        <f t="shared" si="82"/>
        <v>0.29970000000000008</v>
      </c>
      <c r="BT27" s="86">
        <f t="shared" si="83"/>
        <v>0.29970000000000008</v>
      </c>
      <c r="BU27" s="86">
        <f t="shared" si="84"/>
        <v>0.31389944827379357</v>
      </c>
      <c r="BV27" s="86">
        <f t="shared" si="85"/>
        <v>0.49229232974643133</v>
      </c>
      <c r="BW27" s="86">
        <f t="shared" si="86"/>
        <v>0.57196208613188737</v>
      </c>
      <c r="BX27" s="86">
        <f t="shared" si="87"/>
        <v>0.64488545133647457</v>
      </c>
      <c r="BY27" s="86">
        <f t="shared" si="88"/>
        <v>0.70561707678799834</v>
      </c>
      <c r="BZ27" s="86">
        <f t="shared" si="89"/>
        <v>0.72710631601121978</v>
      </c>
      <c r="CA27" s="86">
        <f t="shared" si="90"/>
        <v>0.73809512074759476</v>
      </c>
      <c r="CB27" s="88">
        <f t="shared" si="91"/>
        <v>0.74925000000000008</v>
      </c>
      <c r="CC27" s="87">
        <f t="shared" ref="CC27:CL27" si="115">BS17</f>
        <v>0.30000000000000004</v>
      </c>
      <c r="CD27" s="86">
        <f t="shared" si="115"/>
        <v>0.30000000000000004</v>
      </c>
      <c r="CE27" s="86">
        <f t="shared" si="115"/>
        <v>0.31421366193572925</v>
      </c>
      <c r="CF27" s="86">
        <f t="shared" si="115"/>
        <v>0.49278511486129256</v>
      </c>
      <c r="CG27" s="86">
        <f t="shared" si="115"/>
        <v>0.57253462075263994</v>
      </c>
      <c r="CH27" s="86">
        <f t="shared" si="115"/>
        <v>0.64553098231879336</v>
      </c>
      <c r="CI27" s="86">
        <f t="shared" si="115"/>
        <v>0.70632340018818651</v>
      </c>
      <c r="CJ27" s="86">
        <f t="shared" si="115"/>
        <v>0.72783415016138109</v>
      </c>
      <c r="CK27" s="86">
        <f t="shared" si="115"/>
        <v>0.73883395470229696</v>
      </c>
      <c r="CL27" s="85">
        <f t="shared" si="115"/>
        <v>1</v>
      </c>
    </row>
    <row r="28" spans="1:90" x14ac:dyDescent="0.3">
      <c r="A28" s="257"/>
      <c r="B28" s="258"/>
      <c r="C28" s="175">
        <v>0.25</v>
      </c>
      <c r="D28" s="175">
        <v>0.5</v>
      </c>
      <c r="E28" s="175">
        <v>1</v>
      </c>
      <c r="F28" s="175">
        <v>2</v>
      </c>
      <c r="G28" s="175">
        <v>3</v>
      </c>
      <c r="H28" s="175">
        <v>5</v>
      </c>
      <c r="I28" s="175">
        <v>10</v>
      </c>
      <c r="J28" s="175">
        <v>15</v>
      </c>
      <c r="K28" s="175">
        <v>20</v>
      </c>
      <c r="L28" s="175">
        <v>30</v>
      </c>
    </row>
    <row r="29" spans="1:90" x14ac:dyDescent="0.3">
      <c r="A29" s="84" t="s">
        <v>146</v>
      </c>
      <c r="B29" s="83" t="s">
        <v>158</v>
      </c>
      <c r="C29" s="82">
        <f t="shared" ref="C29:L29" si="116">C15*C26</f>
        <v>0</v>
      </c>
      <c r="D29" s="55">
        <f t="shared" si="116"/>
        <v>0</v>
      </c>
      <c r="E29" s="55">
        <f t="shared" si="116"/>
        <v>71.594561595137932</v>
      </c>
      <c r="F29" s="55">
        <f t="shared" si="116"/>
        <v>15.952328983568512</v>
      </c>
      <c r="G29" s="55">
        <f t="shared" si="116"/>
        <v>599.41441841183632</v>
      </c>
      <c r="H29" s="55">
        <f t="shared" si="116"/>
        <v>3.2880465325174457</v>
      </c>
      <c r="I29" s="55">
        <f t="shared" si="116"/>
        <v>13.788582233137674</v>
      </c>
      <c r="J29" s="55">
        <f t="shared" si="116"/>
        <v>16.970562748477139</v>
      </c>
      <c r="K29" s="55">
        <f t="shared" si="116"/>
        <v>1.4849242404917495</v>
      </c>
      <c r="L29" s="81">
        <f t="shared" si="116"/>
        <v>0</v>
      </c>
    </row>
    <row r="30" spans="1:90" x14ac:dyDescent="0.3">
      <c r="A30" s="84" t="s">
        <v>146</v>
      </c>
      <c r="B30" s="83" t="s">
        <v>167</v>
      </c>
      <c r="C30" s="82">
        <f t="shared" ref="C30:L30" si="117">C26*C16</f>
        <v>0</v>
      </c>
      <c r="D30" s="55">
        <f t="shared" si="117"/>
        <v>0</v>
      </c>
      <c r="E30" s="55">
        <f t="shared" si="117"/>
        <v>0</v>
      </c>
      <c r="F30" s="55">
        <f t="shared" si="117"/>
        <v>358.92740213029151</v>
      </c>
      <c r="G30" s="55">
        <f t="shared" si="117"/>
        <v>3.6698841943581813</v>
      </c>
      <c r="H30" s="55">
        <f t="shared" si="117"/>
        <v>3.3941125496954276</v>
      </c>
      <c r="I30" s="55">
        <f t="shared" si="117"/>
        <v>3.8183766184073562</v>
      </c>
      <c r="J30" s="55">
        <f t="shared" si="117"/>
        <v>424.26406871192847</v>
      </c>
      <c r="K30" s="55">
        <f t="shared" si="117"/>
        <v>0</v>
      </c>
      <c r="L30" s="81">
        <f t="shared" si="117"/>
        <v>0</v>
      </c>
    </row>
    <row r="31" spans="1:90" x14ac:dyDescent="0.3">
      <c r="A31" s="84" t="s">
        <v>144</v>
      </c>
      <c r="B31" s="83" t="s">
        <v>158</v>
      </c>
      <c r="C31" s="82">
        <f t="shared" ref="C31:L31" si="118">C26*C18</f>
        <v>0</v>
      </c>
      <c r="D31" s="55">
        <f t="shared" si="118"/>
        <v>61.297672647499425</v>
      </c>
      <c r="E31" s="55">
        <f t="shared" si="118"/>
        <v>16.419019459151631</v>
      </c>
      <c r="F31" s="55">
        <f t="shared" si="118"/>
        <v>13.719002925868919</v>
      </c>
      <c r="G31" s="55">
        <f t="shared" si="118"/>
        <v>1.2624401628592146</v>
      </c>
      <c r="H31" s="55">
        <f t="shared" si="118"/>
        <v>191.55522702343569</v>
      </c>
      <c r="I31" s="55">
        <f t="shared" si="118"/>
        <v>364.86709909225846</v>
      </c>
      <c r="J31" s="55">
        <f t="shared" si="118"/>
        <v>0</v>
      </c>
      <c r="K31" s="55">
        <f t="shared" si="118"/>
        <v>0</v>
      </c>
      <c r="L31" s="81">
        <f t="shared" si="118"/>
        <v>0</v>
      </c>
    </row>
    <row r="32" spans="1:90" ht="15" thickBot="1" x14ac:dyDescent="0.35">
      <c r="A32" s="80" t="s">
        <v>142</v>
      </c>
      <c r="B32" s="79" t="s">
        <v>158</v>
      </c>
      <c r="C32" s="78">
        <f t="shared" ref="C32:L32" si="119">C25*C20</f>
        <v>0</v>
      </c>
      <c r="D32" s="77">
        <f t="shared" si="119"/>
        <v>752.64</v>
      </c>
      <c r="E32" s="77">
        <f t="shared" si="119"/>
        <v>172.79999999999998</v>
      </c>
      <c r="F32" s="77">
        <f t="shared" si="119"/>
        <v>1.8048000000000002</v>
      </c>
      <c r="G32" s="77">
        <f t="shared" si="119"/>
        <v>1.5500800000000001</v>
      </c>
      <c r="H32" s="77">
        <f t="shared" si="119"/>
        <v>1.536</v>
      </c>
      <c r="I32" s="77">
        <f t="shared" si="119"/>
        <v>30.72</v>
      </c>
      <c r="J32" s="77">
        <f t="shared" si="119"/>
        <v>393.59999999999997</v>
      </c>
      <c r="K32" s="77">
        <f t="shared" si="119"/>
        <v>201.6</v>
      </c>
      <c r="L32" s="76">
        <f t="shared" si="119"/>
        <v>0</v>
      </c>
    </row>
    <row r="36" spans="1:21" s="174" customFormat="1" ht="22.5" customHeight="1" x14ac:dyDescent="0.4">
      <c r="A36" s="174" t="s">
        <v>268</v>
      </c>
    </row>
    <row r="38" spans="1:21" x14ac:dyDescent="0.3">
      <c r="A38" s="191" t="s">
        <v>168</v>
      </c>
    </row>
    <row r="39" spans="1:21" ht="15" thickBot="1" x14ac:dyDescent="0.35"/>
    <row r="40" spans="1:21" x14ac:dyDescent="0.3">
      <c r="A40" s="68"/>
      <c r="B40" s="252" t="s">
        <v>158</v>
      </c>
      <c r="C40" s="252"/>
      <c r="D40" s="252"/>
      <c r="E40" s="252"/>
      <c r="F40" s="252"/>
      <c r="G40" s="252"/>
      <c r="H40" s="252"/>
      <c r="I40" s="252"/>
      <c r="J40" s="252"/>
      <c r="K40" s="252"/>
      <c r="L40" s="252" t="s">
        <v>167</v>
      </c>
      <c r="M40" s="252"/>
      <c r="N40" s="252"/>
      <c r="O40" s="252"/>
      <c r="P40" s="252"/>
      <c r="Q40" s="252"/>
      <c r="R40" s="252"/>
      <c r="S40" s="252"/>
      <c r="T40" s="252"/>
      <c r="U40" s="271"/>
    </row>
    <row r="41" spans="1:21" x14ac:dyDescent="0.3">
      <c r="A41" s="66" t="s">
        <v>126</v>
      </c>
      <c r="B41" s="60">
        <f t="shared" ref="B41:K41" si="120">C29</f>
        <v>0</v>
      </c>
      <c r="C41" s="60">
        <f t="shared" si="120"/>
        <v>0</v>
      </c>
      <c r="D41" s="60">
        <f t="shared" si="120"/>
        <v>71.594561595137932</v>
      </c>
      <c r="E41" s="60">
        <f t="shared" si="120"/>
        <v>15.952328983568512</v>
      </c>
      <c r="F41" s="60">
        <f t="shared" si="120"/>
        <v>599.41441841183632</v>
      </c>
      <c r="G41" s="60">
        <f t="shared" si="120"/>
        <v>3.2880465325174457</v>
      </c>
      <c r="H41" s="60">
        <f t="shared" si="120"/>
        <v>13.788582233137674</v>
      </c>
      <c r="I41" s="60">
        <f t="shared" si="120"/>
        <v>16.970562748477139</v>
      </c>
      <c r="J41" s="60">
        <f t="shared" si="120"/>
        <v>1.4849242404917495</v>
      </c>
      <c r="K41" s="60">
        <f t="shared" si="120"/>
        <v>0</v>
      </c>
      <c r="L41" s="60">
        <f t="shared" ref="L41:U41" si="121">C30</f>
        <v>0</v>
      </c>
      <c r="M41" s="60">
        <f t="shared" si="121"/>
        <v>0</v>
      </c>
      <c r="N41" s="60">
        <f t="shared" si="121"/>
        <v>0</v>
      </c>
      <c r="O41" s="60">
        <f t="shared" si="121"/>
        <v>358.92740213029151</v>
      </c>
      <c r="P41" s="60">
        <f t="shared" si="121"/>
        <v>3.6698841943581813</v>
      </c>
      <c r="Q41" s="60">
        <f t="shared" si="121"/>
        <v>3.3941125496954276</v>
      </c>
      <c r="R41" s="60">
        <f t="shared" si="121"/>
        <v>3.8183766184073562</v>
      </c>
      <c r="S41" s="60">
        <f t="shared" si="121"/>
        <v>424.26406871192847</v>
      </c>
      <c r="T41" s="60">
        <f t="shared" si="121"/>
        <v>0</v>
      </c>
      <c r="U41" s="65">
        <f t="shared" si="121"/>
        <v>0</v>
      </c>
    </row>
    <row r="42" spans="1:21" ht="15" thickBot="1" x14ac:dyDescent="0.35">
      <c r="A42" s="64" t="s">
        <v>157</v>
      </c>
      <c r="B42" s="70">
        <v>0.25</v>
      </c>
      <c r="C42" s="70">
        <v>0.5</v>
      </c>
      <c r="D42" s="70">
        <v>1</v>
      </c>
      <c r="E42" s="70">
        <v>2</v>
      </c>
      <c r="F42" s="70">
        <v>3</v>
      </c>
      <c r="G42" s="70">
        <v>5</v>
      </c>
      <c r="H42" s="70">
        <v>10</v>
      </c>
      <c r="I42" s="70">
        <v>15</v>
      </c>
      <c r="J42" s="70">
        <v>20</v>
      </c>
      <c r="K42" s="70">
        <v>30</v>
      </c>
      <c r="L42" s="70">
        <v>0.25</v>
      </c>
      <c r="M42" s="70">
        <v>0.5</v>
      </c>
      <c r="N42" s="70">
        <v>1</v>
      </c>
      <c r="O42" s="70">
        <v>2</v>
      </c>
      <c r="P42" s="70">
        <v>3</v>
      </c>
      <c r="Q42" s="70">
        <v>5</v>
      </c>
      <c r="R42" s="70">
        <v>10</v>
      </c>
      <c r="S42" s="70">
        <v>15</v>
      </c>
      <c r="T42" s="70">
        <v>20</v>
      </c>
      <c r="U42" s="69">
        <v>30</v>
      </c>
    </row>
    <row r="43" spans="1:21" ht="15" thickBot="1" x14ac:dyDescent="0.35"/>
    <row r="44" spans="1:21" x14ac:dyDescent="0.3">
      <c r="A44" s="68" t="s">
        <v>166</v>
      </c>
      <c r="B44" s="67">
        <f t="array" ref="B44">SQRT((MMULT(B41:U41, MMULT(U8:AN27,TRANSPOSE(B41:U41)))))</f>
        <v>1462.8290635214057</v>
      </c>
      <c r="C44" s="75"/>
    </row>
    <row r="45" spans="1:21" x14ac:dyDescent="0.3">
      <c r="A45" s="66" t="s">
        <v>165</v>
      </c>
      <c r="B45" s="65">
        <f t="array" ref="B45">SQRT((MMULT(B41:U41, MMULT(AT8:BM27,TRANSPOSE(B41:U41)))))</f>
        <v>1512.7479736470634</v>
      </c>
    </row>
    <row r="46" spans="1:21" ht="15" thickBot="1" x14ac:dyDescent="0.35">
      <c r="A46" s="64" t="s">
        <v>164</v>
      </c>
      <c r="B46" s="63">
        <f t="array" ref="B46">SQRT((MMULT(B41:U41, MMULT(BS8:CL27,TRANSPOSE(B41:U41)))))</f>
        <v>1331.6947942001141</v>
      </c>
    </row>
    <row r="50" spans="1:11" x14ac:dyDescent="0.3">
      <c r="A50" s="191" t="s">
        <v>163</v>
      </c>
    </row>
    <row r="51" spans="1:11" ht="15" thickBot="1" x14ac:dyDescent="0.35"/>
    <row r="52" spans="1:11" x14ac:dyDescent="0.3">
      <c r="A52" s="68"/>
      <c r="B52" s="252" t="s">
        <v>158</v>
      </c>
      <c r="C52" s="252"/>
      <c r="D52" s="252"/>
      <c r="E52" s="252"/>
      <c r="F52" s="252"/>
      <c r="G52" s="252"/>
      <c r="H52" s="252"/>
      <c r="I52" s="252"/>
      <c r="J52" s="252"/>
      <c r="K52" s="252"/>
    </row>
    <row r="53" spans="1:11" x14ac:dyDescent="0.3">
      <c r="A53" s="66" t="s">
        <v>126</v>
      </c>
      <c r="B53" s="60">
        <f t="shared" ref="B53:K53" si="122">C31</f>
        <v>0</v>
      </c>
      <c r="C53" s="60">
        <f t="shared" si="122"/>
        <v>61.297672647499425</v>
      </c>
      <c r="D53" s="60">
        <f t="shared" si="122"/>
        <v>16.419019459151631</v>
      </c>
      <c r="E53" s="60">
        <f t="shared" si="122"/>
        <v>13.719002925868919</v>
      </c>
      <c r="F53" s="60">
        <f t="shared" si="122"/>
        <v>1.2624401628592146</v>
      </c>
      <c r="G53" s="60">
        <f t="shared" si="122"/>
        <v>191.55522702343569</v>
      </c>
      <c r="H53" s="60">
        <f t="shared" si="122"/>
        <v>364.86709909225846</v>
      </c>
      <c r="I53" s="60">
        <f t="shared" si="122"/>
        <v>0</v>
      </c>
      <c r="J53" s="60">
        <f t="shared" si="122"/>
        <v>0</v>
      </c>
      <c r="K53" s="60">
        <f t="shared" si="122"/>
        <v>0</v>
      </c>
    </row>
    <row r="54" spans="1:11" ht="15" thickBot="1" x14ac:dyDescent="0.35">
      <c r="A54" s="64" t="s">
        <v>157</v>
      </c>
      <c r="B54" s="70">
        <v>0.25</v>
      </c>
      <c r="C54" s="70">
        <v>0.5</v>
      </c>
      <c r="D54" s="70">
        <v>1</v>
      </c>
      <c r="E54" s="70">
        <v>2</v>
      </c>
      <c r="F54" s="70">
        <v>3</v>
      </c>
      <c r="G54" s="70">
        <v>5</v>
      </c>
      <c r="H54" s="70">
        <v>10</v>
      </c>
      <c r="I54" s="70">
        <v>15</v>
      </c>
      <c r="J54" s="70">
        <v>20</v>
      </c>
      <c r="K54" s="70">
        <v>30</v>
      </c>
    </row>
    <row r="55" spans="1:11" ht="15" thickBot="1" x14ac:dyDescent="0.35"/>
    <row r="56" spans="1:11" x14ac:dyDescent="0.3">
      <c r="A56" s="68" t="s">
        <v>162</v>
      </c>
      <c r="B56" s="67">
        <f t="array" ref="B56">SQRT((MMULT(B53:K53, MMULT(U8:AD17,TRANSPOSE(B53:K53)))))</f>
        <v>622.10229605072504</v>
      </c>
    </row>
    <row r="57" spans="1:11" x14ac:dyDescent="0.3">
      <c r="A57" s="66" t="s">
        <v>161</v>
      </c>
      <c r="B57" s="65">
        <f t="array" ref="B57">SQRT((MMULT(B53:K53, MMULT(AT8:BC17,TRANSPOSE(B53:K53)))))</f>
        <v>637.67042620643213</v>
      </c>
    </row>
    <row r="58" spans="1:11" ht="15" thickBot="1" x14ac:dyDescent="0.35">
      <c r="A58" s="64" t="s">
        <v>160</v>
      </c>
      <c r="B58" s="63">
        <f t="array" ref="B58">SQRT((MMULT(B53:K53, MMULT(BS8:CB17,TRANSPOSE(B53:K53)))))</f>
        <v>577.72657869514637</v>
      </c>
    </row>
    <row r="62" spans="1:11" x14ac:dyDescent="0.3">
      <c r="A62" s="191" t="s">
        <v>159</v>
      </c>
    </row>
    <row r="63" spans="1:11" ht="15" thickBot="1" x14ac:dyDescent="0.35"/>
    <row r="64" spans="1:11" x14ac:dyDescent="0.3">
      <c r="A64" s="74"/>
      <c r="B64" s="273" t="s">
        <v>158</v>
      </c>
      <c r="C64" s="252"/>
      <c r="D64" s="252"/>
      <c r="E64" s="252"/>
      <c r="F64" s="252"/>
      <c r="G64" s="252"/>
      <c r="H64" s="252"/>
      <c r="I64" s="252"/>
      <c r="J64" s="252"/>
      <c r="K64" s="271"/>
    </row>
    <row r="65" spans="1:19" x14ac:dyDescent="0.3">
      <c r="A65" s="73" t="s">
        <v>126</v>
      </c>
      <c r="B65" s="72">
        <f t="shared" ref="B65:K65" si="123">C32</f>
        <v>0</v>
      </c>
      <c r="C65" s="60">
        <f t="shared" si="123"/>
        <v>752.64</v>
      </c>
      <c r="D65" s="60">
        <f t="shared" si="123"/>
        <v>172.79999999999998</v>
      </c>
      <c r="E65" s="60">
        <f t="shared" si="123"/>
        <v>1.8048000000000002</v>
      </c>
      <c r="F65" s="60">
        <f t="shared" si="123"/>
        <v>1.5500800000000001</v>
      </c>
      <c r="G65" s="60">
        <f t="shared" si="123"/>
        <v>1.536</v>
      </c>
      <c r="H65" s="60">
        <f t="shared" si="123"/>
        <v>30.72</v>
      </c>
      <c r="I65" s="60">
        <f t="shared" si="123"/>
        <v>393.59999999999997</v>
      </c>
      <c r="J65" s="60">
        <f t="shared" si="123"/>
        <v>201.6</v>
      </c>
      <c r="K65" s="65">
        <f t="shared" si="123"/>
        <v>0</v>
      </c>
    </row>
    <row r="66" spans="1:19" ht="15" thickBot="1" x14ac:dyDescent="0.35">
      <c r="A66" s="71" t="s">
        <v>157</v>
      </c>
      <c r="B66" s="64">
        <v>0.25</v>
      </c>
      <c r="C66" s="70">
        <v>0.5</v>
      </c>
      <c r="D66" s="70">
        <v>1</v>
      </c>
      <c r="E66" s="70">
        <v>2</v>
      </c>
      <c r="F66" s="70">
        <v>3</v>
      </c>
      <c r="G66" s="70">
        <v>5</v>
      </c>
      <c r="H66" s="70">
        <v>10</v>
      </c>
      <c r="I66" s="70">
        <v>15</v>
      </c>
      <c r="J66" s="70">
        <v>20</v>
      </c>
      <c r="K66" s="69">
        <v>30</v>
      </c>
    </row>
    <row r="67" spans="1:19" ht="15" thickBot="1" x14ac:dyDescent="0.35"/>
    <row r="68" spans="1:19" x14ac:dyDescent="0.3">
      <c r="A68" s="68" t="s">
        <v>156</v>
      </c>
      <c r="B68" s="67">
        <f t="array" ref="B68">SQRT((MMULT(B65:K65, MMULT(U8:AD17,TRANSPOSE(B65:K65)))))</f>
        <v>1335.6796754698235</v>
      </c>
    </row>
    <row r="69" spans="1:19" x14ac:dyDescent="0.3">
      <c r="A69" s="66" t="s">
        <v>155</v>
      </c>
      <c r="B69" s="65">
        <f t="array" ref="B69">SQRT((MMULT(B65:K65, MMULT(AT8:BC17,TRANSPOSE(B65:K65)))))</f>
        <v>1388.9113682296445</v>
      </c>
    </row>
    <row r="70" spans="1:19" ht="15" thickBot="1" x14ac:dyDescent="0.35">
      <c r="A70" s="64" t="s">
        <v>154</v>
      </c>
      <c r="B70" s="63">
        <f t="array" ref="B70">SQRT((MMULT(B65:K65, MMULT(BS8:CB17,TRANSPOSE(B65:K65)))))</f>
        <v>1239.4517592202374</v>
      </c>
    </row>
    <row r="74" spans="1:19" s="62" customFormat="1" ht="22.5" customHeight="1" x14ac:dyDescent="0.4">
      <c r="A74" s="62" t="s">
        <v>269</v>
      </c>
    </row>
    <row r="76" spans="1:19" x14ac:dyDescent="0.3">
      <c r="A76" s="61"/>
      <c r="B76" s="61" t="s">
        <v>146</v>
      </c>
      <c r="C76" s="61" t="s">
        <v>144</v>
      </c>
      <c r="D76" s="61" t="s">
        <v>142</v>
      </c>
      <c r="F76" s="272" t="s">
        <v>153</v>
      </c>
      <c r="G76" s="272"/>
      <c r="H76" s="272"/>
      <c r="I76" s="272"/>
    </row>
    <row r="77" spans="1:19" x14ac:dyDescent="0.3">
      <c r="A77" s="61" t="s">
        <v>152</v>
      </c>
      <c r="B77" s="60">
        <f>B44</f>
        <v>1462.8290635214057</v>
      </c>
      <c r="C77" s="60">
        <f>B56</f>
        <v>622.10229605072504</v>
      </c>
      <c r="D77" s="60">
        <f>B68</f>
        <v>1335.6796754698235</v>
      </c>
      <c r="F77" s="270" t="s">
        <v>151</v>
      </c>
      <c r="G77" s="270"/>
      <c r="H77" s="270"/>
      <c r="I77" s="270"/>
      <c r="K77" s="270" t="s">
        <v>150</v>
      </c>
      <c r="L77" s="270"/>
      <c r="M77" s="270"/>
      <c r="N77" s="270"/>
      <c r="P77" s="270" t="s">
        <v>149</v>
      </c>
      <c r="Q77" s="270"/>
      <c r="R77" s="270"/>
      <c r="S77" s="270"/>
    </row>
    <row r="78" spans="1:19" x14ac:dyDescent="0.3">
      <c r="A78" s="61" t="s">
        <v>148</v>
      </c>
      <c r="B78" s="60">
        <f>B45</f>
        <v>1512.7479736470634</v>
      </c>
      <c r="C78" s="60">
        <f>B57</f>
        <v>637.67042620643213</v>
      </c>
      <c r="D78" s="60">
        <f>B69</f>
        <v>1388.9113682296445</v>
      </c>
      <c r="F78" s="6"/>
      <c r="G78" s="6" t="s">
        <v>146</v>
      </c>
      <c r="H78" s="6" t="s">
        <v>144</v>
      </c>
      <c r="I78" s="6" t="s">
        <v>142</v>
      </c>
      <c r="K78" s="6"/>
      <c r="L78" s="6" t="s">
        <v>146</v>
      </c>
      <c r="M78" s="6" t="s">
        <v>144</v>
      </c>
      <c r="N78" s="6" t="s">
        <v>142</v>
      </c>
      <c r="P78" s="6"/>
      <c r="Q78" s="6" t="s">
        <v>146</v>
      </c>
      <c r="R78" s="6" t="s">
        <v>144</v>
      </c>
      <c r="S78" s="6" t="s">
        <v>142</v>
      </c>
    </row>
    <row r="79" spans="1:19" x14ac:dyDescent="0.3">
      <c r="A79" s="61" t="s">
        <v>147</v>
      </c>
      <c r="B79" s="60">
        <f>B46</f>
        <v>1331.6947942001141</v>
      </c>
      <c r="C79" s="60">
        <f>B58</f>
        <v>577.72657869514637</v>
      </c>
      <c r="D79" s="60">
        <f>B70</f>
        <v>1239.4517592202374</v>
      </c>
      <c r="F79" s="6" t="s">
        <v>146</v>
      </c>
      <c r="G79" s="59">
        <v>0</v>
      </c>
      <c r="H79" s="59">
        <v>0.5</v>
      </c>
      <c r="I79" s="59">
        <v>0.5</v>
      </c>
      <c r="K79" s="6" t="s">
        <v>146</v>
      </c>
      <c r="L79" s="59">
        <v>0</v>
      </c>
      <c r="M79" s="59">
        <f>1.25*50%</f>
        <v>0.625</v>
      </c>
      <c r="N79" s="59">
        <f>1.25*50%</f>
        <v>0.625</v>
      </c>
      <c r="P79" s="6" t="s">
        <v>146</v>
      </c>
      <c r="Q79" s="59">
        <v>0</v>
      </c>
      <c r="R79" s="59">
        <f>0.75*50%</f>
        <v>0.375</v>
      </c>
      <c r="S79" s="59">
        <f>0.75*50%</f>
        <v>0.375</v>
      </c>
    </row>
    <row r="80" spans="1:19" x14ac:dyDescent="0.3">
      <c r="A80" s="61" t="s">
        <v>145</v>
      </c>
      <c r="B80" s="60">
        <f>SUM(B41:U41)</f>
        <v>1516.5672689498479</v>
      </c>
      <c r="C80" s="60">
        <f>SUM(B53:K53)</f>
        <v>649.12046131107331</v>
      </c>
      <c r="D80" s="60">
        <f>SUM(B65:K65)</f>
        <v>1556.2508799999998</v>
      </c>
      <c r="F80" s="6" t="s">
        <v>144</v>
      </c>
      <c r="G80" s="59">
        <v>0.5</v>
      </c>
      <c r="H80" s="59">
        <v>0</v>
      </c>
      <c r="I80" s="59">
        <v>0.5</v>
      </c>
      <c r="K80" s="6" t="s">
        <v>144</v>
      </c>
      <c r="L80" s="59">
        <f>1.25*50%</f>
        <v>0.625</v>
      </c>
      <c r="M80" s="59">
        <v>0</v>
      </c>
      <c r="N80" s="59">
        <f>1.25*50%</f>
        <v>0.625</v>
      </c>
      <c r="P80" s="6" t="s">
        <v>144</v>
      </c>
      <c r="Q80" s="59">
        <f>0.75*50%</f>
        <v>0.375</v>
      </c>
      <c r="R80" s="59">
        <v>0</v>
      </c>
      <c r="S80" s="59">
        <f>0.75*50%</f>
        <v>0.375</v>
      </c>
    </row>
    <row r="81" spans="1:19" x14ac:dyDescent="0.3">
      <c r="A81" s="61" t="s">
        <v>143</v>
      </c>
      <c r="B81" s="60">
        <f>MAX(MIN(B80,B77), -B77)</f>
        <v>1462.8290635214057</v>
      </c>
      <c r="C81" s="60">
        <f>MAX(MIN(C80,C77), -C77)</f>
        <v>622.10229605072504</v>
      </c>
      <c r="D81" s="60">
        <f>MAX(MIN(D80,D77), -D77)</f>
        <v>1335.6796754698235</v>
      </c>
      <c r="F81" s="6" t="s">
        <v>142</v>
      </c>
      <c r="G81" s="59">
        <v>0.5</v>
      </c>
      <c r="H81" s="59">
        <v>0.5</v>
      </c>
      <c r="I81" s="59">
        <v>0</v>
      </c>
      <c r="K81" s="6" t="s">
        <v>142</v>
      </c>
      <c r="L81" s="59">
        <f>1.25*50%</f>
        <v>0.625</v>
      </c>
      <c r="M81" s="59">
        <f>1.25*50%</f>
        <v>0.625</v>
      </c>
      <c r="N81" s="59">
        <v>0</v>
      </c>
      <c r="P81" s="6" t="s">
        <v>142</v>
      </c>
      <c r="Q81" s="59">
        <f>0.75*50%</f>
        <v>0.375</v>
      </c>
      <c r="R81" s="59">
        <f>0.75*50%</f>
        <v>0.375</v>
      </c>
      <c r="S81" s="59">
        <v>0</v>
      </c>
    </row>
    <row r="84" spans="1:19" ht="30" customHeight="1" x14ac:dyDescent="0.3">
      <c r="A84" s="58"/>
      <c r="B84" s="58" t="s">
        <v>141</v>
      </c>
      <c r="C84" s="58" t="s">
        <v>140</v>
      </c>
      <c r="D84" s="58" t="s">
        <v>139</v>
      </c>
    </row>
    <row r="85" spans="1:19" x14ac:dyDescent="0.3">
      <c r="A85" s="56" t="s">
        <v>138</v>
      </c>
      <c r="B85" s="57">
        <f t="array" ref="B85">SUM(B77:D77*B77:D77)+MMULT((B80:D80),MMULT(G79:I81,TRANSPOSE(B80:D80)))</f>
        <v>8665708.6125514302</v>
      </c>
      <c r="C85" s="55">
        <f t="array" ref="C85">SUM(B77:D77*B77:D77)+MMULT((B81:D81),MMULT(G79:I81,TRANSPOSE(B81:D81)))</f>
        <v>8005750.0921742292</v>
      </c>
      <c r="D85" s="55">
        <f>SQRT(IF(B85&lt;0,C85,B85))</f>
        <v>2943.7575668779909</v>
      </c>
    </row>
    <row r="86" spans="1:19" x14ac:dyDescent="0.3">
      <c r="A86" s="56" t="s">
        <v>137</v>
      </c>
      <c r="B86" s="55">
        <f t="array" ref="B86">SUM(B78:D78*B78:D78)+MMULT((B80:D80),MMULT(L79:N81,TRANSPOSE(B80:D80)))</f>
        <v>10067590.144596335</v>
      </c>
      <c r="C86" s="55">
        <f t="array" ref="C86">SUM(B78:D78*B78:D78)+MMULT((B81:D81),MMULT(L79:N81,TRANSPOSE(B81:D81)))</f>
        <v>9242641.9941248335</v>
      </c>
      <c r="D86" s="55">
        <f>SQRT(IF(B86&lt;0,C86,B86))</f>
        <v>3172.9466028592942</v>
      </c>
    </row>
    <row r="87" spans="1:19" x14ac:dyDescent="0.3">
      <c r="A87" s="56" t="s">
        <v>136</v>
      </c>
      <c r="B87" s="55">
        <f t="array" ref="B87">SUM(B79:D79*B79:D79)+MMULT((B80:D80),MMULT(Q79:S81,TRANSPOSE(B80:D80)))</f>
        <v>6909510.8990049455</v>
      </c>
      <c r="C87" s="55">
        <f t="array" ref="C87">SUM(B79:D79*B79:D79)+MMULT((B81:D81),MMULT(Q79:S81,TRANSPOSE(B81:D81)))</f>
        <v>6414542.0087220445</v>
      </c>
      <c r="D87" s="55">
        <f t="array" ref="D87">SQRT(IF(B87&lt;0,C87,B87))</f>
        <v>2628.594852579025</v>
      </c>
    </row>
    <row r="89" spans="1:19" x14ac:dyDescent="0.3">
      <c r="B89" s="54" t="s">
        <v>135</v>
      </c>
    </row>
    <row r="90" spans="1:19" x14ac:dyDescent="0.3">
      <c r="B90" s="53">
        <f>(B77^2+C77^2+D77^2+B80*C80+C80*D80+B80*D80)</f>
        <v>8665708.6125514302</v>
      </c>
    </row>
  </sheetData>
  <mergeCells count="26">
    <mergeCell ref="AR5:BM5"/>
    <mergeCell ref="BS6:CB6"/>
    <mergeCell ref="BQ8:BQ17"/>
    <mergeCell ref="F77:I77"/>
    <mergeCell ref="K77:N77"/>
    <mergeCell ref="P77:S77"/>
    <mergeCell ref="B40:K40"/>
    <mergeCell ref="L40:U40"/>
    <mergeCell ref="F76:I76"/>
    <mergeCell ref="B64:K64"/>
    <mergeCell ref="CC6:CL6"/>
    <mergeCell ref="A1:XFD1"/>
    <mergeCell ref="BQ5:CL5"/>
    <mergeCell ref="B52:K52"/>
    <mergeCell ref="A3:P3"/>
    <mergeCell ref="BQ18:BQ27"/>
    <mergeCell ref="A28:B28"/>
    <mergeCell ref="AR8:AR17"/>
    <mergeCell ref="AT6:BC6"/>
    <mergeCell ref="U6:AD6"/>
    <mergeCell ref="AE6:AN6"/>
    <mergeCell ref="S8:S17"/>
    <mergeCell ref="S18:S27"/>
    <mergeCell ref="AR18:AR27"/>
    <mergeCell ref="S5:AN5"/>
    <mergeCell ref="BD6:BM6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BEB1-7061-434E-AC3F-6907A72296FB}">
  <dimension ref="A1:G15"/>
  <sheetViews>
    <sheetView zoomScale="115" zoomScaleNormal="115" workbookViewId="0">
      <selection activeCell="C14" sqref="C14"/>
    </sheetView>
  </sheetViews>
  <sheetFormatPr defaultRowHeight="14.4" x14ac:dyDescent="0.3"/>
  <cols>
    <col min="1" max="1" width="9.109375" style="1"/>
    <col min="2" max="2" width="17.6640625" bestFit="1" customWidth="1"/>
    <col min="3" max="3" width="44.6640625" bestFit="1" customWidth="1"/>
    <col min="4" max="4" width="31.109375" bestFit="1" customWidth="1"/>
    <col min="5" max="5" width="12.88671875" style="1" bestFit="1" customWidth="1"/>
    <col min="6" max="6" width="15.109375" customWidth="1"/>
  </cols>
  <sheetData>
    <row r="1" spans="1:7" x14ac:dyDescent="0.3">
      <c r="A1" s="4" t="s">
        <v>13</v>
      </c>
      <c r="B1" s="4" t="s">
        <v>0</v>
      </c>
      <c r="C1" s="4"/>
      <c r="D1" s="4" t="s">
        <v>12</v>
      </c>
      <c r="E1" s="4" t="s">
        <v>9</v>
      </c>
      <c r="F1" s="4" t="s">
        <v>14</v>
      </c>
      <c r="G1" s="4"/>
    </row>
    <row r="2" spans="1:7" x14ac:dyDescent="0.3">
      <c r="A2" s="5"/>
      <c r="B2" s="6"/>
      <c r="C2" s="6"/>
      <c r="D2" s="6"/>
      <c r="F2" s="6"/>
      <c r="G2" s="6"/>
    </row>
    <row r="3" spans="1:7" x14ac:dyDescent="0.3">
      <c r="A3" s="5">
        <v>1</v>
      </c>
      <c r="B3" s="6" t="s">
        <v>1</v>
      </c>
      <c r="C3" s="6"/>
      <c r="D3" s="6"/>
      <c r="E3" s="5" t="s">
        <v>17</v>
      </c>
      <c r="F3" s="6"/>
      <c r="G3" s="6"/>
    </row>
    <row r="4" spans="1:7" x14ac:dyDescent="0.3">
      <c r="A4" s="5">
        <v>2</v>
      </c>
      <c r="B4" s="6" t="s">
        <v>2</v>
      </c>
      <c r="C4" s="6" t="s">
        <v>3</v>
      </c>
      <c r="D4" s="6"/>
      <c r="E4" s="5" t="s">
        <v>11</v>
      </c>
      <c r="F4" s="6"/>
      <c r="G4" s="6"/>
    </row>
    <row r="5" spans="1:7" x14ac:dyDescent="0.3">
      <c r="A5" s="5">
        <v>3</v>
      </c>
      <c r="B5" s="6" t="s">
        <v>2</v>
      </c>
      <c r="C5" s="6" t="s">
        <v>7</v>
      </c>
      <c r="D5" s="6"/>
      <c r="E5" s="5" t="s">
        <v>10</v>
      </c>
      <c r="F5" s="6"/>
      <c r="G5" s="6"/>
    </row>
    <row r="6" spans="1:7" x14ac:dyDescent="0.3">
      <c r="A6" s="5">
        <v>4</v>
      </c>
      <c r="B6" s="6" t="s">
        <v>2</v>
      </c>
      <c r="C6" s="6" t="s">
        <v>8</v>
      </c>
      <c r="D6" s="6"/>
      <c r="E6" s="5"/>
      <c r="F6" s="6"/>
      <c r="G6" s="6"/>
    </row>
    <row r="7" spans="1:7" ht="51" customHeight="1" x14ac:dyDescent="0.3">
      <c r="A7" s="7">
        <v>5</v>
      </c>
      <c r="B7" s="8" t="s">
        <v>4</v>
      </c>
      <c r="C7" s="6"/>
      <c r="D7" s="9" t="s">
        <v>22</v>
      </c>
      <c r="E7" s="5"/>
      <c r="F7" s="6"/>
      <c r="G7" s="6"/>
    </row>
    <row r="8" spans="1:7" x14ac:dyDescent="0.3">
      <c r="A8" s="5">
        <v>6</v>
      </c>
      <c r="B8" s="6" t="s">
        <v>5</v>
      </c>
      <c r="C8" s="6"/>
      <c r="D8" s="6"/>
      <c r="E8" s="5"/>
      <c r="F8" s="6"/>
      <c r="G8" s="6"/>
    </row>
    <row r="9" spans="1:7" x14ac:dyDescent="0.3">
      <c r="A9" s="5">
        <v>7</v>
      </c>
      <c r="B9" s="6" t="s">
        <v>6</v>
      </c>
      <c r="C9" s="6"/>
      <c r="D9" s="6"/>
      <c r="E9" s="5"/>
      <c r="F9" s="6"/>
      <c r="G9" s="6"/>
    </row>
    <row r="10" spans="1:7" x14ac:dyDescent="0.3">
      <c r="A10" s="5"/>
      <c r="B10" s="6"/>
      <c r="C10" s="6"/>
      <c r="D10" s="6"/>
      <c r="E10" s="5"/>
      <c r="F10" s="6"/>
      <c r="G10" s="6"/>
    </row>
    <row r="11" spans="1:7" x14ac:dyDescent="0.3">
      <c r="A11" s="5"/>
      <c r="B11" s="6"/>
      <c r="C11" s="6"/>
      <c r="D11" s="6"/>
      <c r="E11" s="5"/>
      <c r="F11" s="6"/>
      <c r="G11" s="6"/>
    </row>
    <row r="12" spans="1:7" x14ac:dyDescent="0.3">
      <c r="A12" s="5"/>
      <c r="B12" s="6"/>
      <c r="C12" s="6"/>
      <c r="D12" s="6"/>
      <c r="E12" s="5"/>
      <c r="F12" s="6"/>
      <c r="G12" s="6"/>
    </row>
    <row r="13" spans="1:7" x14ac:dyDescent="0.3">
      <c r="A13" s="5"/>
      <c r="B13" s="6"/>
      <c r="C13" s="6"/>
      <c r="D13" s="6"/>
      <c r="E13" s="5"/>
      <c r="F13" s="6"/>
      <c r="G13" s="6"/>
    </row>
    <row r="14" spans="1:7" x14ac:dyDescent="0.3">
      <c r="A14" s="5"/>
      <c r="B14" s="6"/>
      <c r="C14" s="6"/>
      <c r="D14" s="6"/>
      <c r="E14" s="5"/>
      <c r="F14" s="6"/>
      <c r="G14" s="6"/>
    </row>
    <row r="15" spans="1:7" x14ac:dyDescent="0.3">
      <c r="A15" s="5"/>
      <c r="B15" s="6"/>
      <c r="C15" s="6"/>
      <c r="D15" s="6"/>
      <c r="E15" s="5"/>
      <c r="F15" s="6"/>
      <c r="G15" s="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6BF7-DB00-4574-8E5C-47AC78986AFC}">
  <dimension ref="B2:E10"/>
  <sheetViews>
    <sheetView workbookViewId="0">
      <selection activeCell="C23" sqref="C23"/>
    </sheetView>
  </sheetViews>
  <sheetFormatPr defaultRowHeight="14.4" x14ac:dyDescent="0.3"/>
  <cols>
    <col min="2" max="2" width="12" style="192" customWidth="1"/>
    <col min="3" max="3" width="99.109375" style="192" customWidth="1"/>
    <col min="4" max="4" width="15.88671875" customWidth="1"/>
    <col min="5" max="5" width="15.6640625" style="192" bestFit="1" customWidth="1"/>
  </cols>
  <sheetData>
    <row r="2" spans="2:5" ht="28.8" x14ac:dyDescent="0.3">
      <c r="B2" s="170" t="s">
        <v>17</v>
      </c>
      <c r="C2" s="195" t="s">
        <v>20</v>
      </c>
      <c r="D2" s="7" t="s">
        <v>15</v>
      </c>
      <c r="E2" s="7" t="s">
        <v>16</v>
      </c>
    </row>
    <row r="3" spans="2:5" x14ac:dyDescent="0.3">
      <c r="B3" s="193"/>
      <c r="C3" s="196"/>
      <c r="D3" s="5"/>
      <c r="E3" s="7"/>
    </row>
    <row r="4" spans="2:5" ht="28.8" x14ac:dyDescent="0.3">
      <c r="B4" s="170" t="s">
        <v>11</v>
      </c>
      <c r="C4" s="195" t="s">
        <v>19</v>
      </c>
      <c r="D4" s="7" t="s">
        <v>15</v>
      </c>
      <c r="E4" s="7" t="s">
        <v>21</v>
      </c>
    </row>
    <row r="5" spans="2:5" x14ac:dyDescent="0.3">
      <c r="B5" s="193"/>
      <c r="C5" s="196"/>
      <c r="D5" s="5"/>
      <c r="E5" s="7"/>
    </row>
    <row r="6" spans="2:5" ht="28.8" x14ac:dyDescent="0.3">
      <c r="B6" s="170" t="s">
        <v>10</v>
      </c>
      <c r="C6" s="195" t="s">
        <v>18</v>
      </c>
      <c r="D6" s="7" t="s">
        <v>23</v>
      </c>
      <c r="E6" s="7" t="s">
        <v>21</v>
      </c>
    </row>
    <row r="7" spans="2:5" x14ac:dyDescent="0.3">
      <c r="B7" s="194"/>
    </row>
    <row r="8" spans="2:5" x14ac:dyDescent="0.3">
      <c r="B8" s="194"/>
    </row>
    <row r="9" spans="2:5" x14ac:dyDescent="0.3">
      <c r="B9" s="194"/>
    </row>
    <row r="10" spans="2:5" x14ac:dyDescent="0.3">
      <c r="B10" s="19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B0BA-4FCC-49CD-B91A-BE2C2DC7026E}">
  <dimension ref="A1:C27"/>
  <sheetViews>
    <sheetView topLeftCell="A7" zoomScaleNormal="100" workbookViewId="0">
      <selection activeCell="A9" sqref="A9"/>
    </sheetView>
  </sheetViews>
  <sheetFormatPr defaultRowHeight="14.4" x14ac:dyDescent="0.3"/>
  <cols>
    <col min="1" max="1" width="108" bestFit="1" customWidth="1"/>
    <col min="3" max="3" width="48.6640625" bestFit="1" customWidth="1"/>
  </cols>
  <sheetData>
    <row r="1" spans="1:3" ht="28.8" x14ac:dyDescent="0.3">
      <c r="A1" t="s">
        <v>57</v>
      </c>
      <c r="C1" s="2" t="s">
        <v>132</v>
      </c>
    </row>
    <row r="3" spans="1:3" ht="28.8" x14ac:dyDescent="0.3">
      <c r="A3" t="s">
        <v>58</v>
      </c>
      <c r="C3" s="2" t="s">
        <v>133</v>
      </c>
    </row>
    <row r="5" spans="1:3" ht="57.6" x14ac:dyDescent="0.3">
      <c r="A5" s="2" t="s">
        <v>59</v>
      </c>
      <c r="C5" s="2" t="s">
        <v>134</v>
      </c>
    </row>
    <row r="7" spans="1:3" x14ac:dyDescent="0.3">
      <c r="A7" t="s">
        <v>60</v>
      </c>
    </row>
    <row r="9" spans="1:3" x14ac:dyDescent="0.3">
      <c r="A9" t="s">
        <v>61</v>
      </c>
    </row>
    <row r="11" spans="1:3" x14ac:dyDescent="0.3">
      <c r="A11" t="s">
        <v>62</v>
      </c>
    </row>
    <row r="13" spans="1:3" x14ac:dyDescent="0.3">
      <c r="A13" t="s">
        <v>63</v>
      </c>
    </row>
    <row r="15" spans="1:3" x14ac:dyDescent="0.3">
      <c r="A15" t="s">
        <v>114</v>
      </c>
    </row>
    <row r="17" spans="1:1" x14ac:dyDescent="0.3">
      <c r="A17" t="s">
        <v>64</v>
      </c>
    </row>
    <row r="19" spans="1:1" x14ac:dyDescent="0.3">
      <c r="A19" t="s">
        <v>65</v>
      </c>
    </row>
    <row r="21" spans="1:1" x14ac:dyDescent="0.3">
      <c r="A21" t="s">
        <v>104</v>
      </c>
    </row>
    <row r="23" spans="1:1" x14ac:dyDescent="0.3">
      <c r="A23" t="s">
        <v>113</v>
      </c>
    </row>
    <row r="25" spans="1:1" x14ac:dyDescent="0.3">
      <c r="A25" t="s">
        <v>78</v>
      </c>
    </row>
    <row r="27" spans="1:1" x14ac:dyDescent="0.3">
      <c r="A27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2A67-C3C5-4F4E-9F33-9F432C8145EF}">
  <dimension ref="A1"/>
  <sheetViews>
    <sheetView tabSelected="1" workbookViewId="0">
      <selection activeCell="S11" sqref="S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D3A2-F05E-4CAF-8EF2-90A96114D562}">
  <dimension ref="A1"/>
  <sheetViews>
    <sheetView workbookViewId="0">
      <selection activeCell="V5" sqref="V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 Summary</vt:lpstr>
      <vt:lpstr>DRC</vt:lpstr>
      <vt:lpstr>RRAO</vt:lpstr>
      <vt:lpstr>SBM</vt:lpstr>
      <vt:lpstr>GIRR</vt:lpstr>
      <vt:lpstr>Risk_Class_Buckets</vt:lpstr>
      <vt:lpstr>Delta_Vega_Curvature</vt:lpstr>
      <vt:lpstr>Notes_Impacts_FRTB</vt:lpstr>
      <vt:lpstr>FRTB_Tech_Architecture</vt:lpstr>
      <vt:lpstr>FRTB_Notes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Kansal</dc:creator>
  <cp:lastModifiedBy>Sachin Kansal</cp:lastModifiedBy>
  <dcterms:created xsi:type="dcterms:W3CDTF">2015-06-05T18:17:20Z</dcterms:created>
  <dcterms:modified xsi:type="dcterms:W3CDTF">2024-07-23T03:53:27Z</dcterms:modified>
</cp:coreProperties>
</file>