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nil-SL\Downloads\"/>
    </mc:Choice>
  </mc:AlternateContent>
  <bookViews>
    <workbookView xWindow="0" yWindow="0" windowWidth="14370" windowHeight="11670" tabRatio="719" activeTab="4"/>
  </bookViews>
  <sheets>
    <sheet name="1. Сырье и материалы" sheetId="3" r:id="rId1"/>
    <sheet name="2. Топливо и энергия" sheetId="7" r:id="rId2"/>
    <sheet name="3. Долгосрочные активы" sheetId="2" r:id="rId3"/>
    <sheet name="4. Зарплата" sheetId="1" r:id="rId4"/>
    <sheet name="5. Отпускная цена и прибыль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D19" i="1"/>
  <c r="C19" i="1"/>
  <c r="F7" i="1"/>
  <c r="F6" i="1"/>
  <c r="F8" i="1"/>
  <c r="D8" i="1"/>
  <c r="D7" i="1"/>
  <c r="D6" i="1"/>
  <c r="C8" i="1"/>
  <c r="C7" i="1"/>
  <c r="C6" i="1"/>
  <c r="D3" i="7"/>
  <c r="E20" i="3"/>
  <c r="E19" i="3"/>
  <c r="E18" i="3"/>
  <c r="E17" i="3"/>
  <c r="B2" i="1" l="1"/>
  <c r="B3" i="1" l="1"/>
  <c r="D16" i="7" l="1"/>
  <c r="F46" i="2" l="1"/>
  <c r="D40" i="2"/>
  <c r="F40" i="2" s="1"/>
  <c r="D39" i="2"/>
  <c r="F34" i="2"/>
  <c r="D29" i="2"/>
  <c r="F29" i="2" s="1"/>
  <c r="D28" i="2"/>
  <c r="F28" i="2" s="1"/>
  <c r="D27" i="2"/>
  <c r="F39" i="2" l="1"/>
  <c r="F47" i="2" s="1"/>
  <c r="F27" i="2"/>
  <c r="F35" i="2" s="1"/>
  <c r="C22" i="5"/>
  <c r="B4" i="1"/>
  <c r="E20" i="1" l="1"/>
  <c r="G20" i="1" s="1"/>
  <c r="E21" i="1"/>
  <c r="G21" i="1" s="1"/>
  <c r="E22" i="1"/>
  <c r="G22" i="1" s="1"/>
  <c r="E23" i="1"/>
  <c r="G23" i="1" s="1"/>
  <c r="E24" i="1"/>
  <c r="G24" i="1" s="1"/>
  <c r="E19" i="1"/>
  <c r="G19" i="1" s="1"/>
  <c r="E7" i="1"/>
  <c r="G7" i="1" s="1"/>
  <c r="E8" i="1"/>
  <c r="G8" i="1" s="1"/>
  <c r="E9" i="1"/>
  <c r="G9" i="1" s="1"/>
  <c r="E10" i="1"/>
  <c r="G10" i="1" s="1"/>
  <c r="E11" i="1"/>
  <c r="G11" i="1" s="1"/>
  <c r="E6" i="1"/>
  <c r="G6" i="1" s="1"/>
  <c r="G12" i="1" s="1"/>
  <c r="G14" i="1" l="1"/>
  <c r="G15" i="1" s="1"/>
  <c r="G25" i="1"/>
  <c r="E17" i="7"/>
  <c r="E18" i="7"/>
  <c r="E19" i="7"/>
  <c r="E20" i="7"/>
  <c r="E21" i="7"/>
  <c r="E22" i="7"/>
  <c r="E23" i="7"/>
  <c r="E24" i="7"/>
  <c r="E16" i="7"/>
  <c r="E4" i="7"/>
  <c r="E5" i="7"/>
  <c r="E6" i="7"/>
  <c r="E7" i="7"/>
  <c r="E8" i="7"/>
  <c r="E9" i="7"/>
  <c r="E10" i="7"/>
  <c r="E11" i="7"/>
  <c r="E3" i="7"/>
  <c r="G27" i="1" l="1"/>
  <c r="G28" i="1" s="1"/>
  <c r="B6" i="5" s="1"/>
  <c r="B7" i="5" s="1"/>
  <c r="B8" i="5"/>
  <c r="B9" i="5"/>
  <c r="B10" i="5"/>
  <c r="E25" i="7"/>
  <c r="E12" i="7"/>
  <c r="B4" i="5" l="1"/>
  <c r="F22" i="2"/>
  <c r="F10" i="2"/>
  <c r="D16" i="2"/>
  <c r="F16" i="2" s="1"/>
  <c r="D15" i="2"/>
  <c r="F15" i="2" s="1"/>
  <c r="E25" i="3"/>
  <c r="E24" i="3"/>
  <c r="E23" i="3"/>
  <c r="E22" i="3"/>
  <c r="E21" i="3"/>
  <c r="E4" i="3"/>
  <c r="E5" i="3"/>
  <c r="E6" i="3"/>
  <c r="E7" i="3"/>
  <c r="E8" i="3"/>
  <c r="E3" i="3"/>
  <c r="D5" i="2"/>
  <c r="F5" i="2" s="1"/>
  <c r="D4" i="2"/>
  <c r="F4" i="2" s="1"/>
  <c r="D3" i="2"/>
  <c r="F3" i="2" s="1"/>
  <c r="F11" i="2" l="1"/>
  <c r="E13" i="3"/>
  <c r="E27" i="3"/>
  <c r="F23" i="2"/>
  <c r="B5" i="5" l="1"/>
  <c r="B3" i="5"/>
  <c r="B11" i="5" l="1"/>
  <c r="B12" i="5" s="1"/>
  <c r="B13" i="5" s="1"/>
  <c r="B23" i="5" l="1"/>
  <c r="B14" i="5"/>
  <c r="B15" i="5" l="1"/>
  <c r="B16" i="5" s="1"/>
  <c r="B17" i="5" l="1"/>
  <c r="B21" i="5" s="1"/>
  <c r="B22" i="5" s="1"/>
  <c r="B24" i="5" l="1"/>
  <c r="B25" i="5" s="1"/>
  <c r="B26" i="5" s="1"/>
  <c r="B30" i="5" l="1"/>
  <c r="B31" i="5"/>
</calcChain>
</file>

<file path=xl/sharedStrings.xml><?xml version="1.0" encoding="utf-8"?>
<sst xmlns="http://schemas.openxmlformats.org/spreadsheetml/2006/main" count="236" uniqueCount="135">
  <si>
    <t>Должность</t>
  </si>
  <si>
    <t>Тарифный разряд</t>
  </si>
  <si>
    <t>Нормативный срок службы, лет</t>
  </si>
  <si>
    <t>Годовая амортизация, р.</t>
  </si>
  <si>
    <t>Содержание работы</t>
  </si>
  <si>
    <t>Тарифный кэффициент</t>
  </si>
  <si>
    <t>Наименование сырья (материала)</t>
  </si>
  <si>
    <t>Единица измерения</t>
  </si>
  <si>
    <t>Затраты, р.</t>
  </si>
  <si>
    <t>Цена за 1 единицу измерения, р</t>
  </si>
  <si>
    <t>Коэффициент для начисления транспортно-заготовительных расходов</t>
  </si>
  <si>
    <t>Наименование статьи</t>
  </si>
  <si>
    <t>Значение, р.</t>
  </si>
  <si>
    <t>Цена за 1 единицу измерения, р.</t>
  </si>
  <si>
    <t>Норма расхода  (за вычетом возвратных отходов)</t>
  </si>
  <si>
    <t>Установочная мощность, кВт</t>
  </si>
  <si>
    <t>Тариф за кВт/ч</t>
  </si>
  <si>
    <t>3.</t>
  </si>
  <si>
    <t>4.</t>
  </si>
  <si>
    <t>5.</t>
  </si>
  <si>
    <t>6.</t>
  </si>
  <si>
    <t>7.</t>
  </si>
  <si>
    <t>8.</t>
  </si>
  <si>
    <t>9.</t>
  </si>
  <si>
    <t>1. Сырье и материалы</t>
  </si>
  <si>
    <t>План (норма) расхода (за вычетом возвратных отходов)</t>
  </si>
  <si>
    <t>Наименование актива</t>
  </si>
  <si>
    <t>Амортизируемая стоимость, р.</t>
  </si>
  <si>
    <t>Амортизационные отчисления, р.</t>
  </si>
  <si>
    <t>Плановое время использования, ч</t>
  </si>
  <si>
    <t>Расчетное время использования, ч</t>
  </si>
  <si>
    <t>Тарифная ставка, р.</t>
  </si>
  <si>
    <t>Среднее количество роличество рабочих дней в месяце</t>
  </si>
  <si>
    <t>Базовая ставка (ставка 1-го разряда), р.</t>
  </si>
  <si>
    <t>Количество рабочих дней в году (при 5-дневной рабочей неделе)</t>
  </si>
  <si>
    <t>Должность (профессия)</t>
  </si>
  <si>
    <t>Основная зарплата (тарифная часть), р.</t>
  </si>
  <si>
    <t>Всего затрат на основную заработную плату (тарифную часть), р.</t>
  </si>
  <si>
    <t>2. Топливо и энергия</t>
  </si>
  <si>
    <t>Ставка</t>
  </si>
  <si>
    <t>2. Налог на добавленную стоимость</t>
  </si>
  <si>
    <t>4. Налогооблагаемая прибыль</t>
  </si>
  <si>
    <t>5. Налог на прибыль</t>
  </si>
  <si>
    <t>6. Чистая прибыль</t>
  </si>
  <si>
    <t>3. Полная себестоимость продукции</t>
  </si>
  <si>
    <t>Таблица 5.2 - Расчет чистой прибыли от разработки, производства и реализации одной единицы программного продукта</t>
  </si>
  <si>
    <t>Таблица 5.3 - Расчет показателей рентабельности производства и продажи</t>
  </si>
  <si>
    <t>Название показателя</t>
  </si>
  <si>
    <t>Значение</t>
  </si>
  <si>
    <t>Рентабельность производства</t>
  </si>
  <si>
    <t>Рентабельность продажи</t>
  </si>
  <si>
    <t>Вид операции</t>
  </si>
  <si>
    <t>3. Амортизация долгосрочных активов</t>
  </si>
  <si>
    <t>Задается самостоятельно в установленном Методическими рекомендациями интервале</t>
  </si>
  <si>
    <t>Всего затрат на дополнительную заработную плату (надтарифная часть), р.</t>
  </si>
  <si>
    <t>4. Заработная плата</t>
  </si>
  <si>
    <t>5. Отчисления в ФСЗН и БГС</t>
  </si>
  <si>
    <t>6. Содержание и эксплуатация машин и оборудования</t>
  </si>
  <si>
    <t>7. Общепроизводственные расходы</t>
  </si>
  <si>
    <t>8. Общехозяйственные расходы</t>
  </si>
  <si>
    <t>9. Производственная себестоимость</t>
  </si>
  <si>
    <t>10. Коммерческие расходы</t>
  </si>
  <si>
    <t>11. Полная себестоимость</t>
  </si>
  <si>
    <t>13. Цена без НДС</t>
  </si>
  <si>
    <t>14. Налог на добавленную стоимость</t>
  </si>
  <si>
    <t>Всего затрат на сырье и материалы в период разработки и производства программного продукта</t>
  </si>
  <si>
    <t>Всего амортизируемая стоимость имеющихся долгосрочных активов</t>
  </si>
  <si>
    <t>Всего амортизируемая стоимость новых долгосрочных активов</t>
  </si>
  <si>
    <t>Коэффициент для начисления дополнительной заработной платы (надтарифной части)</t>
  </si>
  <si>
    <t>12. Плановая прибыль</t>
  </si>
  <si>
    <t>Всего затрат на ТЭР в период разработки и производства программного продукта</t>
  </si>
  <si>
    <r>
      <t xml:space="preserve">Таблица 3.1 - Расчет амортизируемой стоимости и величины амортизационных отчислений </t>
    </r>
    <r>
      <rPr>
        <b/>
        <sz val="12"/>
        <color rgb="FFFF0000"/>
        <rFont val="Times New Roman"/>
        <family val="1"/>
        <charset val="204"/>
      </rPr>
      <t>имеющихся долгосрочных активов</t>
    </r>
    <r>
      <rPr>
        <b/>
        <sz val="12"/>
        <color theme="1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за период разработки и производства название программного продукта</t>
    </r>
  </si>
  <si>
    <r>
      <t xml:space="preserve">Таблица 3.2 - Расчет амортизируемой стоимости и величины амортизационных отчислений </t>
    </r>
    <r>
      <rPr>
        <b/>
        <sz val="12"/>
        <color rgb="FFFF0000"/>
        <rFont val="Times New Roman"/>
        <family val="1"/>
        <charset val="204"/>
      </rPr>
      <t>новых долгосрочных активов</t>
    </r>
    <r>
      <rPr>
        <b/>
        <sz val="12"/>
        <color theme="1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за период разработки и производства программного продукта</t>
    </r>
  </si>
  <si>
    <r>
      <t xml:space="preserve">Таблица 4.1 - Расчет затрат на заработную плату специалистов, привлеченных к </t>
    </r>
    <r>
      <rPr>
        <b/>
        <sz val="12"/>
        <color rgb="FFFF0000"/>
        <rFont val="Times New Roman"/>
        <family val="1"/>
        <charset val="204"/>
      </rPr>
      <t>разработке и производству программного продукта</t>
    </r>
  </si>
  <si>
    <r>
      <t xml:space="preserve">Таблица 1.1 - Расчет затрат на сырье и материалы </t>
    </r>
    <r>
      <rPr>
        <b/>
        <sz val="12"/>
        <color rgb="FFFF0000"/>
        <rFont val="Times New Roman"/>
        <family val="1"/>
        <charset val="204"/>
      </rPr>
      <t>за период разработки и производства программного продукта</t>
    </r>
  </si>
  <si>
    <r>
      <t xml:space="preserve">Таблица 1.2 - Расчет затрат на сырье и материалы </t>
    </r>
    <r>
      <rPr>
        <b/>
        <sz val="12"/>
        <color rgb="FFFF0000"/>
        <rFont val="Times New Roman"/>
        <family val="1"/>
        <charset val="204"/>
      </rPr>
      <t>для изготовления комплекта, включающего носитель программного продукта и экземпляр технической документации (в упаковке)</t>
    </r>
  </si>
  <si>
    <r>
      <t xml:space="preserve">Таблица 2.1 - Расчет затрат на топливно-энергетические ресурсы </t>
    </r>
    <r>
      <rPr>
        <b/>
        <sz val="12"/>
        <color rgb="FFFF0000"/>
        <rFont val="Times New Roman"/>
        <family val="1"/>
        <charset val="204"/>
      </rPr>
      <t>за период разработки и производства программного продукта</t>
    </r>
  </si>
  <si>
    <t>Всего затрат на сырье и материалы для изготовления комплекта</t>
  </si>
  <si>
    <r>
      <t xml:space="preserve">Таблица 2.2 - Расчет затрат на топливно-энергетические ресурсы </t>
    </r>
    <r>
      <rPr>
        <b/>
        <sz val="12"/>
        <color rgb="FFFF0000"/>
        <rFont val="Times New Roman"/>
        <family val="1"/>
        <charset val="204"/>
      </rPr>
      <t>для изготовления комплекта, включающего носитель программного продукта и экземпляр технической документации (в упаковке)</t>
    </r>
  </si>
  <si>
    <t>Всего затрат на ТЭР для изготовления комплекта</t>
  </si>
  <si>
    <r>
      <t xml:space="preserve">Таблица 3.3 - Расчет амортизируемой стоимости и величины амортизационных отчислений </t>
    </r>
    <r>
      <rPr>
        <b/>
        <sz val="12"/>
        <color rgb="FFFF0000"/>
        <rFont val="Times New Roman"/>
        <family val="1"/>
        <charset val="204"/>
      </rPr>
      <t>имеющихся долгосрочных активов</t>
    </r>
    <r>
      <rPr>
        <b/>
        <sz val="12"/>
        <color theme="1"/>
        <rFont val="Times New Roman"/>
        <family val="1"/>
        <charset val="204"/>
      </rPr>
      <t xml:space="preserve">, используемых </t>
    </r>
    <r>
      <rPr>
        <b/>
        <sz val="12"/>
        <color rgb="FFFF0000"/>
        <rFont val="Times New Roman"/>
        <family val="1"/>
        <charset val="204"/>
      </rPr>
      <t>во время изготовления комплекта, включающего носитель программного продукта и техническую документацию (в упаковке)</t>
    </r>
  </si>
  <si>
    <r>
      <t xml:space="preserve">Таблица 3.4 - Расчет амортизируемой стоимости и величины амортизационных отчислений </t>
    </r>
    <r>
      <rPr>
        <b/>
        <sz val="12"/>
        <color rgb="FFFF0000"/>
        <rFont val="Times New Roman"/>
        <family val="1"/>
        <charset val="204"/>
      </rPr>
      <t>новых долгосрочных активов</t>
    </r>
    <r>
      <rPr>
        <b/>
        <sz val="12"/>
        <color theme="1"/>
        <rFont val="Times New Roman"/>
        <family val="1"/>
        <charset val="204"/>
      </rPr>
      <t xml:space="preserve">, используемых </t>
    </r>
    <r>
      <rPr>
        <b/>
        <sz val="12"/>
        <color rgb="FFFF0000"/>
        <rFont val="Times New Roman"/>
        <family val="1"/>
        <charset val="204"/>
      </rPr>
      <t>во время изготовления комплекта, включающего носитель программного продукта и техническую документацию (в упаковке)</t>
    </r>
  </si>
  <si>
    <t>Всего величина амортизационных отчислений имеющихся долгосрочных активов за период разработки и производства программного продукта</t>
  </si>
  <si>
    <t>Всего величина амортизационных отчислений новых долгосрочных активов за период разработки и производства программного продукта</t>
  </si>
  <si>
    <t>Всего величина амортизационных отчислений имеющихся долгосрочных активов за время изготовления комплекта</t>
  </si>
  <si>
    <t>Всего величина амортизационных отчислений новых долгосрочных активов за время изготовления комплекта</t>
  </si>
  <si>
    <r>
      <t xml:space="preserve">Таблица 4.2 - Расчет затрат на заработную плату работников, связанных с </t>
    </r>
    <r>
      <rPr>
        <b/>
        <sz val="12"/>
        <color rgb="FFFF0000"/>
        <rFont val="Times New Roman"/>
        <family val="1"/>
        <charset val="204"/>
      </rPr>
      <t>изготовлением комплекта, включающего в себя носитель программного продукта и техническую документацию (в упаковке)</t>
    </r>
  </si>
  <si>
    <t>Задается самостоятельно с учетом коэффициента, установленного на предприятии (в организации)</t>
  </si>
  <si>
    <t>Итого затрат на заработную плату (тарифная и надтарифная части) за период разработки и производства программного продукта</t>
  </si>
  <si>
    <t>Итого затрат на заработную плату (тарифная и надтарифная части) за время изготовления комплекта</t>
  </si>
  <si>
    <t>Наименование оборудования</t>
  </si>
  <si>
    <t>Срок использования в процессе разработки и производства, мес.</t>
  </si>
  <si>
    <t>Таблица 5.1 - Расчет отпускной цены единицы программного продукта в комплекте с носителем и техической документацией (в комплекте)</t>
  </si>
  <si>
    <t>15. Отпускная цена</t>
  </si>
  <si>
    <t>1. Отпускная цена</t>
  </si>
  <si>
    <r>
      <t xml:space="preserve">0,12 </t>
    </r>
    <r>
      <rPr>
        <sz val="12"/>
        <color rgb="FFFF0000"/>
        <rFont val="Calibri"/>
        <family val="2"/>
        <charset val="204"/>
      </rPr>
      <t xml:space="preserve">× </t>
    </r>
    <r>
      <rPr>
        <sz val="12"/>
        <color rgb="FFFF0000"/>
        <rFont val="Times New Roman"/>
        <family val="1"/>
        <charset val="204"/>
      </rPr>
      <t>курс USD по НБРБ</t>
    </r>
  </si>
  <si>
    <t>Внимание! В таблице 2.1 плановое время использования каждого наименования оборудования в процессе разработки ПП не должно превышать 250 часов!!!</t>
  </si>
  <si>
    <t>Внимание! В таблице 2.2 расчетное время использования каждого наименования оборудования в процессе изготовления 1 комплекта не должно превышать 8 часов!!!</t>
  </si>
  <si>
    <t>Внимание! Убедитесь в том, что перечень оборудования, указанного Вами в таблицах 3.1-3.4 тот же, что и в таблицах 2.1 и 2.2!</t>
  </si>
  <si>
    <t>Время использования в процессе изготовления, ч.</t>
  </si>
  <si>
    <t>Затраты времени на выполнение работы, ч.</t>
  </si>
  <si>
    <t>Затраты времени на выполнение операции, ч.</t>
  </si>
  <si>
    <t>Внимание! В таблице 3.1 указываются не только уже имеющиеся и используемые в процессе разработки ПП техника и оборудование, но мебель, предназначенная для оснащения рабочих мест разработчиков!</t>
  </si>
  <si>
    <t>Внимание! В таблице 3.1 срок использования каждого наименования техники и оборудования в процессе разработки ПП должен быть согласован со временем его использования в таблице 2.1 и не должен превышать 1,5 месяцев!</t>
  </si>
  <si>
    <t>Внимание! В таблице 3.2 указываются не только закупленная для разработки новая техника и оборудование, но и новая мебель для оснащения рабочих мест разработчиков!</t>
  </si>
  <si>
    <t>Внимание! В таблице 3.2 срок использования каждого наименования техники и оборудования в процессе разработки ПП также должен быть согласован со временем его использования в таблице 2.1 и не должен превышать 1,5 месяцев!</t>
  </si>
  <si>
    <t>Внимание! В таблице 4.1 затраты времени каждого указанного сотрудника на выполнение отдельной работы в процессе разработки ПП не должны превышать 250 часов!!!</t>
  </si>
  <si>
    <t>Внимание! В таблице 4.2 затраты времени каждого указанного сотрудника на выполнение отдельной операции в процессе изготовления комплекта не должны превышать 8 часов!!!</t>
  </si>
  <si>
    <t>1. Бумага формата А4</t>
  </si>
  <si>
    <t>2. Бумага формата А1</t>
  </si>
  <si>
    <t>3. Тонер для принтера</t>
  </si>
  <si>
    <t>4. Ручка шариковая</t>
  </si>
  <si>
    <t>5. Простой карандаш</t>
  </si>
  <si>
    <t>6. Маркер перманентный</t>
  </si>
  <si>
    <t>штук</t>
  </si>
  <si>
    <t>3. USB флэш-накопитель</t>
  </si>
  <si>
    <t>4. Скоросшиватель</t>
  </si>
  <si>
    <t>1. Ноутбук hp 15-db0226ur</t>
  </si>
  <si>
    <t>2. МФУ HP LaserJet Pro M28w</t>
  </si>
  <si>
    <t>3. Роутер huawei hg8245h</t>
  </si>
  <si>
    <t>3. Компьютерный стол</t>
  </si>
  <si>
    <t>2. Офисныйы стул</t>
  </si>
  <si>
    <t>1. МФУ HP LaserJet Pro M28w</t>
  </si>
  <si>
    <t>2. Роутер huawei hg8245h</t>
  </si>
  <si>
    <t>1. Разработчик</t>
  </si>
  <si>
    <t>Разработка программного продукта</t>
  </si>
  <si>
    <t>2. Продуктовый менеджер</t>
  </si>
  <si>
    <t>Написание сопустсвующей документации</t>
  </si>
  <si>
    <t>3. Тестировщик</t>
  </si>
  <si>
    <t>Тестирование программного продукта</t>
  </si>
  <si>
    <t>Подготовка программного продукта</t>
  </si>
  <si>
    <t>2. Оператор ЭВМ</t>
  </si>
  <si>
    <t>Печать документации, подготовка носителя</t>
  </si>
  <si>
    <t>Тема дипломного проекта</t>
  </si>
  <si>
    <t>Веб-платформа авторских рассказов "#ЯАВТОР" на фреймворке Symfony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</si>
</sst>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2"/>
      <color rgb="FFFF0000"/>
      <name val="Calibri"/>
      <family val="2"/>
      <charset val="204"/>
    </font>
    <font>
      <b/>
      <sz val="14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7" xfId="0" applyFont="1" applyBorder="1"/>
    <xf numFmtId="0" fontId="1" fillId="0" borderId="2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3" xfId="0" applyNumberFormat="1" applyFont="1" applyBorder="1" applyAlignment="1">
      <alignment horizontal="center"/>
    </xf>
    <xf numFmtId="4" fontId="1" fillId="0" borderId="14" xfId="0" applyNumberFormat="1" applyFont="1" applyBorder="1" applyAlignment="1">
      <alignment horizontal="center"/>
    </xf>
    <xf numFmtId="4" fontId="1" fillId="0" borderId="15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0" borderId="2" xfId="0" applyNumberFormat="1" applyFont="1" applyBorder="1"/>
    <xf numFmtId="49" fontId="1" fillId="0" borderId="5" xfId="0" applyNumberFormat="1" applyFont="1" applyBorder="1"/>
    <xf numFmtId="49" fontId="1" fillId="0" borderId="7" xfId="0" applyNumberFormat="1" applyFont="1" applyBorder="1"/>
    <xf numFmtId="49" fontId="1" fillId="0" borderId="13" xfId="0" applyNumberFormat="1" applyFont="1" applyBorder="1"/>
    <xf numFmtId="49" fontId="1" fillId="0" borderId="14" xfId="0" applyNumberFormat="1" applyFont="1" applyBorder="1"/>
    <xf numFmtId="49" fontId="1" fillId="0" borderId="15" xfId="0" applyNumberFormat="1" applyFont="1" applyBorder="1"/>
    <xf numFmtId="49" fontId="1" fillId="0" borderId="13" xfId="0" applyNumberFormat="1" applyFont="1" applyBorder="1" applyAlignment="1">
      <alignment wrapText="1"/>
    </xf>
    <xf numFmtId="49" fontId="1" fillId="0" borderId="14" xfId="0" applyNumberFormat="1" applyFont="1" applyBorder="1" applyAlignment="1">
      <alignment wrapText="1"/>
    </xf>
    <xf numFmtId="49" fontId="1" fillId="0" borderId="15" xfId="0" applyNumberFormat="1" applyFont="1" applyBorder="1" applyAlignment="1">
      <alignment wrapText="1"/>
    </xf>
    <xf numFmtId="4" fontId="1" fillId="0" borderId="13" xfId="0" applyNumberFormat="1" applyFont="1" applyBorder="1" applyAlignment="1">
      <alignment horizontal="center" vertical="center"/>
    </xf>
    <xf numFmtId="4" fontId="1" fillId="0" borderId="14" xfId="0" applyNumberFormat="1" applyFont="1" applyBorder="1" applyAlignment="1">
      <alignment horizontal="center" vertical="center"/>
    </xf>
    <xf numFmtId="4" fontId="1" fillId="0" borderId="15" xfId="0" applyNumberFormat="1" applyFont="1" applyBorder="1" applyAlignment="1">
      <alignment horizontal="center" vertical="center"/>
    </xf>
    <xf numFmtId="0" fontId="1" fillId="0" borderId="5" xfId="0" applyFont="1" applyBorder="1"/>
    <xf numFmtId="49" fontId="4" fillId="0" borderId="14" xfId="0" applyNumberFormat="1" applyFont="1" applyBorder="1" applyAlignment="1">
      <alignment wrapText="1"/>
    </xf>
    <xf numFmtId="4" fontId="4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1" fillId="0" borderId="4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49" fontId="1" fillId="0" borderId="8" xfId="0" applyNumberFormat="1" applyFont="1" applyBorder="1"/>
    <xf numFmtId="2" fontId="1" fillId="0" borderId="0" xfId="0" applyNumberFormat="1" applyFont="1"/>
    <xf numFmtId="0" fontId="1" fillId="0" borderId="0" xfId="0" applyFont="1" applyAlignment="1"/>
    <xf numFmtId="10" fontId="6" fillId="0" borderId="14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0" fontId="6" fillId="0" borderId="13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9" fontId="1" fillId="0" borderId="5" xfId="0" applyNumberFormat="1" applyFont="1" applyBorder="1" applyAlignment="1">
      <alignment wrapText="1"/>
    </xf>
    <xf numFmtId="2" fontId="1" fillId="0" borderId="0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1" fillId="0" borderId="0" xfId="0" applyFont="1" applyBorder="1"/>
    <xf numFmtId="49" fontId="2" fillId="0" borderId="0" xfId="0" applyNumberFormat="1" applyFont="1" applyAlignment="1">
      <alignment horizontal="left" vertical="top" wrapText="1"/>
    </xf>
    <xf numFmtId="10" fontId="1" fillId="0" borderId="14" xfId="0" applyNumberFormat="1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49" fontId="2" fillId="0" borderId="0" xfId="0" applyNumberFormat="1" applyFont="1" applyAlignment="1">
      <alignment vertical="top" wrapText="1"/>
    </xf>
    <xf numFmtId="4" fontId="6" fillId="0" borderId="15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left"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/>
    <xf numFmtId="3" fontId="1" fillId="0" borderId="0" xfId="0" applyNumberFormat="1" applyFont="1"/>
    <xf numFmtId="4" fontId="1" fillId="2" borderId="13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1" fillId="0" borderId="3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4" fontId="1" fillId="2" borderId="3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10" fontId="1" fillId="0" borderId="1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/>
    <xf numFmtId="49" fontId="2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4" fontId="6" fillId="0" borderId="2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/>
    </xf>
    <xf numFmtId="49" fontId="1" fillId="0" borderId="11" xfId="0" applyNumberFormat="1" applyFont="1" applyBorder="1" applyAlignment="1">
      <alignment horizontal="left"/>
    </xf>
    <xf numFmtId="4" fontId="1" fillId="0" borderId="12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4" fontId="1" fillId="0" borderId="8" xfId="0" applyNumberFormat="1" applyFont="1" applyBorder="1" applyAlignment="1">
      <alignment horizontal="left" wrapText="1"/>
    </xf>
    <xf numFmtId="4" fontId="2" fillId="0" borderId="8" xfId="0" applyNumberFormat="1" applyFont="1" applyBorder="1" applyAlignment="1">
      <alignment horizontal="left" wrapText="1"/>
    </xf>
    <xf numFmtId="49" fontId="1" fillId="0" borderId="7" xfId="0" applyNumberFormat="1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49" fontId="1" fillId="0" borderId="12" xfId="0" applyNumberFormat="1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49" fontId="2" fillId="0" borderId="8" xfId="0" applyNumberFormat="1" applyFont="1" applyBorder="1" applyAlignment="1">
      <alignment horizontal="left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1</xdr:row>
      <xdr:rowOff>390525</xdr:rowOff>
    </xdr:from>
    <xdr:to>
      <xdr:col>6</xdr:col>
      <xdr:colOff>19050</xdr:colOff>
      <xdr:row>2</xdr:row>
      <xdr:rowOff>152400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5886450" y="790575"/>
          <a:ext cx="2219325" cy="1619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923925</xdr:colOff>
      <xdr:row>2</xdr:row>
      <xdr:rowOff>0</xdr:rowOff>
    </xdr:from>
    <xdr:to>
      <xdr:col>6</xdr:col>
      <xdr:colOff>19051</xdr:colOff>
      <xdr:row>15</xdr:row>
      <xdr:rowOff>133350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5876925" y="800100"/>
          <a:ext cx="2228851" cy="31337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1</xdr:row>
      <xdr:rowOff>361951</xdr:rowOff>
    </xdr:from>
    <xdr:to>
      <xdr:col>6</xdr:col>
      <xdr:colOff>9525</xdr:colOff>
      <xdr:row>4</xdr:row>
      <xdr:rowOff>19050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 flipV="1">
          <a:off x="4791075" y="762001"/>
          <a:ext cx="3305175" cy="45719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1257300</xdr:colOff>
      <xdr:row>14</xdr:row>
      <xdr:rowOff>371476</xdr:rowOff>
    </xdr:from>
    <xdr:to>
      <xdr:col>6</xdr:col>
      <xdr:colOff>9525</xdr:colOff>
      <xdr:row>16</xdr:row>
      <xdr:rowOff>95250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 flipV="1">
          <a:off x="4924425" y="3771901"/>
          <a:ext cx="3171825" cy="32384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B6" sqref="B6"/>
    </sheetView>
  </sheetViews>
  <sheetFormatPr defaultRowHeight="15.75" x14ac:dyDescent="0.25"/>
  <cols>
    <col min="1" max="1" width="41.28515625" style="1" customWidth="1"/>
    <col min="2" max="2" width="13.7109375" style="1" customWidth="1"/>
    <col min="3" max="3" width="27.140625" style="62" customWidth="1"/>
    <col min="4" max="4" width="19.28515625" style="62" customWidth="1"/>
    <col min="5" max="5" width="13.5703125" style="62" customWidth="1"/>
    <col min="6" max="6" width="9.140625" style="1"/>
    <col min="7" max="7" width="28.140625" style="1" bestFit="1" customWidth="1"/>
    <col min="8" max="23" width="9.140625" style="1"/>
  </cols>
  <sheetData>
    <row r="1" spans="1:16" ht="33.75" customHeight="1" x14ac:dyDescent="0.25">
      <c r="A1" s="94" t="s">
        <v>74</v>
      </c>
      <c r="B1" s="94"/>
      <c r="C1" s="94"/>
      <c r="D1" s="94"/>
      <c r="E1" s="94"/>
      <c r="G1" s="5" t="s">
        <v>133</v>
      </c>
    </row>
    <row r="2" spans="1:16" ht="54.75" customHeight="1" x14ac:dyDescent="0.25">
      <c r="A2" s="16" t="s">
        <v>6</v>
      </c>
      <c r="B2" s="16" t="s">
        <v>7</v>
      </c>
      <c r="C2" s="61" t="s">
        <v>25</v>
      </c>
      <c r="D2" s="61" t="s">
        <v>13</v>
      </c>
      <c r="E2" s="61" t="s">
        <v>8</v>
      </c>
      <c r="F2" s="14"/>
      <c r="G2" s="92" t="s">
        <v>134</v>
      </c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5">
      <c r="A3" s="1" t="s">
        <v>108</v>
      </c>
      <c r="B3" s="22" t="s">
        <v>114</v>
      </c>
      <c r="C3" s="10">
        <v>300</v>
      </c>
      <c r="D3" s="10">
        <v>0.03</v>
      </c>
      <c r="E3" s="10">
        <f>C3*D3</f>
        <v>9</v>
      </c>
    </row>
    <row r="4" spans="1:16" x14ac:dyDescent="0.25">
      <c r="A4" s="1" t="s">
        <v>109</v>
      </c>
      <c r="B4" s="22" t="s">
        <v>114</v>
      </c>
      <c r="C4" s="11">
        <v>8</v>
      </c>
      <c r="D4" s="11">
        <v>1.04</v>
      </c>
      <c r="E4" s="11">
        <f t="shared" ref="E4:E8" si="0">C4*D4</f>
        <v>8.32</v>
      </c>
    </row>
    <row r="5" spans="1:16" x14ac:dyDescent="0.25">
      <c r="A5" s="1" t="s">
        <v>110</v>
      </c>
      <c r="B5" s="22" t="s">
        <v>114</v>
      </c>
      <c r="C5" s="11">
        <v>3</v>
      </c>
      <c r="D5" s="11">
        <v>28</v>
      </c>
      <c r="E5" s="11">
        <f t="shared" si="0"/>
        <v>84</v>
      </c>
    </row>
    <row r="6" spans="1:16" x14ac:dyDescent="0.25">
      <c r="A6" s="1" t="s">
        <v>111</v>
      </c>
      <c r="B6" s="22" t="s">
        <v>114</v>
      </c>
      <c r="C6" s="11">
        <v>4</v>
      </c>
      <c r="D6" s="11">
        <v>2</v>
      </c>
      <c r="E6" s="11">
        <f t="shared" si="0"/>
        <v>8</v>
      </c>
    </row>
    <row r="7" spans="1:16" x14ac:dyDescent="0.25">
      <c r="A7" s="1" t="s">
        <v>112</v>
      </c>
      <c r="B7" s="22" t="s">
        <v>114</v>
      </c>
      <c r="C7" s="11">
        <v>4</v>
      </c>
      <c r="D7" s="11">
        <v>0.5</v>
      </c>
      <c r="E7" s="11">
        <f t="shared" si="0"/>
        <v>2</v>
      </c>
    </row>
    <row r="8" spans="1:16" x14ac:dyDescent="0.25">
      <c r="A8" s="1" t="s">
        <v>113</v>
      </c>
      <c r="B8" s="22" t="s">
        <v>114</v>
      </c>
      <c r="C8" s="11">
        <v>4</v>
      </c>
      <c r="D8" s="11">
        <v>5</v>
      </c>
      <c r="E8" s="11">
        <f t="shared" si="0"/>
        <v>20</v>
      </c>
    </row>
    <row r="9" spans="1:16" x14ac:dyDescent="0.25">
      <c r="A9" s="22"/>
      <c r="B9" s="22"/>
      <c r="C9" s="11"/>
      <c r="D9" s="11"/>
      <c r="E9" s="11"/>
    </row>
    <row r="10" spans="1:16" x14ac:dyDescent="0.25">
      <c r="A10" s="22"/>
      <c r="B10" s="22"/>
      <c r="C10" s="11"/>
      <c r="D10" s="11"/>
      <c r="E10" s="11"/>
    </row>
    <row r="11" spans="1:16" x14ac:dyDescent="0.25">
      <c r="A11" s="23"/>
      <c r="B11" s="23"/>
      <c r="C11" s="12"/>
      <c r="D11" s="12"/>
      <c r="E11" s="12"/>
    </row>
    <row r="12" spans="1:16" x14ac:dyDescent="0.25">
      <c r="A12" s="93" t="s">
        <v>10</v>
      </c>
      <c r="B12" s="93"/>
      <c r="C12" s="93"/>
      <c r="D12" s="93"/>
      <c r="E12" s="9">
        <v>1</v>
      </c>
    </row>
    <row r="13" spans="1:16" x14ac:dyDescent="0.25">
      <c r="A13" s="93" t="s">
        <v>65</v>
      </c>
      <c r="B13" s="93"/>
      <c r="C13" s="93"/>
      <c r="D13" s="93"/>
      <c r="E13" s="9">
        <f>SUM(E3:E11)*E12</f>
        <v>131.32</v>
      </c>
    </row>
    <row r="15" spans="1:16" ht="30" customHeight="1" x14ac:dyDescent="0.25">
      <c r="A15" s="94" t="s">
        <v>75</v>
      </c>
      <c r="B15" s="94"/>
      <c r="C15" s="94"/>
      <c r="D15" s="94"/>
      <c r="E15" s="94"/>
    </row>
    <row r="16" spans="1:16" ht="47.25" x14ac:dyDescent="0.25">
      <c r="A16" s="16" t="s">
        <v>6</v>
      </c>
      <c r="B16" s="16" t="s">
        <v>7</v>
      </c>
      <c r="C16" s="61" t="s">
        <v>14</v>
      </c>
      <c r="D16" s="61" t="s">
        <v>9</v>
      </c>
      <c r="E16" s="61" t="s">
        <v>8</v>
      </c>
    </row>
    <row r="17" spans="1:5" x14ac:dyDescent="0.25">
      <c r="A17" s="21" t="s">
        <v>108</v>
      </c>
      <c r="B17" s="22" t="s">
        <v>114</v>
      </c>
      <c r="C17" s="10">
        <v>100</v>
      </c>
      <c r="D17" s="10">
        <v>0.03</v>
      </c>
      <c r="E17" s="10">
        <f>C17*D17</f>
        <v>3</v>
      </c>
    </row>
    <row r="18" spans="1:5" x14ac:dyDescent="0.25">
      <c r="A18" s="22" t="s">
        <v>109</v>
      </c>
      <c r="B18" s="22" t="s">
        <v>114</v>
      </c>
      <c r="C18" s="11">
        <v>8</v>
      </c>
      <c r="D18" s="11">
        <v>1.04</v>
      </c>
      <c r="E18" s="11">
        <f t="shared" ref="E18:E20" si="1">C18*D18</f>
        <v>8.32</v>
      </c>
    </row>
    <row r="19" spans="1:5" x14ac:dyDescent="0.25">
      <c r="A19" s="22" t="s">
        <v>115</v>
      </c>
      <c r="B19" s="22" t="s">
        <v>114</v>
      </c>
      <c r="C19" s="11">
        <v>1</v>
      </c>
      <c r="D19" s="11">
        <v>14</v>
      </c>
      <c r="E19" s="11">
        <f t="shared" si="1"/>
        <v>14</v>
      </c>
    </row>
    <row r="20" spans="1:5" x14ac:dyDescent="0.25">
      <c r="A20" s="22" t="s">
        <v>116</v>
      </c>
      <c r="B20" s="22" t="s">
        <v>114</v>
      </c>
      <c r="C20" s="11">
        <v>1</v>
      </c>
      <c r="D20" s="11">
        <v>1.5</v>
      </c>
      <c r="E20" s="11">
        <f t="shared" si="1"/>
        <v>1.5</v>
      </c>
    </row>
    <row r="21" spans="1:5" x14ac:dyDescent="0.25">
      <c r="A21" s="22" t="s">
        <v>19</v>
      </c>
      <c r="B21" s="22"/>
      <c r="C21" s="11"/>
      <c r="D21" s="11"/>
      <c r="E21" s="11">
        <f t="shared" ref="E21:E25" si="2">C21*D21</f>
        <v>0</v>
      </c>
    </row>
    <row r="22" spans="1:5" x14ac:dyDescent="0.25">
      <c r="A22" s="22" t="s">
        <v>20</v>
      </c>
      <c r="B22" s="22"/>
      <c r="C22" s="11"/>
      <c r="D22" s="11"/>
      <c r="E22" s="11">
        <f t="shared" si="2"/>
        <v>0</v>
      </c>
    </row>
    <row r="23" spans="1:5" x14ac:dyDescent="0.25">
      <c r="A23" s="22" t="s">
        <v>21</v>
      </c>
      <c r="B23" s="22"/>
      <c r="C23" s="11"/>
      <c r="D23" s="11"/>
      <c r="E23" s="11">
        <f t="shared" si="2"/>
        <v>0</v>
      </c>
    </row>
    <row r="24" spans="1:5" x14ac:dyDescent="0.25">
      <c r="A24" s="22" t="s">
        <v>22</v>
      </c>
      <c r="B24" s="22"/>
      <c r="C24" s="11"/>
      <c r="D24" s="11"/>
      <c r="E24" s="11">
        <f t="shared" si="2"/>
        <v>0</v>
      </c>
    </row>
    <row r="25" spans="1:5" x14ac:dyDescent="0.25">
      <c r="A25" s="23" t="s">
        <v>23</v>
      </c>
      <c r="B25" s="23"/>
      <c r="C25" s="12"/>
      <c r="D25" s="12"/>
      <c r="E25" s="12">
        <f t="shared" si="2"/>
        <v>0</v>
      </c>
    </row>
    <row r="26" spans="1:5" x14ac:dyDescent="0.25">
      <c r="A26" s="93" t="s">
        <v>10</v>
      </c>
      <c r="B26" s="93"/>
      <c r="C26" s="93"/>
      <c r="D26" s="93"/>
      <c r="E26" s="9">
        <v>1</v>
      </c>
    </row>
    <row r="27" spans="1:5" x14ac:dyDescent="0.25">
      <c r="A27" s="93" t="s">
        <v>77</v>
      </c>
      <c r="B27" s="93"/>
      <c r="C27" s="93"/>
      <c r="D27" s="93"/>
      <c r="E27" s="9">
        <f>SUM(E17:E25)*E26</f>
        <v>26.82</v>
      </c>
    </row>
  </sheetData>
  <mergeCells count="6">
    <mergeCell ref="A12:D12"/>
    <mergeCell ref="A13:D13"/>
    <mergeCell ref="A26:D26"/>
    <mergeCell ref="A27:D27"/>
    <mergeCell ref="A1:E1"/>
    <mergeCell ref="A15:E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7" sqref="A7"/>
    </sheetView>
  </sheetViews>
  <sheetFormatPr defaultRowHeight="15.75" x14ac:dyDescent="0.25"/>
  <cols>
    <col min="1" max="1" width="38.28515625" style="1" customWidth="1"/>
    <col min="2" max="2" width="16.7109375" style="62" customWidth="1"/>
    <col min="3" max="3" width="19.28515625" style="62" customWidth="1"/>
    <col min="4" max="4" width="21" style="62" customWidth="1"/>
    <col min="5" max="5" width="16.85546875" style="62" customWidth="1"/>
  </cols>
  <sheetData>
    <row r="1" spans="1:20" ht="31.5" customHeight="1" x14ac:dyDescent="0.25">
      <c r="A1" s="94" t="s">
        <v>76</v>
      </c>
      <c r="B1" s="94"/>
      <c r="C1" s="94"/>
      <c r="D1" s="94"/>
      <c r="E1" s="94"/>
    </row>
    <row r="2" spans="1:20" ht="31.5" x14ac:dyDescent="0.25">
      <c r="A2" s="16" t="s">
        <v>90</v>
      </c>
      <c r="B2" s="64" t="s">
        <v>15</v>
      </c>
      <c r="C2" s="61" t="s">
        <v>29</v>
      </c>
      <c r="D2" s="61" t="s">
        <v>16</v>
      </c>
      <c r="E2" s="64" t="s">
        <v>8</v>
      </c>
      <c r="G2" s="60" t="s">
        <v>95</v>
      </c>
    </row>
    <row r="3" spans="1:20" x14ac:dyDescent="0.25">
      <c r="A3" s="21" t="s">
        <v>117</v>
      </c>
      <c r="B3" s="27">
        <v>0.06</v>
      </c>
      <c r="C3" s="36">
        <v>250</v>
      </c>
      <c r="D3" s="97">
        <f>0.12*2.54</f>
        <v>0.30480000000000002</v>
      </c>
      <c r="E3" s="10">
        <f>B3*C3*$D$3</f>
        <v>4.5720000000000001</v>
      </c>
    </row>
    <row r="4" spans="1:20" x14ac:dyDescent="0.25">
      <c r="A4" s="22" t="s">
        <v>118</v>
      </c>
      <c r="B4" s="28">
        <v>0.02</v>
      </c>
      <c r="C4" s="37">
        <v>200</v>
      </c>
      <c r="D4" s="98"/>
      <c r="E4" s="11">
        <f>B4*C4*$D$3</f>
        <v>1.2192000000000001</v>
      </c>
      <c r="G4" s="95" t="s">
        <v>96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x14ac:dyDescent="0.25">
      <c r="A5" s="22" t="s">
        <v>119</v>
      </c>
      <c r="B5" s="28">
        <v>0.01</v>
      </c>
      <c r="C5" s="37">
        <v>4</v>
      </c>
      <c r="D5" s="98"/>
      <c r="E5" s="11">
        <f>B5*C5*$D$3</f>
        <v>1.2192000000000001E-2</v>
      </c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1:20" x14ac:dyDescent="0.25">
      <c r="A6" s="22" t="s">
        <v>18</v>
      </c>
      <c r="B6" s="28"/>
      <c r="C6" s="37"/>
      <c r="D6" s="98"/>
      <c r="E6" s="11">
        <f>B6*C6*$D$3</f>
        <v>0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</row>
    <row r="7" spans="1:20" x14ac:dyDescent="0.25">
      <c r="A7" s="22" t="s">
        <v>19</v>
      </c>
      <c r="B7" s="28"/>
      <c r="C7" s="37"/>
      <c r="D7" s="98"/>
      <c r="E7" s="11">
        <f t="shared" ref="E7:E11" si="0">B7*C7*$D$3</f>
        <v>0</v>
      </c>
    </row>
    <row r="8" spans="1:20" x14ac:dyDescent="0.25">
      <c r="A8" s="22" t="s">
        <v>20</v>
      </c>
      <c r="B8" s="28"/>
      <c r="C8" s="37"/>
      <c r="D8" s="98"/>
      <c r="E8" s="11">
        <f t="shared" si="0"/>
        <v>0</v>
      </c>
    </row>
    <row r="9" spans="1:20" x14ac:dyDescent="0.25">
      <c r="A9" s="22" t="s">
        <v>21</v>
      </c>
      <c r="B9" s="28"/>
      <c r="C9" s="37"/>
      <c r="D9" s="98"/>
      <c r="E9" s="11">
        <f t="shared" si="0"/>
        <v>0</v>
      </c>
    </row>
    <row r="10" spans="1:20" x14ac:dyDescent="0.25">
      <c r="A10" s="22" t="s">
        <v>22</v>
      </c>
      <c r="B10" s="28"/>
      <c r="C10" s="37"/>
      <c r="D10" s="98"/>
      <c r="E10" s="11">
        <f t="shared" si="0"/>
        <v>0</v>
      </c>
    </row>
    <row r="11" spans="1:20" x14ac:dyDescent="0.25">
      <c r="A11" s="23" t="s">
        <v>23</v>
      </c>
      <c r="B11" s="29"/>
      <c r="C11" s="38"/>
      <c r="D11" s="99"/>
      <c r="E11" s="12">
        <f t="shared" si="0"/>
        <v>0</v>
      </c>
    </row>
    <row r="12" spans="1:20" x14ac:dyDescent="0.25">
      <c r="A12" s="93" t="s">
        <v>70</v>
      </c>
      <c r="B12" s="93"/>
      <c r="C12" s="93"/>
      <c r="D12" s="93"/>
      <c r="E12" s="12">
        <f>SUM(E3:E11)</f>
        <v>5.8033919999999997</v>
      </c>
    </row>
    <row r="14" spans="1:20" ht="31.5" customHeight="1" x14ac:dyDescent="0.25">
      <c r="A14" s="96" t="s">
        <v>78</v>
      </c>
      <c r="B14" s="96"/>
      <c r="C14" s="96"/>
      <c r="D14" s="96"/>
      <c r="E14" s="96"/>
    </row>
    <row r="15" spans="1:20" ht="31.5" x14ac:dyDescent="0.25">
      <c r="A15" s="16" t="s">
        <v>90</v>
      </c>
      <c r="B15" s="64" t="s">
        <v>15</v>
      </c>
      <c r="C15" s="61" t="s">
        <v>30</v>
      </c>
      <c r="D15" s="61" t="s">
        <v>16</v>
      </c>
      <c r="E15" s="64" t="s">
        <v>8</v>
      </c>
    </row>
    <row r="16" spans="1:20" ht="15.75" customHeight="1" x14ac:dyDescent="0.25">
      <c r="A16" s="21" t="s">
        <v>117</v>
      </c>
      <c r="B16" s="27">
        <v>0.06</v>
      </c>
      <c r="C16" s="36">
        <v>6</v>
      </c>
      <c r="D16" s="97">
        <f>D3</f>
        <v>0.30480000000000002</v>
      </c>
      <c r="E16" s="10">
        <f>B16*C16*$D$16</f>
        <v>0.10972800000000001</v>
      </c>
      <c r="G16" s="95" t="s">
        <v>97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</row>
    <row r="17" spans="1:20" ht="15.75" customHeight="1" x14ac:dyDescent="0.25">
      <c r="A17" s="22" t="s">
        <v>118</v>
      </c>
      <c r="B17" s="28">
        <v>0.02</v>
      </c>
      <c r="C17" s="37">
        <v>1</v>
      </c>
      <c r="D17" s="98"/>
      <c r="E17" s="11">
        <f t="shared" ref="E17:E24" si="1">B17*C17*$D$16</f>
        <v>6.0960000000000007E-3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</row>
    <row r="18" spans="1:20" ht="15.75" customHeight="1" x14ac:dyDescent="0.25">
      <c r="A18" s="22" t="s">
        <v>119</v>
      </c>
      <c r="B18" s="28">
        <v>0.01</v>
      </c>
      <c r="C18" s="37">
        <v>6</v>
      </c>
      <c r="D18" s="98"/>
      <c r="E18" s="11">
        <f t="shared" si="1"/>
        <v>1.8287999999999999E-2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</row>
    <row r="19" spans="1:20" x14ac:dyDescent="0.25">
      <c r="A19" s="22" t="s">
        <v>18</v>
      </c>
      <c r="B19" s="28"/>
      <c r="C19" s="37"/>
      <c r="D19" s="98"/>
      <c r="E19" s="11">
        <f t="shared" si="1"/>
        <v>0</v>
      </c>
    </row>
    <row r="20" spans="1:20" x14ac:dyDescent="0.25">
      <c r="A20" s="22" t="s">
        <v>19</v>
      </c>
      <c r="B20" s="28"/>
      <c r="C20" s="37"/>
      <c r="D20" s="98"/>
      <c r="E20" s="11">
        <f t="shared" si="1"/>
        <v>0</v>
      </c>
    </row>
    <row r="21" spans="1:20" x14ac:dyDescent="0.25">
      <c r="A21" s="22" t="s">
        <v>20</v>
      </c>
      <c r="B21" s="28"/>
      <c r="C21" s="37"/>
      <c r="D21" s="98"/>
      <c r="E21" s="11">
        <f t="shared" si="1"/>
        <v>0</v>
      </c>
    </row>
    <row r="22" spans="1:20" x14ac:dyDescent="0.25">
      <c r="A22" s="22" t="s">
        <v>21</v>
      </c>
      <c r="B22" s="28"/>
      <c r="C22" s="37"/>
      <c r="D22" s="98"/>
      <c r="E22" s="11">
        <f t="shared" si="1"/>
        <v>0</v>
      </c>
    </row>
    <row r="23" spans="1:20" x14ac:dyDescent="0.25">
      <c r="A23" s="22" t="s">
        <v>22</v>
      </c>
      <c r="B23" s="28"/>
      <c r="C23" s="37"/>
      <c r="D23" s="98"/>
      <c r="E23" s="11">
        <f t="shared" si="1"/>
        <v>0</v>
      </c>
    </row>
    <row r="24" spans="1:20" x14ac:dyDescent="0.25">
      <c r="A24" s="23" t="s">
        <v>23</v>
      </c>
      <c r="B24" s="29"/>
      <c r="C24" s="38"/>
      <c r="D24" s="99"/>
      <c r="E24" s="12">
        <f t="shared" si="1"/>
        <v>0</v>
      </c>
    </row>
    <row r="25" spans="1:20" x14ac:dyDescent="0.25">
      <c r="A25" s="93" t="s">
        <v>79</v>
      </c>
      <c r="B25" s="93"/>
      <c r="C25" s="93"/>
      <c r="D25" s="93"/>
      <c r="E25" s="12">
        <f>SUM(E16:E24)</f>
        <v>0.13411200000000001</v>
      </c>
    </row>
  </sheetData>
  <mergeCells count="8">
    <mergeCell ref="G4:T6"/>
    <mergeCell ref="G16:T18"/>
    <mergeCell ref="A1:E1"/>
    <mergeCell ref="A12:D12"/>
    <mergeCell ref="A25:D25"/>
    <mergeCell ref="A14:E14"/>
    <mergeCell ref="D3:D11"/>
    <mergeCell ref="D16:D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Normal="100" workbookViewId="0">
      <selection activeCell="B27" sqref="B27"/>
    </sheetView>
  </sheetViews>
  <sheetFormatPr defaultRowHeight="15" x14ac:dyDescent="0.25"/>
  <cols>
    <col min="1" max="1" width="44.42578125" customWidth="1"/>
    <col min="2" max="2" width="19.28515625" style="65" customWidth="1"/>
    <col min="3" max="3" width="19" style="72" customWidth="1"/>
    <col min="4" max="4" width="23.85546875" style="65" customWidth="1"/>
    <col min="5" max="5" width="24.28515625" style="65" customWidth="1"/>
    <col min="6" max="6" width="20.5703125" style="65" customWidth="1"/>
    <col min="8" max="21" width="9.140625" style="91"/>
  </cols>
  <sheetData>
    <row r="1" spans="1:21" ht="34.5" customHeight="1" x14ac:dyDescent="0.25">
      <c r="A1" s="107" t="s">
        <v>71</v>
      </c>
      <c r="B1" s="107"/>
      <c r="C1" s="107"/>
      <c r="D1" s="107"/>
      <c r="E1" s="107"/>
      <c r="F1" s="107"/>
      <c r="G1" s="1"/>
      <c r="H1" s="95" t="s">
        <v>98</v>
      </c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1" ht="47.25" x14ac:dyDescent="0.25">
      <c r="A2" s="16" t="s">
        <v>26</v>
      </c>
      <c r="B2" s="61" t="s">
        <v>27</v>
      </c>
      <c r="C2" s="68" t="s">
        <v>2</v>
      </c>
      <c r="D2" s="61" t="s">
        <v>3</v>
      </c>
      <c r="E2" s="61" t="s">
        <v>91</v>
      </c>
      <c r="F2" s="61" t="s">
        <v>28</v>
      </c>
      <c r="G2" s="1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pans="1:21" ht="18.75" x14ac:dyDescent="0.25">
      <c r="A3" s="21" t="s">
        <v>117</v>
      </c>
      <c r="B3" s="36">
        <v>1197</v>
      </c>
      <c r="C3" s="69">
        <v>5</v>
      </c>
      <c r="D3" s="10">
        <f t="shared" ref="D3:D5" si="0">B3/C3</f>
        <v>239.4</v>
      </c>
      <c r="E3" s="66">
        <v>1.5</v>
      </c>
      <c r="F3" s="10">
        <f t="shared" ref="F3:F5" si="1">D3*E3/12</f>
        <v>29.925000000000001</v>
      </c>
      <c r="G3" s="1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 spans="1:21" ht="15.75" customHeight="1" x14ac:dyDescent="0.25">
      <c r="A4" s="22" t="s">
        <v>121</v>
      </c>
      <c r="B4" s="37">
        <v>200</v>
      </c>
      <c r="C4" s="70">
        <v>12</v>
      </c>
      <c r="D4" s="11">
        <f t="shared" si="0"/>
        <v>16.666666666666668</v>
      </c>
      <c r="E4" s="67">
        <v>1.5</v>
      </c>
      <c r="F4" s="11">
        <f t="shared" si="1"/>
        <v>2.0833333333333335</v>
      </c>
      <c r="G4" s="1"/>
      <c r="H4" s="95" t="s">
        <v>102</v>
      </c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1" ht="15.75" customHeight="1" x14ac:dyDescent="0.25">
      <c r="A5" s="22" t="s">
        <v>120</v>
      </c>
      <c r="B5" s="37">
        <v>430</v>
      </c>
      <c r="C5" s="70">
        <v>12</v>
      </c>
      <c r="D5" s="11">
        <f t="shared" si="0"/>
        <v>35.833333333333336</v>
      </c>
      <c r="E5" s="67">
        <v>1.5</v>
      </c>
      <c r="F5" s="11">
        <f t="shared" si="1"/>
        <v>4.479166666666667</v>
      </c>
      <c r="G5" s="1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</row>
    <row r="6" spans="1:21" ht="15.75" customHeight="1" x14ac:dyDescent="0.25">
      <c r="A6" s="22" t="s">
        <v>18</v>
      </c>
      <c r="B6" s="37"/>
      <c r="C6" s="70"/>
      <c r="D6" s="11"/>
      <c r="E6" s="67"/>
      <c r="F6" s="11"/>
      <c r="G6" s="1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</row>
    <row r="7" spans="1:21" ht="15.75" customHeight="1" x14ac:dyDescent="0.25">
      <c r="A7" s="22" t="s">
        <v>19</v>
      </c>
      <c r="B7" s="37"/>
      <c r="C7" s="70"/>
      <c r="D7" s="11"/>
      <c r="E7" s="67"/>
      <c r="F7" s="11"/>
      <c r="G7" s="1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</row>
    <row r="8" spans="1:21" ht="15.75" customHeight="1" x14ac:dyDescent="0.25">
      <c r="A8" s="22" t="s">
        <v>20</v>
      </c>
      <c r="B8" s="37"/>
      <c r="C8" s="70"/>
      <c r="D8" s="11"/>
      <c r="E8" s="67"/>
      <c r="F8" s="11"/>
      <c r="G8" s="1"/>
      <c r="H8" s="95" t="s">
        <v>103</v>
      </c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</row>
    <row r="9" spans="1:21" ht="15.75" customHeight="1" x14ac:dyDescent="0.25">
      <c r="A9" s="23" t="s">
        <v>21</v>
      </c>
      <c r="B9" s="38"/>
      <c r="C9" s="71"/>
      <c r="D9" s="12"/>
      <c r="E9" s="13"/>
      <c r="F9" s="12"/>
      <c r="G9" s="1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</row>
    <row r="10" spans="1:21" ht="15.75" customHeight="1" x14ac:dyDescent="0.25">
      <c r="A10" s="108" t="s">
        <v>66</v>
      </c>
      <c r="B10" s="102"/>
      <c r="C10" s="102"/>
      <c r="D10" s="102"/>
      <c r="E10" s="103"/>
      <c r="F10" s="12">
        <f>SUM(B3:B9)</f>
        <v>1827</v>
      </c>
      <c r="G10" s="1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</row>
    <row r="11" spans="1:21" ht="31.5" customHeight="1" x14ac:dyDescent="0.25">
      <c r="A11" s="104" t="s">
        <v>82</v>
      </c>
      <c r="B11" s="105"/>
      <c r="C11" s="105"/>
      <c r="D11" s="105"/>
      <c r="E11" s="106"/>
      <c r="F11" s="9">
        <f>SUM(F3:F9)</f>
        <v>36.487499999999997</v>
      </c>
      <c r="G11" s="1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</row>
    <row r="12" spans="1:21" ht="15.75" x14ac:dyDescent="0.25">
      <c r="A12" s="1"/>
      <c r="B12" s="62"/>
      <c r="C12" s="63"/>
      <c r="D12" s="62"/>
      <c r="E12" s="62"/>
      <c r="F12" s="62"/>
      <c r="G12" s="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87"/>
    </row>
    <row r="13" spans="1:21" ht="33.75" customHeight="1" x14ac:dyDescent="0.25">
      <c r="A13" s="96" t="s">
        <v>72</v>
      </c>
      <c r="B13" s="96"/>
      <c r="C13" s="96"/>
      <c r="D13" s="96"/>
      <c r="E13" s="100"/>
      <c r="F13" s="100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1" ht="47.25" x14ac:dyDescent="0.25">
      <c r="A14" s="16" t="s">
        <v>26</v>
      </c>
      <c r="B14" s="61" t="s">
        <v>27</v>
      </c>
      <c r="C14" s="68" t="s">
        <v>2</v>
      </c>
      <c r="D14" s="61" t="s">
        <v>3</v>
      </c>
      <c r="E14" s="61" t="s">
        <v>91</v>
      </c>
      <c r="F14" s="61" t="s">
        <v>28</v>
      </c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</row>
    <row r="15" spans="1:21" ht="15.75" customHeight="1" x14ac:dyDescent="0.25">
      <c r="A15" s="22" t="s">
        <v>122</v>
      </c>
      <c r="B15" s="10">
        <v>499</v>
      </c>
      <c r="C15" s="69">
        <v>7</v>
      </c>
      <c r="D15" s="10">
        <f t="shared" ref="D15:D16" si="2">B15/C15</f>
        <v>71.285714285714292</v>
      </c>
      <c r="E15" s="66">
        <v>0.01</v>
      </c>
      <c r="F15" s="10">
        <f t="shared" ref="F15:F16" si="3">D15*E15/12</f>
        <v>5.9404761904761912E-2</v>
      </c>
      <c r="H15" s="95" t="s">
        <v>104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</row>
    <row r="16" spans="1:21" ht="15.75" customHeight="1" x14ac:dyDescent="0.25">
      <c r="A16" s="22" t="s">
        <v>123</v>
      </c>
      <c r="B16" s="11">
        <v>40</v>
      </c>
      <c r="C16" s="70">
        <v>5</v>
      </c>
      <c r="D16" s="11">
        <f t="shared" si="2"/>
        <v>8</v>
      </c>
      <c r="E16" s="67">
        <v>1.5</v>
      </c>
      <c r="F16" s="11">
        <f t="shared" si="3"/>
        <v>1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1" ht="15.75" customHeight="1" x14ac:dyDescent="0.25">
      <c r="A17" s="22" t="s">
        <v>17</v>
      </c>
      <c r="B17" s="11"/>
      <c r="C17" s="70"/>
      <c r="D17" s="11"/>
      <c r="E17" s="67"/>
      <c r="F17" s="11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</row>
    <row r="18" spans="1:21" ht="15.75" customHeight="1" x14ac:dyDescent="0.25">
      <c r="A18" s="22" t="s">
        <v>18</v>
      </c>
      <c r="B18" s="11"/>
      <c r="C18" s="70"/>
      <c r="D18" s="11"/>
      <c r="E18" s="67"/>
      <c r="F18" s="11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</row>
    <row r="19" spans="1:21" ht="15.75" customHeight="1" x14ac:dyDescent="0.25">
      <c r="A19" s="22" t="s">
        <v>19</v>
      </c>
      <c r="B19" s="11"/>
      <c r="C19" s="70"/>
      <c r="D19" s="11"/>
      <c r="E19" s="67"/>
      <c r="F19" s="11"/>
      <c r="H19" s="95" t="s">
        <v>105</v>
      </c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</row>
    <row r="20" spans="1:21" ht="15.75" customHeight="1" x14ac:dyDescent="0.25">
      <c r="A20" s="22" t="s">
        <v>20</v>
      </c>
      <c r="B20" s="11"/>
      <c r="C20" s="70"/>
      <c r="D20" s="11"/>
      <c r="E20" s="67"/>
      <c r="F20" s="11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</row>
    <row r="21" spans="1:21" ht="15.75" customHeight="1" x14ac:dyDescent="0.25">
      <c r="A21" s="23" t="s">
        <v>21</v>
      </c>
      <c r="B21" s="12"/>
      <c r="C21" s="71"/>
      <c r="D21" s="12"/>
      <c r="E21" s="13"/>
      <c r="F21" s="12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</row>
    <row r="22" spans="1:21" ht="15.75" customHeight="1" x14ac:dyDescent="0.25">
      <c r="A22" s="101" t="s">
        <v>67</v>
      </c>
      <c r="B22" s="102"/>
      <c r="C22" s="102"/>
      <c r="D22" s="102"/>
      <c r="E22" s="103"/>
      <c r="F22" s="12">
        <f>SUM(B15:B21)</f>
        <v>539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30" customHeight="1" x14ac:dyDescent="0.25">
      <c r="A23" s="104" t="s">
        <v>83</v>
      </c>
      <c r="B23" s="105"/>
      <c r="C23" s="105"/>
      <c r="D23" s="105"/>
      <c r="E23" s="106"/>
      <c r="F23" s="9">
        <f>SUM(F15:F21)</f>
        <v>1.059404761904762</v>
      </c>
    </row>
    <row r="25" spans="1:21" ht="33" customHeight="1" x14ac:dyDescent="0.25">
      <c r="A25" s="96" t="s">
        <v>80</v>
      </c>
      <c r="B25" s="96"/>
      <c r="C25" s="96"/>
      <c r="D25" s="96"/>
      <c r="E25" s="100"/>
      <c r="F25" s="10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1" ht="46.5" customHeight="1" x14ac:dyDescent="0.25">
      <c r="A26" s="16" t="s">
        <v>26</v>
      </c>
      <c r="B26" s="61" t="s">
        <v>27</v>
      </c>
      <c r="C26" s="68" t="s">
        <v>2</v>
      </c>
      <c r="D26" s="61" t="s">
        <v>3</v>
      </c>
      <c r="E26" s="61" t="s">
        <v>99</v>
      </c>
      <c r="F26" s="64" t="s">
        <v>28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1" ht="15.75" customHeight="1" x14ac:dyDescent="0.25">
      <c r="A27" s="21" t="s">
        <v>117</v>
      </c>
      <c r="B27" s="36">
        <v>1197</v>
      </c>
      <c r="C27" s="69">
        <v>5</v>
      </c>
      <c r="D27" s="10">
        <f t="shared" ref="D27:D29" si="4">B27/C27</f>
        <v>239.4</v>
      </c>
      <c r="E27" s="66">
        <v>8</v>
      </c>
      <c r="F27" s="10">
        <f>D27*E27/('4. Зарплата'!$B$3*8)</f>
        <v>0.93882352941176472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1" ht="15.75" customHeight="1" x14ac:dyDescent="0.25">
      <c r="A28" s="22" t="s">
        <v>121</v>
      </c>
      <c r="B28" s="37">
        <v>200</v>
      </c>
      <c r="C28" s="70">
        <v>12</v>
      </c>
      <c r="D28" s="11">
        <f t="shared" si="4"/>
        <v>16.666666666666668</v>
      </c>
      <c r="E28" s="67">
        <v>8</v>
      </c>
      <c r="F28" s="11">
        <f>D28*E28/('4. Зарплата'!$B$3*8)</f>
        <v>6.535947712418301E-2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1" ht="15.75" customHeight="1" x14ac:dyDescent="0.25">
      <c r="A29" s="22" t="s">
        <v>120</v>
      </c>
      <c r="B29" s="37">
        <v>430</v>
      </c>
      <c r="C29" s="70">
        <v>12</v>
      </c>
      <c r="D29" s="11">
        <f t="shared" si="4"/>
        <v>35.833333333333336</v>
      </c>
      <c r="E29" s="67">
        <v>8</v>
      </c>
      <c r="F29" s="11">
        <f>D29*E29/('4. Зарплата'!$B$3*8)</f>
        <v>0.14052287581699346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1" ht="15.75" x14ac:dyDescent="0.25">
      <c r="A30" s="22" t="s">
        <v>18</v>
      </c>
      <c r="B30" s="11"/>
      <c r="C30" s="70"/>
      <c r="D30" s="11"/>
      <c r="E30" s="67"/>
      <c r="F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1" ht="15.75" x14ac:dyDescent="0.25">
      <c r="A31" s="22" t="s">
        <v>19</v>
      </c>
      <c r="B31" s="11"/>
      <c r="C31" s="70"/>
      <c r="D31" s="11"/>
      <c r="E31" s="67"/>
      <c r="F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1" ht="15.75" x14ac:dyDescent="0.25">
      <c r="A32" s="22" t="s">
        <v>20</v>
      </c>
      <c r="B32" s="11"/>
      <c r="C32" s="70"/>
      <c r="D32" s="11"/>
      <c r="E32" s="67"/>
      <c r="F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x14ac:dyDescent="0.25">
      <c r="A33" s="23" t="s">
        <v>21</v>
      </c>
      <c r="B33" s="12"/>
      <c r="C33" s="71"/>
      <c r="D33" s="12"/>
      <c r="E33" s="13"/>
      <c r="F33" s="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x14ac:dyDescent="0.25">
      <c r="A34" s="101" t="s">
        <v>66</v>
      </c>
      <c r="B34" s="102"/>
      <c r="C34" s="102"/>
      <c r="D34" s="102"/>
      <c r="E34" s="103"/>
      <c r="F34" s="12">
        <f>SUM(B27:B33)</f>
        <v>1827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x14ac:dyDescent="0.25">
      <c r="A35" s="104" t="s">
        <v>84</v>
      </c>
      <c r="B35" s="105"/>
      <c r="C35" s="105"/>
      <c r="D35" s="105"/>
      <c r="E35" s="106"/>
      <c r="F35" s="9">
        <f>SUM(F27:F33)</f>
        <v>1.1447058823529412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7" spans="1:20" ht="31.5" customHeight="1" x14ac:dyDescent="0.25">
      <c r="A37" s="96" t="s">
        <v>81</v>
      </c>
      <c r="B37" s="96"/>
      <c r="C37" s="96"/>
      <c r="D37" s="96"/>
      <c r="E37" s="100"/>
      <c r="F37" s="100"/>
    </row>
    <row r="38" spans="1:20" ht="46.5" customHeight="1" x14ac:dyDescent="0.25">
      <c r="A38" s="16" t="s">
        <v>26</v>
      </c>
      <c r="B38" s="61" t="s">
        <v>27</v>
      </c>
      <c r="C38" s="68" t="s">
        <v>2</v>
      </c>
      <c r="D38" s="61" t="s">
        <v>3</v>
      </c>
      <c r="E38" s="61" t="s">
        <v>99</v>
      </c>
      <c r="F38" s="64" t="s">
        <v>28</v>
      </c>
    </row>
    <row r="39" spans="1:20" ht="15.75" customHeight="1" x14ac:dyDescent="0.25">
      <c r="A39" s="22" t="s">
        <v>122</v>
      </c>
      <c r="B39" s="10">
        <v>499</v>
      </c>
      <c r="C39" s="69">
        <v>7</v>
      </c>
      <c r="D39" s="10">
        <f t="shared" ref="D39:D40" si="5">B39/C39</f>
        <v>71.285714285714292</v>
      </c>
      <c r="E39" s="66">
        <v>8</v>
      </c>
      <c r="F39" s="10">
        <f>D39*E39/('4. Зарплата'!$B$3*8)</f>
        <v>0.27955182072829132</v>
      </c>
    </row>
    <row r="40" spans="1:20" ht="15.75" customHeight="1" x14ac:dyDescent="0.25">
      <c r="A40" s="22" t="s">
        <v>123</v>
      </c>
      <c r="B40" s="11">
        <v>40</v>
      </c>
      <c r="C40" s="70">
        <v>5</v>
      </c>
      <c r="D40" s="11">
        <f t="shared" si="5"/>
        <v>8</v>
      </c>
      <c r="E40" s="67">
        <v>8</v>
      </c>
      <c r="F40" s="11">
        <f>D40*E40/('4. Зарплата'!$B$3*8)</f>
        <v>3.1372549019607843E-2</v>
      </c>
    </row>
    <row r="41" spans="1:20" ht="15.75" customHeight="1" x14ac:dyDescent="0.25">
      <c r="A41" s="22" t="s">
        <v>17</v>
      </c>
      <c r="B41" s="11"/>
      <c r="C41" s="70"/>
      <c r="D41" s="11"/>
      <c r="E41" s="67"/>
      <c r="F41" s="11"/>
    </row>
    <row r="42" spans="1:20" ht="15.75" x14ac:dyDescent="0.25">
      <c r="A42" s="22" t="s">
        <v>18</v>
      </c>
      <c r="B42" s="11"/>
      <c r="C42" s="70"/>
      <c r="D42" s="11"/>
      <c r="E42" s="67"/>
      <c r="F42" s="11"/>
    </row>
    <row r="43" spans="1:20" ht="15.75" x14ac:dyDescent="0.25">
      <c r="A43" s="22" t="s">
        <v>19</v>
      </c>
      <c r="B43" s="11"/>
      <c r="C43" s="70"/>
      <c r="D43" s="11"/>
      <c r="E43" s="67"/>
      <c r="F43" s="11"/>
    </row>
    <row r="44" spans="1:20" ht="15.75" x14ac:dyDescent="0.25">
      <c r="A44" s="22" t="s">
        <v>20</v>
      </c>
      <c r="B44" s="11"/>
      <c r="C44" s="70"/>
      <c r="D44" s="11"/>
      <c r="E44" s="67"/>
      <c r="F44" s="11"/>
    </row>
    <row r="45" spans="1:20" ht="15.75" x14ac:dyDescent="0.25">
      <c r="A45" s="23" t="s">
        <v>21</v>
      </c>
      <c r="B45" s="12"/>
      <c r="C45" s="71"/>
      <c r="D45" s="12"/>
      <c r="E45" s="13"/>
      <c r="F45" s="12"/>
    </row>
    <row r="46" spans="1:20" ht="15.75" x14ac:dyDescent="0.25">
      <c r="A46" s="101" t="s">
        <v>67</v>
      </c>
      <c r="B46" s="102"/>
      <c r="C46" s="102"/>
      <c r="D46" s="102"/>
      <c r="E46" s="103"/>
      <c r="F46" s="12">
        <f>SUM(B39:B45)</f>
        <v>539</v>
      </c>
    </row>
    <row r="47" spans="1:20" ht="15.75" x14ac:dyDescent="0.25">
      <c r="A47" s="104" t="s">
        <v>85</v>
      </c>
      <c r="B47" s="105"/>
      <c r="C47" s="105"/>
      <c r="D47" s="105"/>
      <c r="E47" s="106"/>
      <c r="F47" s="9">
        <f>SUM(F39:F45)</f>
        <v>0.31092436974789917</v>
      </c>
    </row>
  </sheetData>
  <mergeCells count="17">
    <mergeCell ref="H1:U2"/>
    <mergeCell ref="H4:U7"/>
    <mergeCell ref="H8:U11"/>
    <mergeCell ref="H15:U18"/>
    <mergeCell ref="H19:U22"/>
    <mergeCell ref="A37:F37"/>
    <mergeCell ref="A46:E46"/>
    <mergeCell ref="A47:E47"/>
    <mergeCell ref="A1:F1"/>
    <mergeCell ref="A10:E10"/>
    <mergeCell ref="A22:E22"/>
    <mergeCell ref="A23:E23"/>
    <mergeCell ref="A11:E11"/>
    <mergeCell ref="A13:F13"/>
    <mergeCell ref="A34:E34"/>
    <mergeCell ref="A35:E35"/>
    <mergeCell ref="A25:F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Normal="100" workbookViewId="0">
      <selection activeCell="F25" sqref="F25"/>
    </sheetView>
  </sheetViews>
  <sheetFormatPr defaultRowHeight="15.75" x14ac:dyDescent="0.25"/>
  <cols>
    <col min="1" max="1" width="65.85546875" style="1" customWidth="1"/>
    <col min="2" max="2" width="37.28515625" style="1" customWidth="1"/>
    <col min="3" max="3" width="14.7109375" style="73" customWidth="1"/>
    <col min="4" max="4" width="14.7109375" style="62" customWidth="1"/>
    <col min="5" max="5" width="16.42578125" style="62" customWidth="1"/>
    <col min="6" max="6" width="21.42578125" style="62" customWidth="1"/>
    <col min="7" max="7" width="21.85546875" style="62" customWidth="1"/>
    <col min="8" max="8" width="9.42578125" style="1" customWidth="1"/>
    <col min="9" max="22" width="9.140625" style="1"/>
  </cols>
  <sheetData>
    <row r="1" spans="1:19" x14ac:dyDescent="0.25">
      <c r="A1" s="5" t="s">
        <v>73</v>
      </c>
      <c r="B1" s="5"/>
    </row>
    <row r="2" spans="1:19" x14ac:dyDescent="0.25">
      <c r="A2" s="1" t="s">
        <v>33</v>
      </c>
      <c r="B2" s="1">
        <f>198</f>
        <v>198</v>
      </c>
    </row>
    <row r="3" spans="1:19" x14ac:dyDescent="0.25">
      <c r="A3" s="41" t="s">
        <v>34</v>
      </c>
      <c r="B3" s="1">
        <f>255</f>
        <v>255</v>
      </c>
    </row>
    <row r="4" spans="1:19" x14ac:dyDescent="0.25">
      <c r="A4" s="44" t="s">
        <v>32</v>
      </c>
      <c r="B4" s="43">
        <f>B3/12</f>
        <v>21.25</v>
      </c>
    </row>
    <row r="5" spans="1:19" ht="48" customHeight="1" x14ac:dyDescent="0.25">
      <c r="A5" s="15" t="s">
        <v>0</v>
      </c>
      <c r="B5" s="15" t="s">
        <v>4</v>
      </c>
      <c r="C5" s="74" t="s">
        <v>1</v>
      </c>
      <c r="D5" s="61" t="s">
        <v>5</v>
      </c>
      <c r="E5" s="79" t="s">
        <v>31</v>
      </c>
      <c r="F5" s="61" t="s">
        <v>100</v>
      </c>
      <c r="G5" s="80" t="s">
        <v>36</v>
      </c>
      <c r="H5" s="3"/>
      <c r="I5" s="109" t="s">
        <v>106</v>
      </c>
      <c r="J5" s="109"/>
      <c r="K5" s="109"/>
      <c r="L5" s="109"/>
      <c r="M5" s="109"/>
      <c r="N5" s="109"/>
      <c r="O5" s="109"/>
      <c r="P5" s="2"/>
      <c r="Q5" s="2"/>
      <c r="R5" s="2"/>
      <c r="S5" s="2"/>
    </row>
    <row r="6" spans="1:19" ht="18.75" x14ac:dyDescent="0.25">
      <c r="A6" s="18" t="s">
        <v>124</v>
      </c>
      <c r="B6" s="18" t="s">
        <v>125</v>
      </c>
      <c r="C6" s="76">
        <f>12</f>
        <v>12</v>
      </c>
      <c r="D6" s="82">
        <f>2.03</f>
        <v>2.0299999999999998</v>
      </c>
      <c r="E6" s="10">
        <f>$B$2*D6</f>
        <v>401.93999999999994</v>
      </c>
      <c r="F6" s="10">
        <f>200</f>
        <v>200</v>
      </c>
      <c r="G6" s="10">
        <f>E6*(F6/($B$4*8))</f>
        <v>472.87058823529406</v>
      </c>
      <c r="I6" s="109"/>
      <c r="J6" s="109"/>
      <c r="K6" s="109"/>
      <c r="L6" s="109"/>
      <c r="M6" s="109"/>
      <c r="N6" s="109"/>
      <c r="O6" s="109"/>
      <c r="P6" s="88"/>
      <c r="Q6" s="88"/>
      <c r="R6" s="88"/>
    </row>
    <row r="7" spans="1:19" ht="18.75" x14ac:dyDescent="0.25">
      <c r="A7" s="19" t="s">
        <v>126</v>
      </c>
      <c r="B7" s="19" t="s">
        <v>127</v>
      </c>
      <c r="C7" s="76">
        <f>12</f>
        <v>12</v>
      </c>
      <c r="D7" s="82">
        <f>2.03</f>
        <v>2.0299999999999998</v>
      </c>
      <c r="E7" s="11">
        <f t="shared" ref="E7:E11" si="0">$B$2*D7</f>
        <v>401.93999999999994</v>
      </c>
      <c r="F7" s="11">
        <f>230</f>
        <v>230</v>
      </c>
      <c r="G7" s="11">
        <f t="shared" ref="G7:G11" si="1">E7*(F7/($B$4*8))</f>
        <v>543.80117647058819</v>
      </c>
      <c r="I7" s="109"/>
      <c r="J7" s="109"/>
      <c r="K7" s="109"/>
      <c r="L7" s="109"/>
      <c r="M7" s="109"/>
      <c r="N7" s="109"/>
      <c r="O7" s="109"/>
      <c r="P7" s="88"/>
      <c r="Q7" s="88"/>
      <c r="R7" s="88"/>
    </row>
    <row r="8" spans="1:19" ht="18.75" x14ac:dyDescent="0.25">
      <c r="A8" s="19" t="s">
        <v>128</v>
      </c>
      <c r="B8" s="19" t="s">
        <v>129</v>
      </c>
      <c r="C8" s="76">
        <f>10</f>
        <v>10</v>
      </c>
      <c r="D8" s="82">
        <f>1.79</f>
        <v>1.79</v>
      </c>
      <c r="E8" s="11">
        <f t="shared" si="0"/>
        <v>354.42</v>
      </c>
      <c r="F8" s="11">
        <f>80</f>
        <v>80</v>
      </c>
      <c r="G8" s="11">
        <f t="shared" si="1"/>
        <v>166.78588235294117</v>
      </c>
      <c r="I8" s="109"/>
      <c r="J8" s="109"/>
      <c r="K8" s="109"/>
      <c r="L8" s="109"/>
      <c r="M8" s="109"/>
      <c r="N8" s="109"/>
      <c r="O8" s="109"/>
      <c r="P8" s="88"/>
      <c r="Q8" s="88"/>
      <c r="R8" s="88"/>
    </row>
    <row r="9" spans="1:19" ht="15.75" customHeight="1" x14ac:dyDescent="0.25">
      <c r="A9" s="19" t="s">
        <v>18</v>
      </c>
      <c r="B9" s="19"/>
      <c r="C9" s="76"/>
      <c r="D9" s="82"/>
      <c r="E9" s="11">
        <f t="shared" si="0"/>
        <v>0</v>
      </c>
      <c r="F9" s="67"/>
      <c r="G9" s="11">
        <f t="shared" si="1"/>
        <v>0</v>
      </c>
      <c r="I9" s="109"/>
      <c r="J9" s="109"/>
      <c r="K9" s="109"/>
      <c r="L9" s="109"/>
      <c r="M9" s="109"/>
      <c r="N9" s="109"/>
      <c r="O9" s="109"/>
    </row>
    <row r="10" spans="1:19" ht="15.75" customHeight="1" x14ac:dyDescent="0.25">
      <c r="A10" s="19" t="s">
        <v>19</v>
      </c>
      <c r="B10" s="19"/>
      <c r="C10" s="76"/>
      <c r="D10" s="82"/>
      <c r="E10" s="11">
        <f t="shared" si="0"/>
        <v>0</v>
      </c>
      <c r="F10" s="67"/>
      <c r="G10" s="11">
        <f t="shared" si="1"/>
        <v>0</v>
      </c>
      <c r="I10" s="109"/>
      <c r="J10" s="109"/>
      <c r="K10" s="109"/>
      <c r="L10" s="109"/>
      <c r="M10" s="109"/>
      <c r="N10" s="109"/>
      <c r="O10" s="109"/>
    </row>
    <row r="11" spans="1:19" ht="15.75" customHeight="1" x14ac:dyDescent="0.25">
      <c r="A11" s="20" t="s">
        <v>20</v>
      </c>
      <c r="B11" s="20"/>
      <c r="C11" s="77"/>
      <c r="D11" s="83"/>
      <c r="E11" s="12">
        <f t="shared" si="0"/>
        <v>0</v>
      </c>
      <c r="F11" s="13"/>
      <c r="G11" s="12">
        <f t="shared" si="1"/>
        <v>0</v>
      </c>
      <c r="I11" s="109"/>
      <c r="J11" s="109"/>
      <c r="K11" s="109"/>
      <c r="L11" s="109"/>
      <c r="M11" s="109"/>
      <c r="N11" s="109"/>
      <c r="O11" s="109"/>
    </row>
    <row r="12" spans="1:19" x14ac:dyDescent="0.25">
      <c r="A12" s="20" t="s">
        <v>37</v>
      </c>
      <c r="B12" s="42"/>
      <c r="C12" s="78"/>
      <c r="D12" s="13"/>
      <c r="E12" s="13"/>
      <c r="F12" s="13"/>
      <c r="G12" s="12">
        <f>SUM(G6:G11)</f>
        <v>1183.4576470588233</v>
      </c>
    </row>
    <row r="13" spans="1:19" x14ac:dyDescent="0.25">
      <c r="A13" s="101" t="s">
        <v>68</v>
      </c>
      <c r="B13" s="102"/>
      <c r="C13" s="102"/>
      <c r="D13" s="102"/>
      <c r="E13" s="102"/>
      <c r="F13" s="110"/>
      <c r="G13" s="59">
        <v>2.2000000000000002</v>
      </c>
      <c r="H13" s="35" t="s">
        <v>87</v>
      </c>
    </row>
    <row r="14" spans="1:19" x14ac:dyDescent="0.25">
      <c r="A14" s="101" t="s">
        <v>54</v>
      </c>
      <c r="B14" s="102"/>
      <c r="C14" s="102"/>
      <c r="D14" s="102"/>
      <c r="E14" s="102"/>
      <c r="F14" s="110"/>
      <c r="G14" s="12">
        <f>G12*G13</f>
        <v>2603.6068235294115</v>
      </c>
    </row>
    <row r="15" spans="1:19" x14ac:dyDescent="0.25">
      <c r="A15" s="111" t="s">
        <v>88</v>
      </c>
      <c r="B15" s="112"/>
      <c r="C15" s="112"/>
      <c r="D15" s="112"/>
      <c r="E15" s="112"/>
      <c r="F15" s="113"/>
      <c r="G15" s="9">
        <f>G12+G14</f>
        <v>3787.0644705882351</v>
      </c>
    </row>
    <row r="17" spans="1:18" ht="31.5" customHeight="1" x14ac:dyDescent="0.25">
      <c r="A17" s="96" t="s">
        <v>86</v>
      </c>
      <c r="B17" s="96"/>
      <c r="C17" s="96"/>
      <c r="D17" s="96"/>
      <c r="E17" s="96"/>
      <c r="F17" s="96"/>
      <c r="G17" s="96"/>
    </row>
    <row r="18" spans="1:18" ht="47.25" customHeight="1" x14ac:dyDescent="0.25">
      <c r="A18" s="15" t="s">
        <v>35</v>
      </c>
      <c r="B18" s="15" t="s">
        <v>51</v>
      </c>
      <c r="C18" s="74" t="s">
        <v>1</v>
      </c>
      <c r="D18" s="61" t="s">
        <v>5</v>
      </c>
      <c r="E18" s="79" t="s">
        <v>31</v>
      </c>
      <c r="F18" s="61" t="s">
        <v>101</v>
      </c>
      <c r="G18" s="80" t="s">
        <v>36</v>
      </c>
    </row>
    <row r="19" spans="1:18" ht="18.75" customHeight="1" x14ac:dyDescent="0.25">
      <c r="A19" s="18" t="s">
        <v>124</v>
      </c>
      <c r="B19" s="18" t="s">
        <v>130</v>
      </c>
      <c r="C19" s="75">
        <f>10</f>
        <v>10</v>
      </c>
      <c r="D19" s="81">
        <f>1.79</f>
        <v>1.79</v>
      </c>
      <c r="E19" s="10">
        <f>$B$2*D19</f>
        <v>354.42</v>
      </c>
      <c r="F19" s="66">
        <v>4</v>
      </c>
      <c r="G19" s="10">
        <f>E19*(F19/($B$4*8))</f>
        <v>8.339294117647059</v>
      </c>
      <c r="I19" s="109" t="s">
        <v>107</v>
      </c>
      <c r="J19" s="109"/>
      <c r="K19" s="109"/>
      <c r="L19" s="109"/>
      <c r="M19" s="109"/>
      <c r="N19" s="109"/>
      <c r="O19" s="109"/>
      <c r="P19" s="88"/>
      <c r="Q19" s="88"/>
      <c r="R19" s="88"/>
    </row>
    <row r="20" spans="1:18" ht="18.75" x14ac:dyDescent="0.25">
      <c r="A20" s="19" t="s">
        <v>131</v>
      </c>
      <c r="B20" s="19" t="s">
        <v>132</v>
      </c>
      <c r="C20" s="76">
        <f>5</f>
        <v>5</v>
      </c>
      <c r="D20" s="82">
        <f>1.29</f>
        <v>1.29</v>
      </c>
      <c r="E20" s="11">
        <f t="shared" ref="E20:E24" si="2">$B$2*D20</f>
        <v>255.42000000000002</v>
      </c>
      <c r="F20" s="67">
        <v>2</v>
      </c>
      <c r="G20" s="11">
        <f t="shared" ref="G20:G24" si="3">E20*(F20/($B$4*8))</f>
        <v>3.0049411764705884</v>
      </c>
      <c r="I20" s="109"/>
      <c r="J20" s="109"/>
      <c r="K20" s="109"/>
      <c r="L20" s="109"/>
      <c r="M20" s="109"/>
      <c r="N20" s="109"/>
      <c r="O20" s="109"/>
      <c r="P20" s="88"/>
      <c r="Q20" s="88"/>
      <c r="R20" s="88"/>
    </row>
    <row r="21" spans="1:18" ht="18.75" x14ac:dyDescent="0.25">
      <c r="A21" s="19" t="s">
        <v>17</v>
      </c>
      <c r="B21" s="19"/>
      <c r="C21" s="76"/>
      <c r="D21" s="82"/>
      <c r="E21" s="11">
        <f t="shared" si="2"/>
        <v>0</v>
      </c>
      <c r="F21" s="67"/>
      <c r="G21" s="11">
        <f t="shared" si="3"/>
        <v>0</v>
      </c>
      <c r="I21" s="109"/>
      <c r="J21" s="109"/>
      <c r="K21" s="109"/>
      <c r="L21" s="109"/>
      <c r="M21" s="109"/>
      <c r="N21" s="109"/>
      <c r="O21" s="109"/>
      <c r="P21" s="88"/>
      <c r="Q21" s="88"/>
      <c r="R21" s="88"/>
    </row>
    <row r="22" spans="1:18" ht="15.75" customHeight="1" x14ac:dyDescent="0.25">
      <c r="A22" s="19" t="s">
        <v>18</v>
      </c>
      <c r="B22" s="19"/>
      <c r="C22" s="76"/>
      <c r="D22" s="82"/>
      <c r="E22" s="11">
        <f t="shared" si="2"/>
        <v>0</v>
      </c>
      <c r="F22" s="67"/>
      <c r="G22" s="11">
        <f t="shared" si="3"/>
        <v>0</v>
      </c>
      <c r="I22" s="109"/>
      <c r="J22" s="109"/>
      <c r="K22" s="109"/>
      <c r="L22" s="109"/>
      <c r="M22" s="109"/>
      <c r="N22" s="109"/>
      <c r="O22" s="109"/>
    </row>
    <row r="23" spans="1:18" ht="15.75" customHeight="1" x14ac:dyDescent="0.25">
      <c r="A23" s="19" t="s">
        <v>19</v>
      </c>
      <c r="B23" s="19"/>
      <c r="C23" s="76"/>
      <c r="D23" s="82"/>
      <c r="E23" s="11">
        <f t="shared" si="2"/>
        <v>0</v>
      </c>
      <c r="F23" s="67"/>
      <c r="G23" s="11">
        <f t="shared" si="3"/>
        <v>0</v>
      </c>
      <c r="I23" s="109"/>
      <c r="J23" s="109"/>
      <c r="K23" s="109"/>
      <c r="L23" s="109"/>
      <c r="M23" s="109"/>
      <c r="N23" s="109"/>
      <c r="O23" s="109"/>
    </row>
    <row r="24" spans="1:18" ht="15.75" customHeight="1" x14ac:dyDescent="0.25">
      <c r="A24" s="20" t="s">
        <v>20</v>
      </c>
      <c r="B24" s="20"/>
      <c r="C24" s="77"/>
      <c r="D24" s="83"/>
      <c r="E24" s="12">
        <f t="shared" si="2"/>
        <v>0</v>
      </c>
      <c r="F24" s="13"/>
      <c r="G24" s="12">
        <f t="shared" si="3"/>
        <v>0</v>
      </c>
      <c r="I24" s="109"/>
      <c r="J24" s="109"/>
      <c r="K24" s="109"/>
      <c r="L24" s="109"/>
      <c r="M24" s="109"/>
      <c r="N24" s="109"/>
      <c r="O24" s="109"/>
    </row>
    <row r="25" spans="1:18" x14ac:dyDescent="0.25">
      <c r="A25" s="20" t="s">
        <v>37</v>
      </c>
      <c r="B25" s="42"/>
      <c r="C25" s="78"/>
      <c r="D25" s="13"/>
      <c r="E25" s="13"/>
      <c r="F25" s="13"/>
      <c r="G25" s="12">
        <f>SUM(G19:G24)</f>
        <v>11.344235294117647</v>
      </c>
    </row>
    <row r="26" spans="1:18" x14ac:dyDescent="0.25">
      <c r="A26" s="101" t="s">
        <v>68</v>
      </c>
      <c r="B26" s="102"/>
      <c r="C26" s="102"/>
      <c r="D26" s="102"/>
      <c r="E26" s="102"/>
      <c r="F26" s="110"/>
      <c r="G26" s="59">
        <v>2.2000000000000002</v>
      </c>
      <c r="H26" s="35" t="s">
        <v>87</v>
      </c>
    </row>
    <row r="27" spans="1:18" x14ac:dyDescent="0.25">
      <c r="A27" s="101" t="s">
        <v>54</v>
      </c>
      <c r="B27" s="102"/>
      <c r="C27" s="102"/>
      <c r="D27" s="102"/>
      <c r="E27" s="102"/>
      <c r="F27" s="110"/>
      <c r="G27" s="12">
        <f>G25*G26</f>
        <v>24.957317647058826</v>
      </c>
    </row>
    <row r="28" spans="1:18" x14ac:dyDescent="0.25">
      <c r="A28" s="111" t="s">
        <v>89</v>
      </c>
      <c r="B28" s="112"/>
      <c r="C28" s="112"/>
      <c r="D28" s="112"/>
      <c r="E28" s="112"/>
      <c r="F28" s="113"/>
      <c r="G28" s="9">
        <f>G25+G27</f>
        <v>36.301552941176475</v>
      </c>
    </row>
  </sheetData>
  <mergeCells count="9">
    <mergeCell ref="I5:O11"/>
    <mergeCell ref="I19:O24"/>
    <mergeCell ref="A27:F27"/>
    <mergeCell ref="A28:F28"/>
    <mergeCell ref="A15:F15"/>
    <mergeCell ref="A26:F26"/>
    <mergeCell ref="A13:F13"/>
    <mergeCell ref="A14:F14"/>
    <mergeCell ref="A17:G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C13" sqref="C13"/>
    </sheetView>
  </sheetViews>
  <sheetFormatPr defaultRowHeight="15.75" x14ac:dyDescent="0.25"/>
  <cols>
    <col min="1" max="1" width="55.140625" style="1" customWidth="1"/>
    <col min="2" max="6" width="14.7109375" style="1" customWidth="1"/>
    <col min="7" max="7" width="16.7109375" style="1" customWidth="1"/>
    <col min="8" max="18" width="9.140625" style="1"/>
  </cols>
  <sheetData>
    <row r="1" spans="1:18" ht="30.75" customHeight="1" x14ac:dyDescent="0.25">
      <c r="A1" s="115" t="s">
        <v>92</v>
      </c>
      <c r="B1" s="115"/>
      <c r="C1" s="115"/>
    </row>
    <row r="2" spans="1:18" x14ac:dyDescent="0.25">
      <c r="A2" s="16" t="s">
        <v>11</v>
      </c>
      <c r="B2" s="16" t="s">
        <v>12</v>
      </c>
      <c r="C2" s="16" t="s">
        <v>39</v>
      </c>
      <c r="E2" s="14"/>
      <c r="F2" s="14"/>
      <c r="G2" s="14"/>
      <c r="H2" s="14"/>
      <c r="I2" s="14"/>
      <c r="J2" s="14"/>
      <c r="K2" s="14"/>
      <c r="L2" s="2"/>
    </row>
    <row r="3" spans="1:18" x14ac:dyDescent="0.25">
      <c r="A3" s="24" t="s">
        <v>24</v>
      </c>
      <c r="B3" s="27">
        <f>'1. Сырье и материалы'!E13+'1. Сырье и материалы'!E27</f>
        <v>158.13999999999999</v>
      </c>
      <c r="C3" s="84"/>
    </row>
    <row r="4" spans="1:18" x14ac:dyDescent="0.25">
      <c r="A4" s="25" t="s">
        <v>38</v>
      </c>
      <c r="B4" s="32">
        <f>'2. Топливо и энергия'!E12+'2. Топливо и энергия'!E25</f>
        <v>5.9375039999999997</v>
      </c>
      <c r="C4" s="49"/>
    </row>
    <row r="5" spans="1:18" x14ac:dyDescent="0.25">
      <c r="A5" s="25" t="s">
        <v>52</v>
      </c>
      <c r="B5" s="28">
        <f>'3. Долгосрочные активы'!F11+'3. Долгосрочные активы'!F23+'3. Долгосрочные активы'!F35+'3. Долгосрочные активы'!F47</f>
        <v>39.002535014005602</v>
      </c>
      <c r="C5" s="49"/>
    </row>
    <row r="6" spans="1:18" x14ac:dyDescent="0.25">
      <c r="A6" s="25" t="s">
        <v>55</v>
      </c>
      <c r="B6" s="28">
        <f>'4. Зарплата'!G15+'4. Зарплата'!G28</f>
        <v>3823.3660235294114</v>
      </c>
      <c r="C6" s="49"/>
    </row>
    <row r="7" spans="1:18" s="34" customFormat="1" x14ac:dyDescent="0.25">
      <c r="A7" s="31" t="s">
        <v>56</v>
      </c>
      <c r="B7" s="32">
        <f>B6*C7</f>
        <v>1322.8846441411763</v>
      </c>
      <c r="C7" s="46">
        <v>0.34599999999999997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1:18" ht="16.5" customHeight="1" x14ac:dyDescent="0.25">
      <c r="A8" s="25" t="s">
        <v>57</v>
      </c>
      <c r="B8" s="28">
        <f>('4. Зарплата'!G12+'4. Зарплата'!G25)*C8</f>
        <v>1075.321694117647</v>
      </c>
      <c r="C8" s="45">
        <v>0.9</v>
      </c>
      <c r="D8" s="89" t="s">
        <v>53</v>
      </c>
      <c r="E8" s="90"/>
      <c r="F8" s="90"/>
      <c r="G8" s="90"/>
      <c r="H8" s="90"/>
      <c r="I8" s="90"/>
    </row>
    <row r="9" spans="1:18" x14ac:dyDescent="0.25">
      <c r="A9" s="25" t="s">
        <v>58</v>
      </c>
      <c r="B9" s="28">
        <f>('4. Зарплата'!G12+'4. Зарплата'!G25)*C9</f>
        <v>2987.0047058823525</v>
      </c>
      <c r="C9" s="45">
        <v>2.5</v>
      </c>
      <c r="D9" s="89" t="s">
        <v>53</v>
      </c>
      <c r="E9" s="90"/>
      <c r="F9" s="90"/>
      <c r="G9" s="90"/>
      <c r="H9" s="90"/>
      <c r="I9" s="90"/>
    </row>
    <row r="10" spans="1:18" ht="17.25" customHeight="1" x14ac:dyDescent="0.25">
      <c r="A10" s="25" t="s">
        <v>59</v>
      </c>
      <c r="B10" s="28">
        <f>('4. Зарплата'!G12+'4. Зарплата'!G25)*C10</f>
        <v>1792.2028235294115</v>
      </c>
      <c r="C10" s="45">
        <v>1.5</v>
      </c>
      <c r="D10" s="89" t="s">
        <v>53</v>
      </c>
      <c r="E10" s="90"/>
      <c r="F10" s="90"/>
      <c r="G10" s="90"/>
      <c r="H10" s="90"/>
      <c r="I10" s="90"/>
    </row>
    <row r="11" spans="1:18" ht="16.5" customHeight="1" x14ac:dyDescent="0.25">
      <c r="A11" s="26" t="s">
        <v>60</v>
      </c>
      <c r="B11" s="29">
        <f>SUM(B3:B10)</f>
        <v>11203.859930214005</v>
      </c>
      <c r="C11" s="48"/>
      <c r="D11" s="89" t="s">
        <v>53</v>
      </c>
      <c r="E11" s="90"/>
      <c r="F11" s="90"/>
      <c r="G11" s="90"/>
      <c r="H11" s="90"/>
      <c r="I11" s="90"/>
    </row>
    <row r="12" spans="1:18" ht="18.75" customHeight="1" x14ac:dyDescent="0.25">
      <c r="A12" s="39" t="s">
        <v>61</v>
      </c>
      <c r="B12" s="27">
        <f>B11*C12</f>
        <v>1120.3859930214005</v>
      </c>
      <c r="C12" s="47">
        <v>0.1</v>
      </c>
      <c r="D12" s="89" t="s">
        <v>53</v>
      </c>
      <c r="E12" s="90"/>
      <c r="F12" s="90"/>
      <c r="G12" s="90"/>
      <c r="H12" s="90"/>
      <c r="I12" s="90"/>
    </row>
    <row r="13" spans="1:18" x14ac:dyDescent="0.25">
      <c r="A13" s="26" t="s">
        <v>62</v>
      </c>
      <c r="B13" s="29">
        <f>SUM(B11:B12)</f>
        <v>12324.245923235405</v>
      </c>
      <c r="C13" s="48"/>
      <c r="D13" s="89" t="s">
        <v>53</v>
      </c>
      <c r="E13" s="90"/>
      <c r="F13" s="90"/>
      <c r="G13" s="90"/>
      <c r="H13" s="90"/>
      <c r="I13" s="90"/>
    </row>
    <row r="14" spans="1:18" ht="18" customHeight="1" x14ac:dyDescent="0.25">
      <c r="A14" s="24" t="s">
        <v>69</v>
      </c>
      <c r="B14" s="27">
        <f>B13*C14</f>
        <v>3081.0614808088512</v>
      </c>
      <c r="C14" s="47">
        <v>0.25</v>
      </c>
      <c r="D14" s="89" t="s">
        <v>53</v>
      </c>
      <c r="E14" s="90"/>
      <c r="F14" s="90"/>
      <c r="G14" s="90"/>
      <c r="H14" s="90"/>
      <c r="I14" s="90"/>
    </row>
    <row r="15" spans="1:18" x14ac:dyDescent="0.25">
      <c r="A15" s="26" t="s">
        <v>63</v>
      </c>
      <c r="B15" s="29">
        <f>SUM(B13:B14)</f>
        <v>15405.307404044255</v>
      </c>
      <c r="C15" s="48"/>
    </row>
    <row r="16" spans="1:18" x14ac:dyDescent="0.25">
      <c r="A16" s="25" t="s">
        <v>64</v>
      </c>
      <c r="B16" s="28">
        <f>B15*C16</f>
        <v>3081.0614808088512</v>
      </c>
      <c r="C16" s="49">
        <v>0.2</v>
      </c>
    </row>
    <row r="17" spans="1:4" x14ac:dyDescent="0.25">
      <c r="A17" s="26" t="s">
        <v>93</v>
      </c>
      <c r="B17" s="29">
        <f>SUM(B15:B16)</f>
        <v>18486.368884853106</v>
      </c>
      <c r="C17" s="48"/>
    </row>
    <row r="18" spans="1:4" x14ac:dyDescent="0.25">
      <c r="A18" s="17"/>
    </row>
    <row r="19" spans="1:4" ht="33" customHeight="1" x14ac:dyDescent="0.25">
      <c r="A19" s="116" t="s">
        <v>45</v>
      </c>
      <c r="B19" s="116"/>
      <c r="C19" s="116"/>
      <c r="D19" s="17"/>
    </row>
    <row r="20" spans="1:4" x14ac:dyDescent="0.25">
      <c r="A20" s="16" t="s">
        <v>11</v>
      </c>
      <c r="B20" s="16" t="s">
        <v>12</v>
      </c>
      <c r="C20" s="16" t="s">
        <v>39</v>
      </c>
    </row>
    <row r="21" spans="1:4" x14ac:dyDescent="0.25">
      <c r="A21" s="8" t="s">
        <v>94</v>
      </c>
      <c r="B21" s="10">
        <f>B17</f>
        <v>18486.368884853106</v>
      </c>
      <c r="C21" s="85"/>
    </row>
    <row r="22" spans="1:4" x14ac:dyDescent="0.25">
      <c r="A22" s="51" t="s">
        <v>40</v>
      </c>
      <c r="B22" s="11">
        <f>B21*(C16/(1+C16))</f>
        <v>3081.0614808088512</v>
      </c>
      <c r="C22" s="53">
        <f>C16</f>
        <v>0.2</v>
      </c>
    </row>
    <row r="23" spans="1:4" x14ac:dyDescent="0.25">
      <c r="A23" s="30" t="s">
        <v>44</v>
      </c>
      <c r="B23" s="11">
        <f>B13</f>
        <v>12324.245923235405</v>
      </c>
      <c r="C23" s="53"/>
    </row>
    <row r="24" spans="1:4" x14ac:dyDescent="0.25">
      <c r="A24" s="30" t="s">
        <v>41</v>
      </c>
      <c r="B24" s="11">
        <f>B21-B22-B23</f>
        <v>3081.0614808088503</v>
      </c>
      <c r="C24" s="53"/>
    </row>
    <row r="25" spans="1:4" x14ac:dyDescent="0.25">
      <c r="A25" s="30" t="s">
        <v>42</v>
      </c>
      <c r="B25" s="11">
        <f>B24*C25</f>
        <v>554.59106654559298</v>
      </c>
      <c r="C25" s="53">
        <v>0.18</v>
      </c>
    </row>
    <row r="26" spans="1:4" x14ac:dyDescent="0.25">
      <c r="A26" s="7" t="s">
        <v>43</v>
      </c>
      <c r="B26" s="12">
        <f>B24-B25</f>
        <v>2526.4704142632572</v>
      </c>
      <c r="C26" s="86"/>
    </row>
    <row r="27" spans="1:4" x14ac:dyDescent="0.25">
      <c r="A27" s="54"/>
      <c r="B27" s="52"/>
      <c r="C27" s="6"/>
    </row>
    <row r="28" spans="1:4" ht="32.25" customHeight="1" x14ac:dyDescent="0.25">
      <c r="A28" s="114" t="s">
        <v>46</v>
      </c>
      <c r="B28" s="114"/>
      <c r="C28" s="58"/>
    </row>
    <row r="29" spans="1:4" x14ac:dyDescent="0.25">
      <c r="A29" s="40" t="s">
        <v>47</v>
      </c>
      <c r="B29" s="16" t="s">
        <v>48</v>
      </c>
      <c r="C29" s="55"/>
    </row>
    <row r="30" spans="1:4" x14ac:dyDescent="0.25">
      <c r="A30" s="30" t="s">
        <v>49</v>
      </c>
      <c r="B30" s="56">
        <f>B26/B23</f>
        <v>0.20499999999999993</v>
      </c>
      <c r="C30" s="6"/>
    </row>
    <row r="31" spans="1:4" x14ac:dyDescent="0.25">
      <c r="A31" s="7" t="s">
        <v>50</v>
      </c>
      <c r="B31" s="57">
        <f>B26/B21</f>
        <v>0.13666666666666663</v>
      </c>
      <c r="C31" s="6"/>
    </row>
    <row r="32" spans="1:4" x14ac:dyDescent="0.25">
      <c r="B32" s="50"/>
      <c r="C32" s="4"/>
    </row>
    <row r="33" spans="2:3" x14ac:dyDescent="0.25">
      <c r="B33" s="50"/>
      <c r="C33" s="4"/>
    </row>
    <row r="34" spans="2:3" x14ac:dyDescent="0.25">
      <c r="B34" s="50"/>
      <c r="C34" s="4"/>
    </row>
    <row r="35" spans="2:3" x14ac:dyDescent="0.25">
      <c r="B35" s="50"/>
      <c r="C35" s="4"/>
    </row>
    <row r="36" spans="2:3" x14ac:dyDescent="0.25">
      <c r="B36" s="50"/>
      <c r="C36" s="4"/>
    </row>
    <row r="37" spans="2:3" x14ac:dyDescent="0.25">
      <c r="B37" s="50"/>
      <c r="C37" s="4"/>
    </row>
    <row r="38" spans="2:3" x14ac:dyDescent="0.25">
      <c r="B38" s="50"/>
      <c r="C38" s="4"/>
    </row>
    <row r="39" spans="2:3" x14ac:dyDescent="0.25">
      <c r="B39" s="50"/>
      <c r="C39" s="4"/>
    </row>
    <row r="40" spans="2:3" x14ac:dyDescent="0.25">
      <c r="B40" s="50"/>
      <c r="C40" s="4"/>
    </row>
    <row r="41" spans="2:3" x14ac:dyDescent="0.25">
      <c r="B41" s="50"/>
      <c r="C41" s="4"/>
    </row>
    <row r="42" spans="2:3" x14ac:dyDescent="0.25">
      <c r="B42" s="50"/>
      <c r="C42" s="4"/>
    </row>
    <row r="43" spans="2:3" x14ac:dyDescent="0.25">
      <c r="B43" s="50"/>
      <c r="C43" s="4"/>
    </row>
    <row r="44" spans="2:3" x14ac:dyDescent="0.25">
      <c r="B44" s="43"/>
    </row>
    <row r="45" spans="2:3" x14ac:dyDescent="0.25">
      <c r="B45" s="43"/>
    </row>
    <row r="46" spans="2:3" x14ac:dyDescent="0.25">
      <c r="B46" s="43"/>
    </row>
    <row r="47" spans="2:3" x14ac:dyDescent="0.25">
      <c r="B47" s="43"/>
    </row>
  </sheetData>
  <mergeCells count="3">
    <mergeCell ref="A28:B28"/>
    <mergeCell ref="A1:C1"/>
    <mergeCell ref="A19:C1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1. Сырье и материалы</vt:lpstr>
      <vt:lpstr>2. Топливо и энергия</vt:lpstr>
      <vt:lpstr>3. Долгосрочные активы</vt:lpstr>
      <vt:lpstr>4. Зарплата</vt:lpstr>
      <vt:lpstr>5. Отпускная цена и прибыль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Файзрахманов Ф.М.</dc:creator>
  <cp:lastModifiedBy>Фаниль Файзрахманов</cp:lastModifiedBy>
  <dcterms:created xsi:type="dcterms:W3CDTF">2020-05-12T10:04:02Z</dcterms:created>
  <dcterms:modified xsi:type="dcterms:W3CDTF">2021-12-04T14:56:48Z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0ff71229-7ef5-4220-afaa-a731e8652865</vt:lpwstr>
  </property>
</Properties>
</file>