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nvias-my.sharepoint.com/personal/lframirezj_invias_gov_co/Documents/Manual de Diseño De Pavimentos/Hojas de Calculo/"/>
    </mc:Choice>
  </mc:AlternateContent>
  <xr:revisionPtr revIDLastSave="27" documentId="11_15ACF1B75CE23B56C6E0652559F717899B223878" xr6:coauthVersionLast="47" xr6:coauthVersionMax="47" xr10:uidLastSave="{FA2842D1-A959-4014-BCA8-671326D4E638}"/>
  <bookViews>
    <workbookView xWindow="-120" yWindow="-120" windowWidth="29040" windowHeight="15720" xr2:uid="{00000000-000D-0000-FFFF-FFFF00000000}"/>
  </bookViews>
  <sheets>
    <sheet name="FATIGA" sheetId="3" r:id="rId1"/>
    <sheet name="diseno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P3" i="3"/>
  <c r="Q3" i="3"/>
  <c r="R3" i="3"/>
  <c r="S3" i="3"/>
  <c r="K4" i="3"/>
  <c r="L4" i="3"/>
  <c r="M4" i="3"/>
  <c r="N4" i="3"/>
  <c r="O4" i="3"/>
  <c r="P4" i="3"/>
  <c r="Q4" i="3"/>
  <c r="R4" i="3"/>
  <c r="S4" i="3"/>
  <c r="K5" i="3"/>
  <c r="L5" i="3"/>
  <c r="M5" i="3"/>
  <c r="N5" i="3"/>
  <c r="O5" i="3"/>
  <c r="P5" i="3"/>
  <c r="Q5" i="3"/>
  <c r="R5" i="3"/>
  <c r="S5" i="3"/>
  <c r="K6" i="3"/>
  <c r="L6" i="3"/>
  <c r="M6" i="3"/>
  <c r="N6" i="3"/>
  <c r="O6" i="3"/>
  <c r="P6" i="3"/>
  <c r="Q6" i="3"/>
  <c r="R6" i="3"/>
  <c r="S6" i="3"/>
  <c r="K7" i="3"/>
  <c r="L7" i="3"/>
  <c r="M7" i="3"/>
  <c r="N7" i="3"/>
  <c r="O7" i="3"/>
  <c r="P7" i="3"/>
  <c r="Q7" i="3"/>
  <c r="R7" i="3"/>
  <c r="S7" i="3"/>
  <c r="K8" i="3"/>
  <c r="L8" i="3"/>
  <c r="M8" i="3"/>
  <c r="N8" i="3"/>
  <c r="O8" i="3"/>
  <c r="P8" i="3"/>
  <c r="Q8" i="3"/>
  <c r="R8" i="3"/>
  <c r="S8" i="3"/>
  <c r="B7" i="4"/>
  <c r="C7" i="4"/>
  <c r="F7" i="4" s="1"/>
  <c r="D7" i="4"/>
  <c r="E7" i="4"/>
  <c r="H7" i="4" s="1"/>
  <c r="L8" i="4"/>
  <c r="M8" i="4"/>
  <c r="N8" i="4"/>
  <c r="G7" i="4"/>
  <c r="R23" i="3" l="1"/>
  <c r="R24" i="3" s="1"/>
  <c r="I7" i="4"/>
  <c r="J7" i="4"/>
  <c r="K7" i="4"/>
  <c r="R22" i="3" l="1"/>
  <c r="N23" i="3"/>
  <c r="L23" i="3"/>
  <c r="L24" i="3" s="1"/>
  <c r="J22" i="3"/>
  <c r="K22" i="3"/>
  <c r="L22" i="3"/>
  <c r="M22" i="3"/>
  <c r="N22" i="3"/>
  <c r="O22" i="3"/>
  <c r="P22" i="3"/>
  <c r="Q22" i="3"/>
  <c r="J23" i="3"/>
  <c r="D3" i="4" l="1"/>
  <c r="O7" i="4" l="1"/>
  <c r="P7" i="4" s="1"/>
  <c r="Q7" i="4" s="1"/>
  <c r="I3" i="3"/>
  <c r="I4" i="3"/>
  <c r="I5" i="3"/>
  <c r="I6" i="3"/>
  <c r="I7" i="3"/>
  <c r="I8" i="3"/>
  <c r="A3" i="3"/>
  <c r="A4" i="3"/>
  <c r="A5" i="3"/>
  <c r="A6" i="3"/>
  <c r="A7" i="3"/>
  <c r="A8" i="3"/>
  <c r="J12" i="3"/>
  <c r="R1" i="3" s="1"/>
  <c r="J11" i="3"/>
  <c r="G3" i="3"/>
  <c r="G4" i="3"/>
  <c r="G5" i="3"/>
  <c r="G6" i="3"/>
  <c r="G7" i="3"/>
  <c r="G8" i="3"/>
  <c r="F3" i="3"/>
  <c r="F4" i="3"/>
  <c r="F5" i="3"/>
  <c r="F6" i="3"/>
  <c r="F7" i="3"/>
  <c r="F8" i="3"/>
  <c r="E3" i="3"/>
  <c r="E4" i="3"/>
  <c r="E5" i="3"/>
  <c r="E6" i="3"/>
  <c r="E7" i="3"/>
  <c r="E8" i="3"/>
  <c r="D3" i="3"/>
  <c r="D4" i="3"/>
  <c r="D5" i="3"/>
  <c r="D6" i="3"/>
  <c r="D7" i="3"/>
  <c r="D8" i="3"/>
  <c r="C3" i="3"/>
  <c r="C4" i="3"/>
  <c r="C5" i="3"/>
  <c r="C6" i="3"/>
  <c r="C7" i="3"/>
  <c r="C8" i="3"/>
  <c r="L1" i="3"/>
  <c r="K23" i="3" l="1"/>
  <c r="Q23" i="3"/>
  <c r="B3" i="3"/>
  <c r="H5" i="3"/>
  <c r="H7" i="3"/>
  <c r="B5" i="3"/>
  <c r="H6" i="3"/>
  <c r="B7" i="3"/>
  <c r="H4" i="3"/>
  <c r="Q24" i="3"/>
  <c r="B6" i="3"/>
  <c r="H8" i="3"/>
  <c r="H3" i="3"/>
  <c r="B4" i="3"/>
  <c r="B8" i="3"/>
  <c r="J19" i="3"/>
  <c r="K19" i="3" s="1"/>
  <c r="K18" i="3" s="1"/>
  <c r="J26" i="3"/>
  <c r="P23" i="3" l="1"/>
  <c r="P24" i="3" s="1"/>
  <c r="J24" i="3"/>
  <c r="K24" i="3" l="1"/>
  <c r="C68" i="3"/>
  <c r="I60" i="3"/>
  <c r="K59" i="3"/>
  <c r="H59" i="3"/>
  <c r="K58" i="3"/>
  <c r="H58" i="3"/>
  <c r="K57" i="3"/>
  <c r="H57" i="3"/>
  <c r="I57" i="3" s="1"/>
  <c r="J57" i="3" s="1"/>
  <c r="K56" i="3"/>
  <c r="H56" i="3"/>
  <c r="I56" i="3" s="1"/>
  <c r="J56" i="3" s="1"/>
  <c r="K55" i="3"/>
  <c r="H55" i="3"/>
  <c r="I55" i="3" s="1"/>
  <c r="J55" i="3" s="1"/>
  <c r="K54" i="3"/>
  <c r="H54" i="3"/>
  <c r="I54" i="3" s="1"/>
  <c r="J54" i="3" s="1"/>
  <c r="K53" i="3"/>
  <c r="H53" i="3"/>
  <c r="I53" i="3" s="1"/>
  <c r="J53" i="3" s="1"/>
  <c r="K52" i="3"/>
  <c r="H52" i="3"/>
  <c r="I52" i="3" s="1"/>
  <c r="J52" i="3" s="1"/>
  <c r="K51" i="3"/>
  <c r="H51" i="3"/>
  <c r="I51" i="3" s="1"/>
  <c r="J51" i="3" s="1"/>
  <c r="K50" i="3"/>
  <c r="H50" i="3"/>
  <c r="I50" i="3" s="1"/>
  <c r="J50" i="3" s="1"/>
  <c r="K49" i="3"/>
  <c r="H49" i="3"/>
  <c r="I49" i="3" s="1"/>
  <c r="J49" i="3" s="1"/>
  <c r="N33" i="3"/>
  <c r="J33" i="3"/>
  <c r="M32" i="3"/>
  <c r="M33" i="3" s="1"/>
  <c r="L32" i="3"/>
  <c r="L33" i="3" s="1"/>
  <c r="K32" i="3"/>
  <c r="K33" i="3" s="1"/>
  <c r="O23" i="3"/>
  <c r="O24" i="3" s="1"/>
  <c r="N24" i="3"/>
  <c r="M23" i="3"/>
  <c r="M24" i="3" s="1"/>
  <c r="J20" i="3"/>
  <c r="E10" i="3"/>
  <c r="D10" i="3"/>
  <c r="C10" i="3"/>
  <c r="I58" i="3"/>
  <c r="I59" i="3" l="1"/>
  <c r="J59" i="3" s="1"/>
  <c r="J27" i="3"/>
  <c r="J28" i="3" s="1"/>
  <c r="J58" i="3"/>
</calcChain>
</file>

<file path=xl/sharedStrings.xml><?xml version="1.0" encoding="utf-8"?>
<sst xmlns="http://schemas.openxmlformats.org/spreadsheetml/2006/main" count="43" uniqueCount="33">
  <si>
    <t>AEPO</t>
  </si>
  <si>
    <t>Illinois</t>
  </si>
  <si>
    <t>Minnesota</t>
  </si>
  <si>
    <t>USACE</t>
  </si>
  <si>
    <t>Dr</t>
  </si>
  <si>
    <t>Ni</t>
  </si>
  <si>
    <t>Modelo</t>
  </si>
  <si>
    <t>ME-PDG</t>
  </si>
  <si>
    <t>RF</t>
  </si>
  <si>
    <t>SF/RF</t>
  </si>
  <si>
    <t>SF</t>
  </si>
  <si>
    <t>R (%)</t>
  </si>
  <si>
    <t>SPDM</t>
  </si>
  <si>
    <t>AI MS-1</t>
  </si>
  <si>
    <t>Cedex-Shell</t>
  </si>
  <si>
    <t>Cedex-COST</t>
  </si>
  <si>
    <t>AUSTROADS</t>
  </si>
  <si>
    <t>Respuesta (με)</t>
  </si>
  <si>
    <t xml:space="preserve">Tensión </t>
  </si>
  <si>
    <t>Compresión</t>
  </si>
  <si>
    <t>Diseño</t>
  </si>
  <si>
    <t>W18</t>
  </si>
  <si>
    <t>R</t>
  </si>
  <si>
    <t>Zr</t>
  </si>
  <si>
    <t>So</t>
  </si>
  <si>
    <t>Po</t>
  </si>
  <si>
    <t>Pt</t>
  </si>
  <si>
    <t>ai</t>
  </si>
  <si>
    <t>SNreq</t>
  </si>
  <si>
    <t>Di (in)</t>
  </si>
  <si>
    <t>Ei (Mpa)</t>
  </si>
  <si>
    <t>ΣSNi</t>
  </si>
  <si>
    <t>micro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</si>
</sst>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sz val="9"/>
      <color rgb="FF00B0F0"/>
      <name val="Verdana"/>
      <family val="2"/>
    </font>
    <font>
      <sz val="9"/>
      <color rgb="FF00B050"/>
      <name val="Verdana"/>
      <family val="2"/>
    </font>
    <font>
      <sz val="9"/>
      <color theme="7" tint="-0.499984740745262"/>
      <name val="Verdana"/>
      <family val="2"/>
    </font>
    <font>
      <sz val="9"/>
      <color rgb="FF7030A0"/>
      <name val="Verdana"/>
      <family val="2"/>
    </font>
    <font>
      <sz val="9"/>
      <color theme="5" tint="-0.249977111117893"/>
      <name val="Verdana"/>
      <family val="2"/>
    </font>
    <font>
      <sz val="9"/>
      <color theme="5" tint="0.39997558519241921"/>
      <name val="Verdana"/>
      <family val="2"/>
    </font>
    <font>
      <sz val="9"/>
      <color rgb="FF0070C0"/>
      <name val="Verdana"/>
      <family val="2"/>
    </font>
    <font>
      <b/>
      <sz val="9"/>
      <name val="Verdana"/>
      <family val="2"/>
    </font>
    <font>
      <sz val="9"/>
      <color rgb="FF00206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4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1" fontId="4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1" fontId="3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Continuous" vertical="center" wrapText="1"/>
    </xf>
    <xf numFmtId="0" fontId="11" fillId="0" borderId="5" xfId="0" quotePrefix="1" applyFont="1" applyBorder="1" applyAlignment="1">
      <alignment horizontal="centerContinuous" vertical="center" wrapText="1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" fontId="2" fillId="7" borderId="7" xfId="0" applyNumberFormat="1" applyFont="1" applyFill="1" applyBorder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FATIGA!$K$2</c:f>
              <c:strCache>
                <c:ptCount val="1"/>
                <c:pt idx="0">
                  <c:v>SPDM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FATIGA!$K$3:$K$8</c:f>
              <c:numCache>
                <c:formatCode>0</c:formatCode>
                <c:ptCount val="6"/>
                <c:pt idx="0">
                  <c:v>882.81014859191691</c:v>
                </c:pt>
                <c:pt idx="1">
                  <c:v>557.01554703571992</c:v>
                </c:pt>
                <c:pt idx="2">
                  <c:v>351.45305039184035</c:v>
                </c:pt>
                <c:pt idx="3">
                  <c:v>221.75188338469937</c:v>
                </c:pt>
                <c:pt idx="4">
                  <c:v>139.91597947389116</c:v>
                </c:pt>
                <c:pt idx="5">
                  <c:v>88.2810148591916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A-425A-8B1B-3892ECA64EF1}"/>
            </c:ext>
          </c:extLst>
        </c:ser>
        <c:ser>
          <c:idx val="1"/>
          <c:order val="1"/>
          <c:tx>
            <c:strRef>
              <c:f>FATIGA!$L$2</c:f>
              <c:strCache>
                <c:ptCount val="1"/>
                <c:pt idx="0">
                  <c:v>AI MS-1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FATIGA!$L$3:$L$8</c:f>
              <c:numCache>
                <c:formatCode>0</c:formatCode>
                <c:ptCount val="6"/>
                <c:pt idx="0">
                  <c:v>866.7143108666229</c:v>
                </c:pt>
                <c:pt idx="1">
                  <c:v>430.54342180750456</c:v>
                </c:pt>
                <c:pt idx="2">
                  <c:v>213.87397870050901</c:v>
                </c:pt>
                <c:pt idx="3">
                  <c:v>106.24266089852618</c:v>
                </c:pt>
                <c:pt idx="4">
                  <c:v>52.776420317149871</c:v>
                </c:pt>
                <c:pt idx="5">
                  <c:v>26.216874821619928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B-44C7-9222-DEDA58769651}"/>
            </c:ext>
          </c:extLst>
        </c:ser>
        <c:ser>
          <c:idx val="2"/>
          <c:order val="2"/>
          <c:tx>
            <c:strRef>
              <c:f>FATIGA!$M$2</c:f>
              <c:strCache>
                <c:ptCount val="1"/>
                <c:pt idx="0">
                  <c:v>Cedex-Shell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FATIGA!$M$3:$M$8</c:f>
              <c:numCache>
                <c:formatCode>0</c:formatCode>
                <c:ptCount val="6"/>
                <c:pt idx="0">
                  <c:v>399.68701057120188</c:v>
                </c:pt>
                <c:pt idx="1">
                  <c:v>252.18545481323252</c:v>
                </c:pt>
                <c:pt idx="2">
                  <c:v>159.11826488548698</c:v>
                </c:pt>
                <c:pt idx="3">
                  <c:v>100.39683787044287</c:v>
                </c:pt>
                <c:pt idx="4">
                  <c:v>63.346122216943137</c:v>
                </c:pt>
                <c:pt idx="5">
                  <c:v>39.96870105712015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B-44C7-9222-DEDA58769651}"/>
            </c:ext>
          </c:extLst>
        </c:ser>
        <c:ser>
          <c:idx val="3"/>
          <c:order val="3"/>
          <c:tx>
            <c:strRef>
              <c:f>FATIGA!$N$2</c:f>
              <c:strCache>
                <c:ptCount val="1"/>
                <c:pt idx="0">
                  <c:v>Cedex-COST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FATIGA!$N$3:$N$8</c:f>
              <c:numCache>
                <c:formatCode>0</c:formatCode>
                <c:ptCount val="6"/>
                <c:pt idx="0">
                  <c:v>523.72092774145062</c:v>
                </c:pt>
                <c:pt idx="1">
                  <c:v>279.68224967005028</c:v>
                </c:pt>
                <c:pt idx="2">
                  <c:v>149.3584782220444</c:v>
                </c:pt>
                <c:pt idx="3">
                  <c:v>79.761783392125352</c:v>
                </c:pt>
                <c:pt idx="4">
                  <c:v>42.595118573947566</c:v>
                </c:pt>
                <c:pt idx="5">
                  <c:v>22.747035599855636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B-44C7-9222-DEDA58769651}"/>
            </c:ext>
          </c:extLst>
        </c:ser>
        <c:ser>
          <c:idx val="4"/>
          <c:order val="4"/>
          <c:tx>
            <c:strRef>
              <c:f>FATIGA!$O$2</c:f>
              <c:strCache>
                <c:ptCount val="1"/>
                <c:pt idx="0">
                  <c:v>Illinois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FATIGA!$O$3:$O$8</c:f>
              <c:numCache>
                <c:formatCode>0</c:formatCode>
                <c:ptCount val="6"/>
                <c:pt idx="0">
                  <c:v>793.70052598409939</c:v>
                </c:pt>
                <c:pt idx="1">
                  <c:v>368.40314986403882</c:v>
                </c:pt>
                <c:pt idx="2">
                  <c:v>170.99759466766992</c:v>
                </c:pt>
                <c:pt idx="3">
                  <c:v>79.370052598409998</c:v>
                </c:pt>
                <c:pt idx="4">
                  <c:v>36.840314986403904</c:v>
                </c:pt>
                <c:pt idx="5">
                  <c:v>17.099759466766972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B-44C7-9222-DEDA58769651}"/>
            </c:ext>
          </c:extLst>
        </c:ser>
        <c:ser>
          <c:idx val="5"/>
          <c:order val="5"/>
          <c:tx>
            <c:strRef>
              <c:f>FATIGA!$P$2</c:f>
              <c:strCache>
                <c:ptCount val="1"/>
                <c:pt idx="0">
                  <c:v>Minnesota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FATIGA!$P$3:$P$8</c:f>
              <c:numCache>
                <c:formatCode>0</c:formatCode>
                <c:ptCount val="6"/>
                <c:pt idx="0">
                  <c:v>1051.398727690259</c:v>
                </c:pt>
                <c:pt idx="1">
                  <c:v>512.68697959303222</c:v>
                </c:pt>
                <c:pt idx="2">
                  <c:v>249.9983423240939</c:v>
                </c:pt>
                <c:pt idx="3">
                  <c:v>121.90512662210818</c:v>
                </c:pt>
                <c:pt idx="4">
                  <c:v>59.443833741452771</c:v>
                </c:pt>
                <c:pt idx="5">
                  <c:v>28.98622451568534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EB-44C7-9222-DEDA58769651}"/>
            </c:ext>
          </c:extLst>
        </c:ser>
        <c:ser>
          <c:idx val="6"/>
          <c:order val="6"/>
          <c:tx>
            <c:strRef>
              <c:f>FATIGA!$Q$2</c:f>
              <c:strCache>
                <c:ptCount val="1"/>
                <c:pt idx="0">
                  <c:v>USACE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FATIGA!$Q$3:$Q$8</c:f>
              <c:numCache>
                <c:formatCode>0</c:formatCode>
                <c:ptCount val="6"/>
                <c:pt idx="0">
                  <c:v>439.18060103884301</c:v>
                </c:pt>
                <c:pt idx="1">
                  <c:v>277.10422577868331</c:v>
                </c:pt>
                <c:pt idx="2">
                  <c:v>174.840946441558</c:v>
                </c:pt>
                <c:pt idx="3">
                  <c:v>110.31717927316915</c:v>
                </c:pt>
                <c:pt idx="4">
                  <c:v>69.605434484744208</c:v>
                </c:pt>
                <c:pt idx="5">
                  <c:v>43.918060103884287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B-44C7-9222-DEDA58769651}"/>
            </c:ext>
          </c:extLst>
        </c:ser>
        <c:ser>
          <c:idx val="7"/>
          <c:order val="7"/>
          <c:tx>
            <c:strRef>
              <c:f>FATIGA!$R$2</c:f>
              <c:strCache>
                <c:ptCount val="1"/>
                <c:pt idx="0">
                  <c:v>ME-PDG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FATIGA!$R$3:$R$8</c:f>
              <c:numCache>
                <c:formatCode>0</c:formatCode>
                <c:ptCount val="6"/>
                <c:pt idx="0">
                  <c:v>775.59973747111542</c:v>
                </c:pt>
                <c:pt idx="1">
                  <c:v>432.9341178546947</c:v>
                </c:pt>
                <c:pt idx="2">
                  <c:v>241.66066767087202</c:v>
                </c:pt>
                <c:pt idx="3">
                  <c:v>134.89322252660244</c:v>
                </c:pt>
                <c:pt idx="4">
                  <c:v>75.296413185424299</c:v>
                </c:pt>
                <c:pt idx="5">
                  <c:v>42.029908785610331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EB-44C7-9222-DEDA58769651}"/>
            </c:ext>
          </c:extLst>
        </c:ser>
        <c:ser>
          <c:idx val="8"/>
          <c:order val="8"/>
          <c:tx>
            <c:strRef>
              <c:f>FATIGA!$S$2</c:f>
              <c:strCache>
                <c:ptCount val="1"/>
                <c:pt idx="0">
                  <c:v>AUSTROADS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FATIGA!$J$3:$J$8</c:f>
              <c:numCache>
                <c:formatCode>0.00E+00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FATIGA!$S$3:$S$8</c:f>
              <c:numCache>
                <c:formatCode>0</c:formatCode>
                <c:ptCount val="6"/>
                <c:pt idx="0">
                  <c:v>639.81419900040885</c:v>
                </c:pt>
                <c:pt idx="1">
                  <c:v>403.69546796201996</c:v>
                </c:pt>
                <c:pt idx="2">
                  <c:v>254.71462044400508</c:v>
                </c:pt>
                <c:pt idx="3">
                  <c:v>160.71406051562974</c:v>
                </c:pt>
                <c:pt idx="4">
                  <c:v>101.40371684357082</c:v>
                </c:pt>
                <c:pt idx="5">
                  <c:v>63.981419900040862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EB-44C7-9222-DEDA58769651}"/>
            </c:ext>
          </c:extLst>
        </c:ser>
        <c:ser>
          <c:idx val="9"/>
          <c:order val="9"/>
          <c:tx>
            <c:strRef>
              <c:f>FATIGA!$I$18</c:f>
              <c:strCache>
                <c:ptCount val="1"/>
                <c:pt idx="0">
                  <c:v>Diseño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FATIGA!$K$18:$K$20</c:f>
              <c:numCache>
                <c:formatCode>0.00E+00</c:formatCode>
                <c:ptCount val="3"/>
                <c:pt idx="0">
                  <c:v>24816776.964792795</c:v>
                </c:pt>
                <c:pt idx="1">
                  <c:v>24816776.964792795</c:v>
                </c:pt>
                <c:pt idx="2">
                  <c:v>10000</c:v>
                </c:pt>
              </c:numCache>
            </c:numRef>
          </c:xVal>
          <c:yVal>
            <c:numRef>
              <c:f>FATIGA!$J$18:$J$20</c:f>
              <c:numCache>
                <c:formatCode>General</c:formatCode>
                <c:ptCount val="3"/>
                <c:pt idx="0">
                  <c:v>10</c:v>
                </c:pt>
                <c:pt idx="1">
                  <c:v>134</c:v>
                </c:pt>
                <c:pt idx="2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9-42D1-ACAB-7AFC46D5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6872"/>
        <c:axId val="575189616"/>
      </c:scatterChart>
      <c:valAx>
        <c:axId val="575186872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Ni Transito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189616"/>
        <c:crosses val="autoZero"/>
        <c:crossBetween val="midCat"/>
      </c:valAx>
      <c:valAx>
        <c:axId val="575189616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με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186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30956</xdr:rowOff>
    </xdr:from>
    <xdr:to>
      <xdr:col>7</xdr:col>
      <xdr:colOff>523875</xdr:colOff>
      <xdr:row>36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37</xdr:row>
      <xdr:rowOff>122466</xdr:rowOff>
    </xdr:from>
    <xdr:to>
      <xdr:col>6</xdr:col>
      <xdr:colOff>55467</xdr:colOff>
      <xdr:row>61</xdr:row>
      <xdr:rowOff>68036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2859"/>
          <a:ext cx="4971788" cy="3537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dbellon1\AppData\Roaming\Microsoft\Complementos\DDR_Funciones_200602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  <sheetName val="DDR_Funciones_200602"/>
    </sheetNames>
    <definedNames>
      <definedName name="aporte"/>
      <definedName name="NfatINA"/>
      <definedName name="NfatShell"/>
      <definedName name="SNreq"/>
    </definedNames>
    <sheetDataSet>
      <sheetData sheetId="0"/>
      <sheetData sheetId="1"/>
      <sheetData sheetId="2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S68"/>
  <sheetViews>
    <sheetView tabSelected="1" zoomScaleNormal="100" workbookViewId="0">
      <selection activeCell="M16" sqref="M16"/>
    </sheetView>
  </sheetViews>
  <sheetFormatPr baseColWidth="10" defaultColWidth="12" defaultRowHeight="11.25" x14ac:dyDescent="0.25"/>
  <cols>
    <col min="1" max="2" width="12" style="1"/>
    <col min="3" max="3" width="13.5703125" style="1" bestFit="1" customWidth="1"/>
    <col min="4" max="7" width="12" style="1"/>
    <col min="8" max="8" width="12.42578125" style="1" bestFit="1" customWidth="1"/>
    <col min="9" max="16384" width="12" style="1"/>
  </cols>
  <sheetData>
    <row r="1" spans="1:19" ht="12" thickBot="1" x14ac:dyDescent="0.3">
      <c r="L1" s="1">
        <f>10^(4.84*(11/(11+5)-0.69))</f>
        <v>0.97252326623634777</v>
      </c>
      <c r="R1" s="1">
        <f>1/(0.000398+(0.003602/(1+EXP(11.02-3.49*J12))))</f>
        <v>250.01539692873743</v>
      </c>
    </row>
    <row r="2" spans="1:19" ht="12" thickBot="1" x14ac:dyDescent="0.3">
      <c r="A2" s="77" t="s">
        <v>12</v>
      </c>
      <c r="B2" s="77" t="s">
        <v>13</v>
      </c>
      <c r="C2" s="78" t="s">
        <v>14</v>
      </c>
      <c r="D2" s="79" t="s">
        <v>15</v>
      </c>
      <c r="E2" s="80" t="s">
        <v>1</v>
      </c>
      <c r="F2" s="81" t="s">
        <v>2</v>
      </c>
      <c r="G2" s="82" t="s">
        <v>3</v>
      </c>
      <c r="H2" s="83" t="s">
        <v>7</v>
      </c>
      <c r="I2" s="84" t="s">
        <v>16</v>
      </c>
      <c r="K2" s="42" t="s">
        <v>12</v>
      </c>
      <c r="L2" s="43" t="s">
        <v>13</v>
      </c>
      <c r="M2" s="44" t="s">
        <v>14</v>
      </c>
      <c r="N2" s="45" t="s">
        <v>15</v>
      </c>
      <c r="O2" s="46" t="s">
        <v>1</v>
      </c>
      <c r="P2" s="47" t="s">
        <v>2</v>
      </c>
      <c r="Q2" s="48" t="s">
        <v>3</v>
      </c>
      <c r="R2" s="73" t="s">
        <v>7</v>
      </c>
      <c r="S2" s="50" t="s">
        <v>16</v>
      </c>
    </row>
    <row r="3" spans="1:19" x14ac:dyDescent="0.25">
      <c r="A3" s="1">
        <f t="shared" ref="A3:A8" si="0">10*(0.856*11+1.08)^5*($I$11*1000000)^-1.8*(K3/1000000)^-5</f>
        <v>9999.9999999999764</v>
      </c>
      <c r="B3" s="1">
        <f t="shared" ref="B3:B8" si="1">18.4*0.00432*$L$1*(L3/1000000)^-3.291*($J$11)^-0.854</f>
        <v>10000.000000000015</v>
      </c>
      <c r="C3" s="15">
        <f>0.000000000000102*(M3/1000000)^-5</f>
        <v>10000.000000000047</v>
      </c>
      <c r="D3" s="17">
        <f t="shared" ref="D3:D8" si="2">0.00000000906*(N3/1000000)^-3.6706</f>
        <v>9999.9999999999836</v>
      </c>
      <c r="E3" s="18">
        <f t="shared" ref="E3:E8" si="3">0.000005*(O3/1000000)^-3</f>
        <v>10000.000000000013</v>
      </c>
      <c r="F3" s="16">
        <f t="shared" ref="F3:F8" si="4">0.00000283*(P3/1000000)^-3.206</f>
        <v>10000.000000000007</v>
      </c>
      <c r="G3" s="19">
        <f t="shared" ref="G3:G8" si="5">478.63*(Q3/1000000)^-5*(145*$I$11)^-2.66</f>
        <v>9999.9999999999927</v>
      </c>
      <c r="H3" s="2">
        <f>18.4*0.00432*0.007566*$R$1*$L$1*(R3/1000000)^-3.9492*($J$11)^-1.281</f>
        <v>9999.9999999999982</v>
      </c>
      <c r="I3" s="49">
        <f>2*(6918*(0.856*11+1.08)/($I$11^0.36*S3))^5</f>
        <v>10000.000000000016</v>
      </c>
      <c r="J3" s="20">
        <v>10000</v>
      </c>
      <c r="K3" s="51">
        <f>1000000*(J3*1/10*(0.856*11+1.08)^-5*($I$11*1000000)^1.8)^(-1/5)</f>
        <v>882.81014859191691</v>
      </c>
      <c r="L3" s="21">
        <f t="shared" ref="L3:L8" si="6">1000000*(J3*$J$11^0.854/(18.4*0.00432*$L$1))^(-1/3.291)</f>
        <v>866.7143108666229</v>
      </c>
      <c r="M3" s="22">
        <f t="shared" ref="M3:M8" si="7">1000000*(J3/0.000000000000102)^-0.2</f>
        <v>399.68701057120188</v>
      </c>
      <c r="N3" s="23">
        <f t="shared" ref="N3:N8" si="8">1000000*(J3/0.00000000906)^(-1/3.6706)</f>
        <v>523.72092774145062</v>
      </c>
      <c r="O3" s="24">
        <f t="shared" ref="O3:O8" si="9">1000000*(J3/0.000005)^(-1/3)</f>
        <v>793.70052598409939</v>
      </c>
      <c r="P3" s="25">
        <f>1000000*(J3/0.00000283)^(-1/3.206)</f>
        <v>1051.398727690259</v>
      </c>
      <c r="Q3" s="26">
        <f t="shared" ref="Q3:Q8" si="10">1000000*(J3/478.63*(145*$I$11)^2.66)^(-1/5)</f>
        <v>439.18060103884301</v>
      </c>
      <c r="R3" s="74">
        <f t="shared" ref="R3:R8" si="11">1000000*(J3*$J$11^1.281/(18.4*0.00432*$L$1*0.007566*$R$1))^(-1/3.9492)</f>
        <v>775.59973747111542</v>
      </c>
      <c r="S3" s="52">
        <f t="shared" ref="S3:S8" si="12">(J3/2)^-0.2*6918*(0.856*11+1.08)/($I$11^0.36)</f>
        <v>639.81419900040885</v>
      </c>
    </row>
    <row r="4" spans="1:19" x14ac:dyDescent="0.25">
      <c r="A4" s="1">
        <f t="shared" si="0"/>
        <v>100000.00000000051</v>
      </c>
      <c r="B4" s="1">
        <f t="shared" si="1"/>
        <v>99999.999999999884</v>
      </c>
      <c r="C4" s="15">
        <f t="shared" ref="C4:C8" si="13">0.000000000000102*(M4/1000000)^-5</f>
        <v>100000.00000000036</v>
      </c>
      <c r="D4" s="17">
        <f t="shared" si="2"/>
        <v>99999.999999999593</v>
      </c>
      <c r="E4" s="18">
        <f t="shared" si="3"/>
        <v>99999.999999999869</v>
      </c>
      <c r="F4" s="16">
        <f t="shared" si="4"/>
        <v>99999.99999999984</v>
      </c>
      <c r="G4" s="19">
        <f t="shared" si="5"/>
        <v>100000.00000000039</v>
      </c>
      <c r="H4" s="2">
        <f t="shared" ref="H4:H8" si="14">18.4*0.00432*0.007566*$R$1*$L$1*(R4/1000000)^-3.9492*($J$11)^-1.281</f>
        <v>100000.00000000007</v>
      </c>
      <c r="I4" s="49">
        <f t="shared" ref="I4:I8" si="15">2*(6918*(0.856*11+1.08)/($I$11^0.36*S4))^5</f>
        <v>100000.00000000009</v>
      </c>
      <c r="J4" s="27">
        <v>100000</v>
      </c>
      <c r="K4" s="40">
        <f t="shared" ref="K4:K8" si="16">1000000*(J4*1/10*(0.856*11+1.08)^-5*($I$11*1000000)^1.8)^(-1/5)</f>
        <v>557.01554703571992</v>
      </c>
      <c r="L4" s="14">
        <f t="shared" si="6"/>
        <v>430.54342180750456</v>
      </c>
      <c r="M4" s="28">
        <f t="shared" si="7"/>
        <v>252.18545481323252</v>
      </c>
      <c r="N4" s="29">
        <f t="shared" si="8"/>
        <v>279.68224967005028</v>
      </c>
      <c r="O4" s="30">
        <f t="shared" si="9"/>
        <v>368.40314986403882</v>
      </c>
      <c r="P4" s="31">
        <f t="shared" ref="P4:P8" si="17">1000000*(J4/0.00000283)^(-1/3.206)</f>
        <v>512.68697959303222</v>
      </c>
      <c r="Q4" s="32">
        <f t="shared" si="10"/>
        <v>277.10422577868331</v>
      </c>
      <c r="R4" s="75">
        <f t="shared" si="11"/>
        <v>432.9341178546947</v>
      </c>
      <c r="S4" s="53">
        <f t="shared" si="12"/>
        <v>403.69546796201996</v>
      </c>
    </row>
    <row r="5" spans="1:19" x14ac:dyDescent="0.25">
      <c r="A5" s="1">
        <f t="shared" si="0"/>
        <v>1000000.0000000005</v>
      </c>
      <c r="B5" s="1">
        <f t="shared" si="1"/>
        <v>1000000.0000000001</v>
      </c>
      <c r="C5" s="15">
        <f t="shared" si="13"/>
        <v>1000000.0000000029</v>
      </c>
      <c r="D5" s="17">
        <f t="shared" si="2"/>
        <v>999999.99999999697</v>
      </c>
      <c r="E5" s="18">
        <f t="shared" si="3"/>
        <v>999999.99999999639</v>
      </c>
      <c r="F5" s="16">
        <f t="shared" si="4"/>
        <v>999999.99999999581</v>
      </c>
      <c r="G5" s="19">
        <f t="shared" si="5"/>
        <v>1000000.0000000026</v>
      </c>
      <c r="H5" s="2">
        <f t="shared" si="14"/>
        <v>999999.99999999849</v>
      </c>
      <c r="I5" s="49">
        <f t="shared" si="15"/>
        <v>1000000.0000000002</v>
      </c>
      <c r="J5" s="27">
        <v>1000000</v>
      </c>
      <c r="K5" s="40">
        <f t="shared" si="16"/>
        <v>351.45305039184035</v>
      </c>
      <c r="L5" s="14">
        <f t="shared" si="6"/>
        <v>213.87397870050901</v>
      </c>
      <c r="M5" s="28">
        <f t="shared" si="7"/>
        <v>159.11826488548698</v>
      </c>
      <c r="N5" s="29">
        <f t="shared" si="8"/>
        <v>149.3584782220444</v>
      </c>
      <c r="O5" s="30">
        <f t="shared" si="9"/>
        <v>170.99759466766992</v>
      </c>
      <c r="P5" s="31">
        <f t="shared" si="17"/>
        <v>249.9983423240939</v>
      </c>
      <c r="Q5" s="32">
        <f t="shared" si="10"/>
        <v>174.840946441558</v>
      </c>
      <c r="R5" s="75">
        <f t="shared" si="11"/>
        <v>241.66066767087202</v>
      </c>
      <c r="S5" s="53">
        <f t="shared" si="12"/>
        <v>254.71462044400508</v>
      </c>
    </row>
    <row r="6" spans="1:19" x14ac:dyDescent="0.25">
      <c r="A6" s="1">
        <f t="shared" si="0"/>
        <v>9999999.9999999497</v>
      </c>
      <c r="B6" s="1">
        <f t="shared" si="1"/>
        <v>10000000.000000011</v>
      </c>
      <c r="C6" s="15">
        <f t="shared" si="13"/>
        <v>10000000.000000024</v>
      </c>
      <c r="D6" s="17">
        <f t="shared" si="2"/>
        <v>10000000.000000019</v>
      </c>
      <c r="E6" s="18">
        <f t="shared" si="3"/>
        <v>9999999.9999999907</v>
      </c>
      <c r="F6" s="16">
        <f t="shared" si="4"/>
        <v>9999999.9999999702</v>
      </c>
      <c r="G6" s="19">
        <f t="shared" si="5"/>
        <v>10000000.000000019</v>
      </c>
      <c r="H6" s="2">
        <f t="shared" si="14"/>
        <v>10000000.00000003</v>
      </c>
      <c r="I6" s="49">
        <f t="shared" si="15"/>
        <v>10000000.000000019</v>
      </c>
      <c r="J6" s="27">
        <v>10000000</v>
      </c>
      <c r="K6" s="40">
        <f t="shared" si="16"/>
        <v>221.75188338469937</v>
      </c>
      <c r="L6" s="14">
        <f t="shared" si="6"/>
        <v>106.24266089852618</v>
      </c>
      <c r="M6" s="28">
        <f t="shared" si="7"/>
        <v>100.39683787044287</v>
      </c>
      <c r="N6" s="29">
        <f t="shared" si="8"/>
        <v>79.761783392125352</v>
      </c>
      <c r="O6" s="30">
        <f t="shared" si="9"/>
        <v>79.370052598409998</v>
      </c>
      <c r="P6" s="31">
        <f t="shared" si="17"/>
        <v>121.90512662210818</v>
      </c>
      <c r="Q6" s="32">
        <f t="shared" si="10"/>
        <v>110.31717927316915</v>
      </c>
      <c r="R6" s="75">
        <f t="shared" si="11"/>
        <v>134.89322252660244</v>
      </c>
      <c r="S6" s="53">
        <f t="shared" si="12"/>
        <v>160.71406051562974</v>
      </c>
    </row>
    <row r="7" spans="1:19" x14ac:dyDescent="0.25">
      <c r="A7" s="1">
        <f t="shared" si="0"/>
        <v>100000000.00000033</v>
      </c>
      <c r="B7" s="1">
        <f t="shared" si="1"/>
        <v>99999999.999999881</v>
      </c>
      <c r="C7" s="15">
        <f t="shared" si="13"/>
        <v>100000000.00000018</v>
      </c>
      <c r="D7" s="17">
        <f t="shared" si="2"/>
        <v>99999999.99999994</v>
      </c>
      <c r="E7" s="18">
        <f t="shared" si="3"/>
        <v>99999999.999999717</v>
      </c>
      <c r="F7" s="16">
        <f t="shared" si="4"/>
        <v>99999999.999999806</v>
      </c>
      <c r="G7" s="19">
        <f t="shared" si="5"/>
        <v>100000000.00000022</v>
      </c>
      <c r="H7" s="2">
        <f t="shared" si="14"/>
        <v>100000000.00000006</v>
      </c>
      <c r="I7" s="49">
        <f t="shared" si="15"/>
        <v>100000000.00000016</v>
      </c>
      <c r="J7" s="27">
        <v>100000000</v>
      </c>
      <c r="K7" s="40">
        <f t="shared" si="16"/>
        <v>139.91597947389116</v>
      </c>
      <c r="L7" s="14">
        <f t="shared" si="6"/>
        <v>52.776420317149871</v>
      </c>
      <c r="M7" s="28">
        <f t="shared" si="7"/>
        <v>63.346122216943137</v>
      </c>
      <c r="N7" s="29">
        <f t="shared" si="8"/>
        <v>42.595118573947566</v>
      </c>
      <c r="O7" s="30">
        <f t="shared" si="9"/>
        <v>36.840314986403904</v>
      </c>
      <c r="P7" s="31">
        <f t="shared" si="17"/>
        <v>59.443833741452771</v>
      </c>
      <c r="Q7" s="32">
        <f t="shared" si="10"/>
        <v>69.605434484744208</v>
      </c>
      <c r="R7" s="75">
        <f t="shared" si="11"/>
        <v>75.296413185424299</v>
      </c>
      <c r="S7" s="53">
        <f t="shared" si="12"/>
        <v>101.40371684357082</v>
      </c>
    </row>
    <row r="8" spans="1:19" ht="12" thickBot="1" x14ac:dyDescent="0.3">
      <c r="A8" s="1">
        <f t="shared" si="0"/>
        <v>1000000000.0000029</v>
      </c>
      <c r="B8" s="1">
        <f t="shared" si="1"/>
        <v>999999999.99998915</v>
      </c>
      <c r="C8" s="15">
        <f t="shared" si="13"/>
        <v>1000000000.0000088</v>
      </c>
      <c r="D8" s="17">
        <f t="shared" si="2"/>
        <v>999999999.99999678</v>
      </c>
      <c r="E8" s="18">
        <f t="shared" si="3"/>
        <v>999999999.99999988</v>
      </c>
      <c r="F8" s="16">
        <f t="shared" si="4"/>
        <v>999999999.99999928</v>
      </c>
      <c r="G8" s="19">
        <f t="shared" si="5"/>
        <v>1000000000.000001</v>
      </c>
      <c r="H8" s="2">
        <f t="shared" si="14"/>
        <v>999999999.99999821</v>
      </c>
      <c r="I8" s="49">
        <f t="shared" si="15"/>
        <v>1000000000.0000035</v>
      </c>
      <c r="J8" s="33">
        <v>1000000000</v>
      </c>
      <c r="K8" s="41">
        <f t="shared" si="16"/>
        <v>88.2810148591916</v>
      </c>
      <c r="L8" s="34">
        <f t="shared" si="6"/>
        <v>26.216874821619928</v>
      </c>
      <c r="M8" s="35">
        <f t="shared" si="7"/>
        <v>39.96870105712015</v>
      </c>
      <c r="N8" s="36">
        <f t="shared" si="8"/>
        <v>22.747035599855636</v>
      </c>
      <c r="O8" s="37">
        <f t="shared" si="9"/>
        <v>17.099759466766972</v>
      </c>
      <c r="P8" s="38">
        <f t="shared" si="17"/>
        <v>28.98622451568534</v>
      </c>
      <c r="Q8" s="39">
        <f t="shared" si="10"/>
        <v>43.918060103884287</v>
      </c>
      <c r="R8" s="76">
        <f t="shared" si="11"/>
        <v>42.029908785610331</v>
      </c>
      <c r="S8" s="54">
        <f t="shared" si="12"/>
        <v>63.981419900040862</v>
      </c>
    </row>
    <row r="10" spans="1:19" x14ac:dyDescent="0.25">
      <c r="A10" s="6" t="s">
        <v>0</v>
      </c>
      <c r="B10" s="6">
        <v>6.9999999999999994E-5</v>
      </c>
      <c r="C10" s="12">
        <f>(0.856*11+1.08)^5*(6000*1000000)^-1.8*(B10)^-5</f>
        <v>190088857.04679736</v>
      </c>
      <c r="D10" s="12">
        <f>18.4*(10^(4.84*((11/(11+5))-0.69)))*(0.00006167*(B10)^-3.291)*(6000^-0.854)</f>
        <v>30905299.305798974</v>
      </c>
      <c r="E10" s="12">
        <f>0.00000000906*B10^-3.6706</f>
        <v>16147724.529593553</v>
      </c>
      <c r="I10" s="1">
        <v>18.68</v>
      </c>
    </row>
    <row r="11" spans="1:19" ht="12" thickBot="1" x14ac:dyDescent="0.3">
      <c r="I11" s="13">
        <v>4500</v>
      </c>
      <c r="J11" s="1">
        <f>145*I11</f>
        <v>652500</v>
      </c>
      <c r="K11" s="1" t="s">
        <v>32</v>
      </c>
    </row>
    <row r="12" spans="1:19" ht="12" thickBot="1" x14ac:dyDescent="0.3">
      <c r="I12" s="13">
        <v>15</v>
      </c>
      <c r="J12" s="1">
        <f>I12/2.54</f>
        <v>5.9055118110236222</v>
      </c>
    </row>
    <row r="13" spans="1:19" x14ac:dyDescent="0.25">
      <c r="I13" s="6">
        <v>134</v>
      </c>
    </row>
    <row r="16" spans="1:19" x14ac:dyDescent="0.25">
      <c r="J16" s="1">
        <v>124587</v>
      </c>
      <c r="M16" s="1">
        <v>4500000</v>
      </c>
    </row>
    <row r="18" spans="9:18" x14ac:dyDescent="0.25">
      <c r="I18" s="1" t="s">
        <v>20</v>
      </c>
      <c r="J18" s="1">
        <v>10</v>
      </c>
      <c r="K18" s="4">
        <f>K19</f>
        <v>24816776.964792795</v>
      </c>
    </row>
    <row r="19" spans="9:18" x14ac:dyDescent="0.25">
      <c r="J19" s="1">
        <f>I13</f>
        <v>134</v>
      </c>
      <c r="K19" s="5">
        <f>2*(6918*(0.856*11+1.08)/($I$11^0.36*J19))^5</f>
        <v>24816776.964792795</v>
      </c>
    </row>
    <row r="20" spans="9:18" x14ac:dyDescent="0.25">
      <c r="J20" s="1">
        <f>J19</f>
        <v>134</v>
      </c>
      <c r="K20" s="4">
        <v>10000</v>
      </c>
    </row>
    <row r="22" spans="9:18" x14ac:dyDescent="0.25">
      <c r="I22" s="70" t="s">
        <v>6</v>
      </c>
      <c r="J22" s="71" t="str">
        <f t="shared" ref="J22:R22" si="18">A2</f>
        <v>SPDM</v>
      </c>
      <c r="K22" s="71" t="str">
        <f t="shared" si="18"/>
        <v>AI MS-1</v>
      </c>
      <c r="L22" s="71" t="str">
        <f t="shared" si="18"/>
        <v>Cedex-Shell</v>
      </c>
      <c r="M22" s="71" t="str">
        <f t="shared" si="18"/>
        <v>Cedex-COST</v>
      </c>
      <c r="N22" s="71" t="str">
        <f t="shared" si="18"/>
        <v>Illinois</v>
      </c>
      <c r="O22" s="71" t="str">
        <f t="shared" si="18"/>
        <v>Minnesota</v>
      </c>
      <c r="P22" s="71" t="str">
        <f t="shared" si="18"/>
        <v>USACE</v>
      </c>
      <c r="Q22" s="71" t="str">
        <f t="shared" si="18"/>
        <v>ME-PDG</v>
      </c>
      <c r="R22" s="71" t="str">
        <f t="shared" si="18"/>
        <v>AUSTROADS</v>
      </c>
    </row>
    <row r="23" spans="9:18" x14ac:dyDescent="0.25">
      <c r="I23" s="71" t="s">
        <v>5</v>
      </c>
      <c r="J23" s="72">
        <f>10*(0.856*11+1.08)^5*($I$11*1000000)^-1.8*(I13/1000000)^-5</f>
        <v>124111662.62133594</v>
      </c>
      <c r="K23" s="72">
        <f>18.4*0.00432*$L$1*(I13/1000000)^-3.291*($J$11)^-0.854</f>
        <v>4658519.5000005309</v>
      </c>
      <c r="L23" s="72">
        <f>0.000000000000102*(I13/1000000)^-5</f>
        <v>2360892.3228475293</v>
      </c>
      <c r="M23" s="72">
        <f>0.00000000906*(I13/1000000)^-3.6706</f>
        <v>1489283.3178459788</v>
      </c>
      <c r="N23" s="72">
        <f>0.000005*(I13/1000000)^-3</f>
        <v>2078048.1641691299</v>
      </c>
      <c r="O23" s="72">
        <f>0.00000286*(I13/1000000)^-3.206</f>
        <v>7462220.015053438</v>
      </c>
      <c r="P23" s="72">
        <f>478.63*(I13/1000000)^-5*(145*$I$11)^-2.66</f>
        <v>3781740.7370721367</v>
      </c>
      <c r="Q23" s="72">
        <f>18.4*0.00432*0.007566*$R$1*$L$1*(I13/1000000)^-3.9492*($J$11)^-1.281</f>
        <v>10265846.143889779</v>
      </c>
      <c r="R23" s="72">
        <f>2*(6918*(0.856*11+1.08)/($I$11^0.36*I13))^5</f>
        <v>24816776.964792795</v>
      </c>
    </row>
    <row r="24" spans="9:18" x14ac:dyDescent="0.25">
      <c r="I24" s="71" t="s">
        <v>4</v>
      </c>
      <c r="J24" s="69">
        <f t="shared" ref="J24:K24" si="19">(1000000*$I$10)/J23</f>
        <v>0.15050962661738396</v>
      </c>
      <c r="K24" s="69">
        <f t="shared" si="19"/>
        <v>4.009857638247059</v>
      </c>
      <c r="L24" s="69">
        <f t="shared" ref="L24:Q24" si="20">(1000000*$I$10)/L23</f>
        <v>7.9122625878462767</v>
      </c>
      <c r="M24" s="69">
        <f t="shared" si="20"/>
        <v>12.542945842580021</v>
      </c>
      <c r="N24" s="69">
        <f t="shared" si="20"/>
        <v>8.9892045439999997</v>
      </c>
      <c r="O24" s="69">
        <f t="shared" si="20"/>
        <v>2.5032764997972565</v>
      </c>
      <c r="P24" s="69">
        <f t="shared" si="20"/>
        <v>4.9395242293796828</v>
      </c>
      <c r="Q24" s="69">
        <f t="shared" si="20"/>
        <v>1.819625945896171</v>
      </c>
      <c r="R24" s="69">
        <f>(1000000*$I$10)/R23</f>
        <v>0.75271660081005065</v>
      </c>
    </row>
    <row r="26" spans="9:18" x14ac:dyDescent="0.25">
      <c r="J26" s="8" t="e">
        <f ca="1">[1]!NfatShell(95,12.4,$I$11,I13)</f>
        <v>#NAME?</v>
      </c>
    </row>
    <row r="27" spans="9:18" x14ac:dyDescent="0.25">
      <c r="J27" s="9" t="e">
        <f ca="1">20400000/J26</f>
        <v>#NAME?</v>
      </c>
    </row>
    <row r="28" spans="9:18" x14ac:dyDescent="0.25">
      <c r="J28" s="1" t="e">
        <f ca="1">1/J27</f>
        <v>#NAME?</v>
      </c>
    </row>
    <row r="30" spans="9:18" x14ac:dyDescent="0.25">
      <c r="I30" s="7" t="s">
        <v>11</v>
      </c>
      <c r="J30" s="7">
        <v>80</v>
      </c>
      <c r="K30" s="7">
        <v>85</v>
      </c>
      <c r="L30" s="7">
        <v>90</v>
      </c>
      <c r="M30" s="7">
        <v>95</v>
      </c>
      <c r="N30" s="7">
        <v>97.5</v>
      </c>
    </row>
    <row r="31" spans="9:18" x14ac:dyDescent="0.25">
      <c r="I31" s="7" t="s">
        <v>10</v>
      </c>
      <c r="J31" s="7">
        <v>6</v>
      </c>
      <c r="K31" s="7">
        <v>6</v>
      </c>
      <c r="L31" s="7">
        <v>6</v>
      </c>
      <c r="M31" s="7">
        <v>6</v>
      </c>
      <c r="N31" s="7">
        <v>6</v>
      </c>
    </row>
    <row r="32" spans="9:18" x14ac:dyDescent="0.25">
      <c r="I32" s="7" t="s">
        <v>8</v>
      </c>
      <c r="J32" s="7">
        <v>2.4</v>
      </c>
      <c r="K32" s="7">
        <f>6/K34</f>
        <v>3</v>
      </c>
      <c r="L32" s="7">
        <f>6/L34</f>
        <v>4</v>
      </c>
      <c r="M32" s="7">
        <f>6/M34</f>
        <v>6</v>
      </c>
      <c r="N32" s="7">
        <v>9</v>
      </c>
    </row>
    <row r="33" spans="9:14" x14ac:dyDescent="0.25">
      <c r="I33" s="7" t="s">
        <v>9</v>
      </c>
      <c r="J33" s="7">
        <f t="shared" ref="J33:N33" si="21">J31/J32</f>
        <v>2.5</v>
      </c>
      <c r="K33" s="7">
        <f t="shared" si="21"/>
        <v>2</v>
      </c>
      <c r="L33" s="7">
        <f t="shared" si="21"/>
        <v>1.5</v>
      </c>
      <c r="M33" s="7">
        <f t="shared" si="21"/>
        <v>1</v>
      </c>
      <c r="N33" s="9">
        <f t="shared" si="21"/>
        <v>0.66666666666666663</v>
      </c>
    </row>
    <row r="34" spans="9:14" x14ac:dyDescent="0.25">
      <c r="J34" s="1">
        <v>2.5</v>
      </c>
      <c r="K34" s="1">
        <v>2</v>
      </c>
      <c r="L34" s="1">
        <v>1.5</v>
      </c>
      <c r="M34" s="1">
        <v>1</v>
      </c>
      <c r="N34" s="1">
        <v>0.67</v>
      </c>
    </row>
    <row r="48" spans="9:14" x14ac:dyDescent="0.25">
      <c r="I48" s="1" t="s">
        <v>5</v>
      </c>
    </row>
    <row r="49" spans="7:11" x14ac:dyDescent="0.25">
      <c r="G49" s="14">
        <v>732</v>
      </c>
      <c r="H49" s="4">
        <f t="shared" ref="H49:H59" si="22">G49/1000000</f>
        <v>7.3200000000000001E-4</v>
      </c>
      <c r="I49" s="10">
        <f>(0.17*G64-0.0085*G64*G63+0.0454*G63-0.112)^5*H49^-5*(145*G61)^-1.8</f>
        <v>1286.9039493094242</v>
      </c>
      <c r="J49" s="3">
        <f t="shared" ref="J49:J59" si="23">$G$65/I49</f>
        <v>12666.057951525343</v>
      </c>
      <c r="K49" s="3">
        <f>$G$67/G49</f>
        <v>8.6065573770491802E-2</v>
      </c>
    </row>
    <row r="50" spans="7:11" x14ac:dyDescent="0.25">
      <c r="G50" s="14">
        <v>169</v>
      </c>
      <c r="H50" s="4">
        <f t="shared" si="22"/>
        <v>1.6899999999999999E-4</v>
      </c>
      <c r="I50" s="10">
        <f>(0.0252*G64-0.00126*G64*G63+0.00673*G63-0.0167)^5*H50^-5*(145*G61)^-1.4</f>
        <v>29481.268132879792</v>
      </c>
      <c r="J50" s="3">
        <f t="shared" si="23"/>
        <v>552.8934483595358</v>
      </c>
      <c r="K50" s="3">
        <f t="shared" ref="K50:K59" si="24">$G$67/G50</f>
        <v>0.37278106508875741</v>
      </c>
    </row>
    <row r="51" spans="7:11" x14ac:dyDescent="0.25">
      <c r="G51" s="14">
        <v>215.61288387495458</v>
      </c>
      <c r="H51" s="4">
        <f t="shared" si="22"/>
        <v>2.1561288387495457E-4</v>
      </c>
      <c r="I51" s="4">
        <f>8.25*(0.856*G63+1.08)^5*(G61*1000000)^-1.8*(H51)^-5</f>
        <v>16299999.999999965</v>
      </c>
      <c r="J51" s="3">
        <f t="shared" si="23"/>
        <v>1.0000000000000022</v>
      </c>
      <c r="K51" s="3">
        <f t="shared" si="24"/>
        <v>0.29219033142999501</v>
      </c>
    </row>
    <row r="52" spans="7:11" x14ac:dyDescent="0.25">
      <c r="G52" s="14">
        <v>100.04735877237741</v>
      </c>
      <c r="H52" s="4">
        <f t="shared" si="22"/>
        <v>1.0004735877237741E-4</v>
      </c>
      <c r="I52" s="4">
        <f>478.63*(H52)^-5*(145*G61)^-2.66</f>
        <v>16300000.000000004</v>
      </c>
      <c r="J52" s="3">
        <f t="shared" si="23"/>
        <v>0.99999999999999978</v>
      </c>
      <c r="K52" s="3">
        <f t="shared" si="24"/>
        <v>0.62970178096689544</v>
      </c>
    </row>
    <row r="53" spans="7:11" x14ac:dyDescent="0.25">
      <c r="G53" s="14">
        <v>91.050537406909399</v>
      </c>
      <c r="H53" s="4">
        <f t="shared" si="22"/>
        <v>9.1050537406909396E-5</v>
      </c>
      <c r="I53" s="4">
        <f>0.000000000000102*(H53)^-5</f>
        <v>16299999.999999912</v>
      </c>
      <c r="J53" s="1">
        <f t="shared" si="23"/>
        <v>1.0000000000000053</v>
      </c>
      <c r="K53" s="3">
        <f t="shared" si="24"/>
        <v>0.69192342839724108</v>
      </c>
    </row>
    <row r="54" spans="7:11" x14ac:dyDescent="0.25">
      <c r="G54" s="14">
        <v>69.821234081022212</v>
      </c>
      <c r="H54" s="4">
        <f t="shared" si="22"/>
        <v>6.9821234081022206E-5</v>
      </c>
      <c r="I54" s="4">
        <f>0.00000000906*(H54)^-3.6706</f>
        <v>16299999.999999948</v>
      </c>
      <c r="J54" s="3">
        <f t="shared" si="23"/>
        <v>1.0000000000000031</v>
      </c>
      <c r="K54" s="3">
        <f t="shared" si="24"/>
        <v>0.90230430368637293</v>
      </c>
    </row>
    <row r="55" spans="7:11" x14ac:dyDescent="0.25">
      <c r="G55" s="14">
        <v>70.042914529000697</v>
      </c>
      <c r="H55" s="4">
        <f t="shared" si="22"/>
        <v>7.0042914529000697E-5</v>
      </c>
      <c r="I55" s="4">
        <f>(H55/0.00194)^-5</f>
        <v>16299999.999999905</v>
      </c>
      <c r="J55" s="1">
        <f t="shared" si="23"/>
        <v>1.0000000000000058</v>
      </c>
      <c r="K55" s="3">
        <f t="shared" si="24"/>
        <v>0.8994485798262345</v>
      </c>
    </row>
    <row r="56" spans="7:11" x14ac:dyDescent="0.25">
      <c r="G56" s="14">
        <v>67.44153813296937</v>
      </c>
      <c r="H56" s="4">
        <f t="shared" si="22"/>
        <v>6.7441538132969372E-5</v>
      </c>
      <c r="I56" s="4">
        <f>0.000005*(H56)^-3</f>
        <v>16299999.999999996</v>
      </c>
      <c r="J56" s="3">
        <f t="shared" si="23"/>
        <v>1.0000000000000002</v>
      </c>
      <c r="K56" s="3">
        <f t="shared" si="24"/>
        <v>0.93414239568183743</v>
      </c>
    </row>
    <row r="57" spans="7:11" x14ac:dyDescent="0.25">
      <c r="G57" s="14">
        <v>105.01851802958129</v>
      </c>
      <c r="H57" s="4">
        <f t="shared" si="22"/>
        <v>1.0501851802958128E-4</v>
      </c>
      <c r="I57" s="4">
        <f>0.00000286*(H57)^-3.206</f>
        <v>16300000.000037432</v>
      </c>
      <c r="J57" s="3">
        <f t="shared" si="23"/>
        <v>0.99999999999770361</v>
      </c>
      <c r="K57" s="3">
        <f t="shared" si="24"/>
        <v>0.59989420134698868</v>
      </c>
    </row>
    <row r="58" spans="7:11" x14ac:dyDescent="0.25">
      <c r="G58" s="14">
        <v>110.37</v>
      </c>
      <c r="H58" s="4">
        <f t="shared" si="22"/>
        <v>1.1037E-4</v>
      </c>
      <c r="I58" s="4" t="e">
        <f ca="1">[1]!NfatINA(18.4,G63,G62,G58,G61)</f>
        <v>#NAME?</v>
      </c>
      <c r="J58" s="3" t="e">
        <f t="shared" ca="1" si="23"/>
        <v>#NAME?</v>
      </c>
      <c r="K58" s="3">
        <f t="shared" si="24"/>
        <v>0.57080728458820329</v>
      </c>
    </row>
    <row r="59" spans="7:11" x14ac:dyDescent="0.25">
      <c r="G59" s="14">
        <v>139.3870816755468</v>
      </c>
      <c r="H59" s="4">
        <f t="shared" si="22"/>
        <v>1.3938708167554679E-4</v>
      </c>
      <c r="I59" s="11">
        <f>0.004325*18.4*0.007566*I60*10^(4.84*((G63/(G63+G62))-0.69))*(H59)^-3.9492*(145*G61)^-1.281</f>
        <v>16300000.000000069</v>
      </c>
      <c r="J59" s="3">
        <f t="shared" si="23"/>
        <v>0.99999999999999578</v>
      </c>
      <c r="K59" s="3">
        <f t="shared" si="24"/>
        <v>0.45197875759136674</v>
      </c>
    </row>
    <row r="60" spans="7:11" x14ac:dyDescent="0.25">
      <c r="I60" s="1">
        <f>1/(0.000398+(0.003602/(1+EXP(11.02-3.49*G66/2.54))))</f>
        <v>250.94937361742046</v>
      </c>
    </row>
    <row r="61" spans="7:11" x14ac:dyDescent="0.25">
      <c r="G61" s="1">
        <v>4500</v>
      </c>
    </row>
    <row r="62" spans="7:11" x14ac:dyDescent="0.25">
      <c r="G62" s="1">
        <v>4.3</v>
      </c>
    </row>
    <row r="63" spans="7:11" x14ac:dyDescent="0.25">
      <c r="G63" s="1">
        <v>12.4</v>
      </c>
    </row>
    <row r="64" spans="7:11" x14ac:dyDescent="0.25">
      <c r="G64" s="1">
        <v>-1.1000000000000001</v>
      </c>
    </row>
    <row r="65" spans="2:7" x14ac:dyDescent="0.25">
      <c r="G65" s="4">
        <v>16300000</v>
      </c>
    </row>
    <row r="66" spans="2:7" x14ac:dyDescent="0.25">
      <c r="G66" s="1">
        <v>12</v>
      </c>
    </row>
    <row r="67" spans="2:7" x14ac:dyDescent="0.25">
      <c r="G67" s="1">
        <v>63</v>
      </c>
    </row>
    <row r="68" spans="2:7" x14ac:dyDescent="0.25">
      <c r="B68" s="1">
        <v>80</v>
      </c>
      <c r="C68" s="1">
        <f>+B68/145</f>
        <v>0.55172413793103448</v>
      </c>
    </row>
  </sheetData>
  <conditionalFormatting sqref="J24:R24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B2:S8"/>
  <sheetViews>
    <sheetView zoomScale="115" zoomScaleNormal="115" workbookViewId="0">
      <selection activeCell="E7" sqref="E7"/>
    </sheetView>
  </sheetViews>
  <sheetFormatPr baseColWidth="10" defaultColWidth="8.85546875" defaultRowHeight="11.25" x14ac:dyDescent="0.25"/>
  <cols>
    <col min="1" max="1" width="8.85546875" style="55"/>
    <col min="2" max="2" width="9.85546875" style="55" bestFit="1" customWidth="1"/>
    <col min="3" max="5" width="8.85546875" style="55"/>
    <col min="6" max="11" width="12" style="55" bestFit="1" customWidth="1"/>
    <col min="12" max="13" width="6.7109375" style="55" bestFit="1" customWidth="1"/>
    <col min="14" max="14" width="4.42578125" style="55" bestFit="1" customWidth="1"/>
    <col min="15" max="17" width="12" style="55" bestFit="1" customWidth="1"/>
    <col min="18" max="18" width="8.7109375" style="55" bestFit="1" customWidth="1"/>
    <col min="19" max="16384" width="8.85546875" style="55"/>
  </cols>
  <sheetData>
    <row r="2" spans="2:19" x14ac:dyDescent="0.25">
      <c r="B2" s="56" t="s">
        <v>21</v>
      </c>
      <c r="C2" s="56" t="s">
        <v>22</v>
      </c>
      <c r="D2" s="56" t="s">
        <v>23</v>
      </c>
      <c r="E2" s="56" t="s">
        <v>24</v>
      </c>
      <c r="F2" s="56" t="s">
        <v>25</v>
      </c>
      <c r="G2" s="56" t="s">
        <v>26</v>
      </c>
    </row>
    <row r="3" spans="2:19" x14ac:dyDescent="0.25">
      <c r="B3" s="57">
        <v>18680000</v>
      </c>
      <c r="C3" s="56">
        <v>0.85</v>
      </c>
      <c r="D3" s="56">
        <f>-NORMSINV(C3)</f>
        <v>-1.0364333894937898</v>
      </c>
      <c r="E3" s="56">
        <v>0.45</v>
      </c>
      <c r="F3" s="56">
        <v>4.2</v>
      </c>
      <c r="G3" s="56">
        <v>2.5</v>
      </c>
    </row>
    <row r="5" spans="2:19" ht="11.25" customHeight="1" x14ac:dyDescent="0.25">
      <c r="B5" s="67" t="s">
        <v>30</v>
      </c>
      <c r="C5" s="67"/>
      <c r="D5" s="67"/>
      <c r="E5" s="67"/>
      <c r="F5" s="68" t="s">
        <v>28</v>
      </c>
      <c r="G5" s="67"/>
      <c r="H5" s="67"/>
      <c r="I5" s="67" t="s">
        <v>27</v>
      </c>
      <c r="J5" s="67"/>
      <c r="K5" s="67"/>
      <c r="L5" s="67" t="s">
        <v>29</v>
      </c>
      <c r="M5" s="67"/>
      <c r="N5" s="67"/>
      <c r="O5" s="68" t="s">
        <v>31</v>
      </c>
      <c r="P5" s="67"/>
      <c r="Q5" s="67"/>
      <c r="R5" s="67" t="s">
        <v>17</v>
      </c>
      <c r="S5" s="67"/>
    </row>
    <row r="6" spans="2:19" ht="22.5" x14ac:dyDescent="0.25">
      <c r="B6" s="58">
        <v>1</v>
      </c>
      <c r="C6" s="58">
        <v>2</v>
      </c>
      <c r="D6" s="58">
        <v>3</v>
      </c>
      <c r="E6" s="58">
        <v>4</v>
      </c>
      <c r="F6" s="58">
        <v>1</v>
      </c>
      <c r="G6" s="58">
        <v>2</v>
      </c>
      <c r="H6" s="58">
        <v>3</v>
      </c>
      <c r="I6" s="58">
        <v>1</v>
      </c>
      <c r="J6" s="58">
        <v>2</v>
      </c>
      <c r="K6" s="58">
        <v>3</v>
      </c>
      <c r="L6" s="58">
        <v>1</v>
      </c>
      <c r="M6" s="58">
        <v>2</v>
      </c>
      <c r="N6" s="58">
        <v>3</v>
      </c>
      <c r="O6" s="58">
        <v>1</v>
      </c>
      <c r="P6" s="58">
        <v>2</v>
      </c>
      <c r="Q6" s="58">
        <v>3</v>
      </c>
      <c r="R6" s="58" t="s">
        <v>18</v>
      </c>
      <c r="S6" s="58" t="s">
        <v>19</v>
      </c>
    </row>
    <row r="7" spans="2:19" x14ac:dyDescent="0.25">
      <c r="B7" s="66">
        <f t="shared" ref="B7:E7" si="0">0.145*B8</f>
        <v>652.5</v>
      </c>
      <c r="C7" s="59">
        <f t="shared" si="0"/>
        <v>26.099999999999998</v>
      </c>
      <c r="D7" s="60">
        <f t="shared" si="0"/>
        <v>14.499999999999998</v>
      </c>
      <c r="E7" s="61">
        <f t="shared" si="0"/>
        <v>7.2499999999999991</v>
      </c>
      <c r="F7" s="62" t="e">
        <f ca="1">[1]!SNreq($B3,$D$3,$E$3,$F$3,$G$3,1000*C7)</f>
        <v>#NAME?</v>
      </c>
      <c r="G7" s="63" t="e">
        <f ca="1">[1]!SNreq($B3,$D$3,$E$3,$F$3,$G$3,1000*D7)</f>
        <v>#NAME?</v>
      </c>
      <c r="H7" s="64" t="e">
        <f ca="1">[1]!SNreq($B3,$D$3,$E$3,$F$3,$G$3,1000*E7)</f>
        <v>#NAME?</v>
      </c>
      <c r="I7" s="66" t="e">
        <f ca="1">[1]!aporte(I$6,B7)</f>
        <v>#NAME?</v>
      </c>
      <c r="J7" s="59" t="e">
        <f ca="1">[1]!aporte(J$6,C7)</f>
        <v>#NAME?</v>
      </c>
      <c r="K7" s="60" t="e">
        <f ca="1">[1]!aporte(K$6,D7)</f>
        <v>#NAME?</v>
      </c>
      <c r="L7" s="66">
        <v>7</v>
      </c>
      <c r="M7" s="59">
        <v>8</v>
      </c>
      <c r="N7" s="60">
        <v>10</v>
      </c>
      <c r="O7" s="65" t="e">
        <f ca="1">I7*L7</f>
        <v>#NAME?</v>
      </c>
      <c r="P7" s="62" t="e">
        <f ca="1">O7+J7*M7</f>
        <v>#NAME?</v>
      </c>
      <c r="Q7" s="63" t="e">
        <f ca="1">P7+K7*N7</f>
        <v>#NAME?</v>
      </c>
      <c r="R7" s="56">
        <v>134</v>
      </c>
      <c r="S7" s="56">
        <v>236</v>
      </c>
    </row>
    <row r="8" spans="2:19" x14ac:dyDescent="0.25">
      <c r="B8" s="55">
        <v>4500</v>
      </c>
      <c r="C8" s="55">
        <v>180</v>
      </c>
      <c r="D8" s="55">
        <v>100</v>
      </c>
      <c r="E8" s="55">
        <v>50</v>
      </c>
      <c r="L8" s="55">
        <f t="shared" ref="L8:N8" si="1">25.4*L7</f>
        <v>177.79999999999998</v>
      </c>
      <c r="M8" s="55">
        <f t="shared" si="1"/>
        <v>203.2</v>
      </c>
      <c r="N8" s="55">
        <f t="shared" si="1"/>
        <v>254</v>
      </c>
    </row>
  </sheetData>
  <conditionalFormatting sqref="O7:Q7">
    <cfRule type="cellIs" dxfId="0" priority="1" operator="lessThan">
      <formula>F7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FATIGA</vt:lpstr>
      <vt:lpstr>diseno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Alexis Bellon Maldonado</dc:creator>
  <cp:lastModifiedBy>Luis Felipe Ramirez Jaramillo</cp:lastModifiedBy>
  <dcterms:created xsi:type="dcterms:W3CDTF">2023-12-13T12:35:57Z</dcterms:created>
  <dcterms:modified xsi:type="dcterms:W3CDTF">2024-09-27T19:52:45Z</dcterms:modified>
</cp:coreProperties>
</file>