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1" sheetId="1" r:id="rId4"/>
    <sheet state="visible" name="Ejercicio2" sheetId="2" r:id="rId5"/>
    <sheet state="visible" name="Ejercicio3" sheetId="3" r:id="rId6"/>
    <sheet state="visible" name="Ejercicio4" sheetId="4" r:id="rId7"/>
    <sheet state="visible" name="Ejercicio 5" sheetId="5" r:id="rId8"/>
    <sheet state="visible" name="Ejercicio6" sheetId="6" r:id="rId9"/>
  </sheets>
  <definedNames/>
  <calcPr/>
</workbook>
</file>

<file path=xl/sharedStrings.xml><?xml version="1.0" encoding="utf-8"?>
<sst xmlns="http://schemas.openxmlformats.org/spreadsheetml/2006/main" count="243" uniqueCount="161">
  <si>
    <t>M</t>
  </si>
  <si>
    <t>K</t>
  </si>
  <si>
    <t>Datos</t>
  </si>
  <si>
    <t>Minutos</t>
  </si>
  <si>
    <t xml:space="preserve">Factor de Utilización </t>
  </si>
  <si>
    <t>λ</t>
  </si>
  <si>
    <t>40 autos/hora</t>
  </si>
  <si>
    <t>Autos/minutos</t>
  </si>
  <si>
    <t>μ</t>
  </si>
  <si>
    <t>15 autos/hora</t>
  </si>
  <si>
    <t>a) Probabilidad de que el sistema esté lleno y vacío</t>
  </si>
  <si>
    <t>1 - 2,667</t>
  </si>
  <si>
    <t>1 - (2,667)^4+1</t>
  </si>
  <si>
    <t>Resultado</t>
  </si>
  <si>
    <t>%  Probabilodad de que el sistema esté vacío</t>
  </si>
  <si>
    <t>Probabbilidad de que esté lleno</t>
  </si>
  <si>
    <t>1-Po</t>
  </si>
  <si>
    <t>% Probabilidad de que el sistema esté lleno</t>
  </si>
  <si>
    <t>b) Número promedio de vehículos que entran y no entran en el sistema</t>
  </si>
  <si>
    <t>c) Número de vehículos en el sistema</t>
  </si>
  <si>
    <t>d) Tiempo promedio de un vehículo en cola</t>
  </si>
  <si>
    <t>e)  Tiempo promedio de espera en el sistema</t>
  </si>
  <si>
    <t>Minutos en el sistema</t>
  </si>
  <si>
    <t>Modelo:</t>
  </si>
  <si>
    <t>M / M / S</t>
  </si>
  <si>
    <t>-&gt;</t>
  </si>
  <si>
    <t>M / M / 3</t>
  </si>
  <si>
    <t xml:space="preserve">λ: </t>
  </si>
  <si>
    <t>pacientes por hora</t>
  </si>
  <si>
    <t>minutos por paciente</t>
  </si>
  <si>
    <t>medicos:</t>
  </si>
  <si>
    <t>a)</t>
  </si>
  <si>
    <t>ρ =</t>
  </si>
  <si>
    <t>La proporcion de tiempo que está cada médico atencdiendo a los pacientes es de 86.7%</t>
  </si>
  <si>
    <t>s*μ</t>
  </si>
  <si>
    <t>3*4.615</t>
  </si>
  <si>
    <t>Ws-Wq</t>
  </si>
  <si>
    <t>horas</t>
  </si>
  <si>
    <t xml:space="preserve">o </t>
  </si>
  <si>
    <t>minutos</t>
  </si>
  <si>
    <t>b)</t>
  </si>
  <si>
    <t>`+</t>
  </si>
  <si>
    <t>`*</t>
  </si>
  <si>
    <t xml:space="preserve">El número promedio de pacientes en la sala de espera es de 4.93 </t>
  </si>
  <si>
    <t>c)</t>
  </si>
  <si>
    <t xml:space="preserve">horas </t>
  </si>
  <si>
    <t>El tiempo de espera es de 0.628 horas</t>
  </si>
  <si>
    <t>d)</t>
  </si>
  <si>
    <t>para dos médicos :</t>
  </si>
  <si>
    <t>(2*4.615)</t>
  </si>
  <si>
    <t>(2*4.615-12)</t>
  </si>
  <si>
    <t>EL SISTEMA SE SATURA CON DOS MÉDICOS, esto resultado de los negativos</t>
  </si>
  <si>
    <t>M/M/S</t>
  </si>
  <si>
    <t xml:space="preserve">servidores </t>
  </si>
  <si>
    <t>tasa de llegada</t>
  </si>
  <si>
    <t>camiones/hora</t>
  </si>
  <si>
    <t>tasa de servicio</t>
  </si>
  <si>
    <t>Costo de mano de obra</t>
  </si>
  <si>
    <t>costo por empleado</t>
  </si>
  <si>
    <t>eutos/hora</t>
  </si>
  <si>
    <t>el coste total del sistema por hora es de 320 Euros</t>
  </si>
  <si>
    <t>4 plataformas</t>
  </si>
  <si>
    <t>2 empleados por plataforma</t>
  </si>
  <si>
    <t>--&gt;</t>
  </si>
  <si>
    <t>empleados</t>
  </si>
  <si>
    <t>mano de obra =</t>
  </si>
  <si>
    <t>euros/hora</t>
  </si>
  <si>
    <t>costo camion ocioso</t>
  </si>
  <si>
    <t>ya que la capacidad del sistemas es mayor a la llegada de camiones no habra camiones ociosos</t>
  </si>
  <si>
    <t>euros/ hora</t>
  </si>
  <si>
    <t>Factor de utilizacion</t>
  </si>
  <si>
    <t>las plataformas estan ocupadas un 75% del tiempo</t>
  </si>
  <si>
    <t>probabilidad de que no haya ningun camion en el sistema d edescarga</t>
  </si>
  <si>
    <t>´+</t>
  </si>
  <si>
    <t>*</t>
  </si>
  <si>
    <t>(4+1)</t>
  </si>
  <si>
    <t>+</t>
  </si>
  <si>
    <t>(4+1-3)</t>
  </si>
  <si>
    <t xml:space="preserve">Datos </t>
  </si>
  <si>
    <t xml:space="preserve">Tiempo de servicio = 10 segundos </t>
  </si>
  <si>
    <t>tazas/minutos</t>
  </si>
  <si>
    <t>Tiempo de llegada = 4 minutos</t>
  </si>
  <si>
    <t xml:space="preserve">personas/ hora </t>
  </si>
  <si>
    <t>λ = 240 persona/ hora</t>
  </si>
  <si>
    <t xml:space="preserve">μ = 360 persona / hora </t>
  </si>
  <si>
    <t xml:space="preserve">a) </t>
  </si>
  <si>
    <t>¿Cuál es el número promedio de personas que esperan en la fila?</t>
  </si>
  <si>
    <t>Lq = λ  ^ 2 /μ(μ-λ)</t>
  </si>
  <si>
    <t>Lq = 240 ^ 2  / 360 (360 - 240)</t>
  </si>
  <si>
    <t>Lq =</t>
  </si>
  <si>
    <t xml:space="preserve">Hay 1.33 personas esperando en la fila, se puede determinar que la cola no es larga. </t>
  </si>
  <si>
    <t xml:space="preserve">b) </t>
  </si>
  <si>
    <t xml:space="preserve">¿Cuál es el número promedio en el sistema? </t>
  </si>
  <si>
    <t>Lq = λ  /(μ-λ)</t>
  </si>
  <si>
    <t>Lq = 240 / 360 - 240</t>
  </si>
  <si>
    <t xml:space="preserve">Hay 2 personas en el sistema, sumando los que estan siendo atendidos y los que esperan </t>
  </si>
  <si>
    <t xml:space="preserve">c) </t>
  </si>
  <si>
    <t xml:space="preserve"> ¿Cuánto espera una persona promedio en la línea antes de recibir el servicio? </t>
  </si>
  <si>
    <t>Ws= 1  /(μ-λ)</t>
  </si>
  <si>
    <t>Ws= 1  /(360-240)</t>
  </si>
  <si>
    <t>Ws =</t>
  </si>
  <si>
    <t xml:space="preserve">Ws = </t>
  </si>
  <si>
    <t>seg</t>
  </si>
  <si>
    <t>Wq = λ  /μ(μ-λ)</t>
  </si>
  <si>
    <t>Wq = 240 /360 (360-240)</t>
  </si>
  <si>
    <t>Wq =</t>
  </si>
  <si>
    <t xml:space="preserve">Una persona promedio espera 30 segundos antes de recibir su servicio </t>
  </si>
  <si>
    <t>Respuestas</t>
  </si>
  <si>
    <t>Tasa de Servicio</t>
  </si>
  <si>
    <t>La tasa de servicio es la inversa del tiempo de servicio. Si un carro es atendido cada 5 minutos, entonces:</t>
  </si>
  <si>
    <t>carros/hora</t>
  </si>
  <si>
    <t>Tasa llegada</t>
  </si>
  <si>
    <t>La tasa media de llegadas es</t>
  </si>
  <si>
    <t>Fracción del tiempo en lo que esta ocupada la máquina</t>
  </si>
  <si>
    <t>La fracción del tiempo en lo que esta ocupada la maquina</t>
  </si>
  <si>
    <t>Probabilidad de que el sistema esté vacío.</t>
  </si>
  <si>
    <t>La probabilidad de queel sistema esté vacío</t>
  </si>
  <si>
    <t>Número promedio de carros en la cola</t>
  </si>
  <si>
    <t>Hay 1,125 carros esperando en cola</t>
  </si>
  <si>
    <t>µ</t>
  </si>
  <si>
    <t>Número promedio de carros en el sistema</t>
  </si>
  <si>
    <t>El número promedio de carros en el sistema</t>
  </si>
  <si>
    <t>Tasa de llegada</t>
  </si>
  <si>
    <t>Tiempo promedio que un carro pasa esperando en la cola</t>
  </si>
  <si>
    <t>El tiempo promedio que un carro pasa esperando en la cola es</t>
  </si>
  <si>
    <t>Sistema</t>
  </si>
  <si>
    <t>ρ</t>
  </si>
  <si>
    <t>tiempo maquina ocupada</t>
  </si>
  <si>
    <t>Tiempo promedio que un carro pasa en el sistema.</t>
  </si>
  <si>
    <t>En promedio, un carro pasa 12.5 minutos en el sistema</t>
  </si>
  <si>
    <t xml:space="preserve">Tasa de servicio </t>
  </si>
  <si>
    <t>1/5min</t>
  </si>
  <si>
    <t>60/5min/h</t>
  </si>
  <si>
    <t>Promedio Carros</t>
  </si>
  <si>
    <t>M/M/1/K</t>
  </si>
  <si>
    <t>llamadas/hora</t>
  </si>
  <si>
    <t>Tasa de servicio</t>
  </si>
  <si>
    <t>Tasa Efectiva llegadas</t>
  </si>
  <si>
    <t>Capacidad limitada</t>
  </si>
  <si>
    <t>p</t>
  </si>
  <si>
    <t>p0</t>
  </si>
  <si>
    <t>/</t>
  </si>
  <si>
    <t>hay un 5.96% de que 0 lineas esten en uso</t>
  </si>
  <si>
    <t>p1</t>
  </si>
  <si>
    <t>hay un 12.52% de que 1 linea este en uso</t>
  </si>
  <si>
    <t>p2</t>
  </si>
  <si>
    <t>hay un 26.30% de que 2 lineas esten en uso</t>
  </si>
  <si>
    <t>p3</t>
  </si>
  <si>
    <t>hay un 55.22% de que 3 lineas esten en uso</t>
  </si>
  <si>
    <t>Numero promedio de usuarios en el sistema</t>
  </si>
  <si>
    <t>Ls</t>
  </si>
  <si>
    <t>-</t>
  </si>
  <si>
    <t>El numero promedio de usuario en el sistema es de 8.63</t>
  </si>
  <si>
    <t>Lq</t>
  </si>
  <si>
    <t>numero promedio de usuarios en cola</t>
  </si>
  <si>
    <t>Tiempo medio esperado de espera en el sistema</t>
  </si>
  <si>
    <t>Ws</t>
  </si>
  <si>
    <t>El tiempo medio esperado de espera en el sistema es de 231 minutos</t>
  </si>
  <si>
    <t>Teimpo medio esperado de espera en cola</t>
  </si>
  <si>
    <t>Wq</t>
  </si>
  <si>
    <t>El tiempo medio esperado de espera en cola es de 228 minutos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</si>
</sst>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0"/>
    <numFmt numFmtId="165" formatCode="0.000"/>
    <numFmt numFmtId="166" formatCode="#,##0.000000000"/>
    <numFmt numFmtId="167" formatCode="0.00000000"/>
    <numFmt numFmtId="168" formatCode="0.0"/>
    <numFmt numFmtId="169" formatCode="0.00000"/>
    <numFmt numFmtId="170" formatCode="0.0000"/>
    <numFmt numFmtId="171" formatCode="d.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ptos narrow&quot;"/>
    </font>
    <font>
      <color rgb="FF000000"/>
      <name val="Arial"/>
    </font>
    <font>
      <color theme="0"/>
      <name val="Arial"/>
      <scheme val="minor"/>
    </font>
    <font/>
    <font>
      <color theme="5"/>
      <name val="Arial"/>
      <scheme val="minor"/>
    </font>
    <font>
      <sz val="9.0"/>
      <color rgb="FF000000"/>
      <name val="&quot;Google Sans Mono&quot;"/>
    </font>
    <font>
      <color rgb="FFFFFFFF"/>
      <name val="Arial"/>
      <scheme val="minor"/>
    </font>
    <font>
      <sz val="9.0"/>
      <color theme="0"/>
      <name val="&quot;Google Sans Mono&quot;"/>
    </font>
    <font>
      <sz val="11.0"/>
      <color theme="1"/>
      <name val="Arial"/>
    </font>
    <font>
      <sz val="11.0"/>
      <color theme="1"/>
      <name val="Aptos Narrow"/>
    </font>
    <font>
      <sz val="9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horizontal="center" readingOrder="0" shrinkToFit="0" vertical="bottom" wrapText="0"/>
    </xf>
    <xf borderId="1" fillId="0" fontId="1" numFmtId="164" xfId="0" applyAlignment="1" applyBorder="1" applyFont="1" applyNumberFormat="1">
      <alignment readingOrder="0"/>
    </xf>
    <xf borderId="0" fillId="2" fontId="1" numFmtId="165" xfId="0" applyFill="1" applyFont="1" applyNumberFormat="1"/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readingOrder="0"/>
    </xf>
    <xf borderId="0" fillId="2" fontId="1" numFmtId="167" xfId="0" applyFont="1" applyNumberFormat="1"/>
    <xf borderId="0" fillId="2" fontId="1" numFmtId="2" xfId="0" applyFont="1" applyNumberFormat="1"/>
    <xf borderId="0" fillId="2" fontId="1" numFmtId="0" xfId="0" applyFont="1"/>
    <xf borderId="0" fillId="0" fontId="1" numFmtId="168" xfId="0" applyFont="1" applyNumberFormat="1"/>
    <xf borderId="0" fillId="0" fontId="1" numFmtId="169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7" xfId="0" applyFont="1" applyNumberFormat="1"/>
    <xf borderId="0" fillId="3" fontId="4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2" fillId="0" fontId="1" numFmtId="0" xfId="0" applyAlignment="1" applyBorder="1" applyFont="1">
      <alignment horizontal="center" readingOrder="0"/>
    </xf>
    <xf borderId="0" fillId="4" fontId="1" numFmtId="165" xfId="0" applyFill="1" applyFont="1" applyNumberForma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6" fontId="1" numFmtId="165" xfId="0" applyFill="1" applyFont="1" applyNumberFormat="1"/>
    <xf borderId="0" fillId="6" fontId="1" numFmtId="0" xfId="0" applyAlignment="1" applyFont="1">
      <alignment readingOrder="0"/>
    </xf>
    <xf borderId="2" fillId="0" fontId="5" numFmtId="0" xfId="0" applyBorder="1" applyFont="1"/>
    <xf borderId="0" fillId="0" fontId="6" numFmtId="170" xfId="0" applyAlignment="1" applyFont="1" applyNumberFormat="1">
      <alignment horizontal="center" readingOrder="0"/>
    </xf>
    <xf borderId="0" fillId="7" fontId="7" numFmtId="0" xfId="0" applyFill="1" applyFont="1"/>
    <xf borderId="0" fillId="7" fontId="7" numFmtId="165" xfId="0" applyFont="1" applyNumberFormat="1"/>
    <xf borderId="2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7" fontId="7" numFmtId="0" xfId="0" applyAlignment="1" applyFont="1">
      <alignment horizontal="center"/>
    </xf>
    <xf borderId="3" fillId="0" fontId="1" numFmtId="0" xfId="0" applyAlignment="1" applyBorder="1" applyFont="1">
      <alignment horizontal="center"/>
    </xf>
    <xf borderId="0" fillId="4" fontId="1" numFmtId="165" xfId="0" applyAlignment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5" fontId="1" numFmtId="171" xfId="0" applyAlignment="1" applyFont="1" applyNumberFormat="1">
      <alignment horizontal="center" readingOrder="0"/>
    </xf>
    <xf borderId="0" fillId="0" fontId="1" numFmtId="171" xfId="0" applyAlignment="1" applyFont="1" applyNumberFormat="1">
      <alignment readingOrder="0"/>
    </xf>
    <xf borderId="0" fillId="3" fontId="8" numFmtId="0" xfId="0" applyAlignment="1" applyFont="1">
      <alignment readingOrder="0"/>
    </xf>
    <xf borderId="0" fillId="8" fontId="1" numFmtId="165" xfId="0" applyFill="1" applyFont="1" applyNumberFormat="1"/>
    <xf borderId="0" fillId="6" fontId="4" numFmtId="0" xfId="0" applyAlignment="1" applyFont="1">
      <alignment readingOrder="0"/>
    </xf>
    <xf borderId="0" fillId="9" fontId="4" numFmtId="170" xfId="0" applyAlignment="1" applyFill="1" applyFont="1" applyNumberFormat="1">
      <alignment horizontal="center" readingOrder="0"/>
    </xf>
    <xf borderId="0" fillId="10" fontId="9" numFmtId="165" xfId="0" applyFill="1" applyFont="1" applyNumberFormat="1"/>
    <xf borderId="0" fillId="11" fontId="1" numFmtId="0" xfId="0" applyAlignment="1" applyFill="1" applyFont="1">
      <alignment readingOrder="0"/>
    </xf>
    <xf borderId="0" fillId="11" fontId="1" numFmtId="0" xfId="0" applyFont="1"/>
    <xf borderId="2" fillId="0" fontId="1" numFmtId="0" xfId="0" applyBorder="1" applyFont="1"/>
    <xf quotePrefix="1" borderId="0" fillId="0" fontId="1" numFmtId="0" xfId="0" applyAlignment="1" applyFont="1">
      <alignment readingOrder="0"/>
    </xf>
    <xf borderId="0" fillId="12" fontId="1" numFmtId="0" xfId="0" applyAlignment="1" applyFill="1" applyFont="1">
      <alignment horizontal="righ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8" fontId="1" numFmtId="0" xfId="0" applyAlignment="1" applyFont="1">
      <alignment readingOrder="0"/>
    </xf>
    <xf borderId="0" fillId="8" fontId="1" numFmtId="0" xfId="0" applyFont="1"/>
    <xf borderId="4" fillId="0" fontId="1" numFmtId="0" xfId="0" applyAlignment="1" applyBorder="1" applyFont="1">
      <alignment horizontal="center" readingOrder="0"/>
    </xf>
    <xf borderId="5" fillId="0" fontId="5" numFmtId="0" xfId="0" applyBorder="1" applyFont="1"/>
    <xf borderId="6" fillId="0" fontId="5" numFmtId="0" xfId="0" applyBorder="1" applyFont="1"/>
    <xf borderId="4" fillId="0" fontId="1" numFmtId="0" xfId="0" applyAlignment="1" applyBorder="1" applyFont="1">
      <alignment readingOrder="0"/>
    </xf>
    <xf borderId="1" fillId="13" fontId="1" numFmtId="0" xfId="0" applyAlignment="1" applyBorder="1" applyFill="1" applyFont="1">
      <alignment readingOrder="0"/>
    </xf>
    <xf borderId="1" fillId="13" fontId="1" numFmtId="0" xfId="0" applyBorder="1" applyFont="1"/>
    <xf borderId="1" fillId="13" fontId="1" numFmtId="9" xfId="0" applyAlignment="1" applyBorder="1" applyFont="1" applyNumberFormat="1">
      <alignment readingOrder="0"/>
    </xf>
    <xf borderId="4" fillId="0" fontId="10" numFmtId="0" xfId="0" applyAlignment="1" applyBorder="1" applyFont="1">
      <alignment readingOrder="0" vertical="bottom"/>
    </xf>
    <xf borderId="1" fillId="7" fontId="3" numFmtId="0" xfId="0" applyAlignment="1" applyBorder="1" applyFont="1">
      <alignment horizontal="left" readingOrder="0"/>
    </xf>
    <xf borderId="4" fillId="0" fontId="11" numFmtId="0" xfId="0" applyAlignment="1" applyBorder="1" applyFont="1">
      <alignment vertical="bottom"/>
    </xf>
    <xf borderId="0" fillId="13" fontId="1" numFmtId="0" xfId="0" applyAlignment="1" applyFont="1">
      <alignment readingOrder="0"/>
    </xf>
    <xf borderId="0" fillId="13" fontId="1" numFmtId="0" xfId="0" applyFont="1"/>
    <xf borderId="6" fillId="0" fontId="10" numFmtId="0" xfId="0" applyAlignment="1" applyBorder="1" applyFont="1">
      <alignment readingOrder="0" vertical="bottom"/>
    </xf>
    <xf borderId="0" fillId="13" fontId="1" numFmtId="0" xfId="0" applyAlignment="1" applyFont="1">
      <alignment horizontal="center" readingOrder="0"/>
    </xf>
    <xf borderId="0" fillId="14" fontId="1" numFmtId="10" xfId="0" applyFill="1" applyFont="1" applyNumberFormat="1"/>
    <xf borderId="0" fillId="0" fontId="12" numFmtId="0" xfId="0" applyAlignment="1" applyFont="1">
      <alignment horizontal="center"/>
    </xf>
    <xf borderId="0" fillId="14" fontId="1" numFmtId="165" xfId="0" applyAlignment="1" applyFont="1" applyNumberFormat="1">
      <alignment horizontal="center"/>
    </xf>
    <xf borderId="0" fillId="14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15.png"/><Relationship Id="rId6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7.png"/><Relationship Id="rId5" Type="http://schemas.openxmlformats.org/officeDocument/2006/relationships/image" Target="../media/image8.png"/><Relationship Id="rId6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Relationship Id="rId3" Type="http://schemas.openxmlformats.org/officeDocument/2006/relationships/image" Target="../media/image7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17.png"/><Relationship Id="rId3" Type="http://schemas.openxmlformats.org/officeDocument/2006/relationships/image" Target="../media/image26.png"/><Relationship Id="rId4" Type="http://schemas.openxmlformats.org/officeDocument/2006/relationships/image" Target="../media/image27.png"/><Relationship Id="rId5" Type="http://schemas.openxmlformats.org/officeDocument/2006/relationships/image" Target="../media/image14.png"/><Relationship Id="rId6" Type="http://schemas.openxmlformats.org/officeDocument/2006/relationships/image" Target="../media/image1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1.png"/><Relationship Id="rId3" Type="http://schemas.openxmlformats.org/officeDocument/2006/relationships/image" Target="../media/image19.png"/><Relationship Id="rId4" Type="http://schemas.openxmlformats.org/officeDocument/2006/relationships/image" Target="../media/image23.png"/><Relationship Id="rId5" Type="http://schemas.openxmlformats.org/officeDocument/2006/relationships/image" Target="../media/image24.png"/><Relationship Id="rId6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001000" cy="133350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200025</xdr:rowOff>
    </xdr:from>
    <xdr:ext cx="1885950" cy="95250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200025</xdr:rowOff>
    </xdr:from>
    <xdr:ext cx="952500" cy="37147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200025</xdr:rowOff>
    </xdr:from>
    <xdr:ext cx="1885950" cy="571500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45</xdr:row>
      <xdr:rowOff>200025</xdr:rowOff>
    </xdr:from>
    <xdr:ext cx="1885950" cy="571500"/>
    <xdr:pic>
      <xdr:nvPicPr>
        <xdr:cNvPr id="0" name="image1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</xdr:row>
      <xdr:rowOff>200025</xdr:rowOff>
    </xdr:from>
    <xdr:ext cx="1885950" cy="571500"/>
    <xdr:pic>
      <xdr:nvPicPr>
        <xdr:cNvPr id="0" name="image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82975" cy="424815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933450</xdr:colOff>
      <xdr:row>33</xdr:row>
      <xdr:rowOff>200025</xdr:rowOff>
    </xdr:from>
    <xdr:ext cx="1352550" cy="1057275"/>
    <xdr:pic>
      <xdr:nvPicPr>
        <xdr:cNvPr id="0" name="image10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55</xdr:row>
      <xdr:rowOff>104775</xdr:rowOff>
    </xdr:from>
    <xdr:ext cx="3638550" cy="819150"/>
    <xdr:pic>
      <xdr:nvPicPr>
        <xdr:cNvPr id="0" name="image1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46</xdr:row>
      <xdr:rowOff>200025</xdr:rowOff>
    </xdr:from>
    <xdr:ext cx="2867025" cy="971550"/>
    <xdr:pic>
      <xdr:nvPicPr>
        <xdr:cNvPr id="0" name="image7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75</xdr:row>
      <xdr:rowOff>47625</xdr:rowOff>
    </xdr:from>
    <xdr:ext cx="2066925" cy="971550"/>
    <xdr:pic>
      <xdr:nvPicPr>
        <xdr:cNvPr id="0" name="image8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67</xdr:row>
      <xdr:rowOff>0</xdr:rowOff>
    </xdr:from>
    <xdr:ext cx="1657350" cy="857250"/>
    <xdr:pic>
      <xdr:nvPicPr>
        <xdr:cNvPr id="0" name="image9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923925</xdr:colOff>
      <xdr:row>90</xdr:row>
      <xdr:rowOff>9525</xdr:rowOff>
    </xdr:from>
    <xdr:ext cx="1352550" cy="1057275"/>
    <xdr:pic>
      <xdr:nvPicPr>
        <xdr:cNvPr id="0" name="image10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923925</xdr:colOff>
      <xdr:row>98</xdr:row>
      <xdr:rowOff>200025</xdr:rowOff>
    </xdr:from>
    <xdr:ext cx="3638550" cy="819150"/>
    <xdr:pic>
      <xdr:nvPicPr>
        <xdr:cNvPr id="0" name="image1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180975</xdr:colOff>
      <xdr:row>90</xdr:row>
      <xdr:rowOff>57150</xdr:rowOff>
    </xdr:from>
    <xdr:ext cx="2867025" cy="971550"/>
    <xdr:pic>
      <xdr:nvPicPr>
        <xdr:cNvPr id="0" name="image7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</xdr:row>
      <xdr:rowOff>9525</xdr:rowOff>
    </xdr:from>
    <xdr:ext cx="5143500" cy="1171575"/>
    <xdr:pic>
      <xdr:nvPicPr>
        <xdr:cNvPr id="0" name="image1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33</xdr:row>
      <xdr:rowOff>76200</xdr:rowOff>
    </xdr:from>
    <xdr:ext cx="685800" cy="552450"/>
    <xdr:pic>
      <xdr:nvPicPr>
        <xdr:cNvPr id="0" name="image1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40</xdr:row>
      <xdr:rowOff>114300</xdr:rowOff>
    </xdr:from>
    <xdr:ext cx="2867025" cy="971550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0</xdr:rowOff>
    </xdr:from>
    <xdr:ext cx="5753100" cy="1238250"/>
    <xdr:pic>
      <xdr:nvPicPr>
        <xdr:cNvPr id="0" name="image1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696075" cy="781050"/>
    <xdr:pic>
      <xdr:nvPicPr>
        <xdr:cNvPr id="0" name="image20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200025</xdr:rowOff>
    </xdr:from>
    <xdr:ext cx="2209800" cy="933450"/>
    <xdr:pic>
      <xdr:nvPicPr>
        <xdr:cNvPr id="0" name="image1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1609725" cy="1009650"/>
    <xdr:pic>
      <xdr:nvPicPr>
        <xdr:cNvPr id="0" name="image2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25</xdr:row>
      <xdr:rowOff>200025</xdr:rowOff>
    </xdr:from>
    <xdr:ext cx="2171700" cy="695325"/>
    <xdr:pic>
      <xdr:nvPicPr>
        <xdr:cNvPr id="0" name="image27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2047875" cy="676275"/>
    <xdr:pic>
      <xdr:nvPicPr>
        <xdr:cNvPr id="0" name="image1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200025</xdr:rowOff>
    </xdr:from>
    <xdr:ext cx="1323975" cy="457200"/>
    <xdr:pic>
      <xdr:nvPicPr>
        <xdr:cNvPr id="0" name="image18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180975</xdr:rowOff>
    </xdr:from>
    <xdr:ext cx="7058025" cy="3057525"/>
    <xdr:pic>
      <xdr:nvPicPr>
        <xdr:cNvPr id="0" name="image2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27</xdr:row>
      <xdr:rowOff>57150</xdr:rowOff>
    </xdr:from>
    <xdr:ext cx="3286125" cy="685800"/>
    <xdr:pic>
      <xdr:nvPicPr>
        <xdr:cNvPr id="0" name="image2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44</xdr:row>
      <xdr:rowOff>57150</xdr:rowOff>
    </xdr:from>
    <xdr:ext cx="2524125" cy="942975"/>
    <xdr:pic>
      <xdr:nvPicPr>
        <xdr:cNvPr id="0" name="image19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53</xdr:row>
      <xdr:rowOff>123825</xdr:rowOff>
    </xdr:from>
    <xdr:ext cx="1743075" cy="704850"/>
    <xdr:pic>
      <xdr:nvPicPr>
        <xdr:cNvPr id="0" name="image2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63</xdr:row>
      <xdr:rowOff>66675</xdr:rowOff>
    </xdr:from>
    <xdr:ext cx="1781175" cy="742950"/>
    <xdr:pic>
      <xdr:nvPicPr>
        <xdr:cNvPr id="0" name="image2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75</xdr:row>
      <xdr:rowOff>76200</xdr:rowOff>
    </xdr:from>
    <xdr:ext cx="2838450" cy="752475"/>
    <xdr:pic>
      <xdr:nvPicPr>
        <xdr:cNvPr id="0" name="image2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A9" s="1" t="s">
        <v>0</v>
      </c>
      <c r="B9" s="1" t="s">
        <v>0</v>
      </c>
      <c r="C9" s="1">
        <v>1.0</v>
      </c>
      <c r="D9" s="1" t="s">
        <v>1</v>
      </c>
    </row>
    <row r="11">
      <c r="A11" s="2" t="s">
        <v>2</v>
      </c>
      <c r="B11" s="3"/>
      <c r="C11" s="2" t="s">
        <v>3</v>
      </c>
      <c r="D11" s="3"/>
      <c r="F11" s="1" t="s">
        <v>4</v>
      </c>
    </row>
    <row r="12">
      <c r="A12" s="4" t="s">
        <v>5</v>
      </c>
      <c r="B12" s="2" t="s">
        <v>6</v>
      </c>
      <c r="C12" s="5">
        <v>0.667</v>
      </c>
      <c r="D12" s="2" t="s">
        <v>7</v>
      </c>
      <c r="F12" s="6">
        <f>C12/C13</f>
        <v>2.668</v>
      </c>
    </row>
    <row r="13">
      <c r="A13" s="4" t="s">
        <v>8</v>
      </c>
      <c r="B13" s="2" t="s">
        <v>9</v>
      </c>
      <c r="C13" s="2">
        <v>0.25</v>
      </c>
      <c r="D13" s="2" t="s">
        <v>7</v>
      </c>
    </row>
    <row r="14">
      <c r="A14" s="7" t="s">
        <v>1</v>
      </c>
      <c r="B14" s="2">
        <v>4.0</v>
      </c>
      <c r="C14" s="3"/>
      <c r="D14" s="3"/>
    </row>
    <row r="16">
      <c r="A16" s="1" t="s">
        <v>10</v>
      </c>
    </row>
    <row r="18">
      <c r="C18" s="8" t="s">
        <v>11</v>
      </c>
      <c r="D18" s="9">
        <v>-1.677</v>
      </c>
    </row>
    <row r="19">
      <c r="C19" s="10" t="s">
        <v>12</v>
      </c>
      <c r="D19" s="11">
        <v>-133.8477366</v>
      </c>
    </row>
    <row r="21">
      <c r="B21" s="12" t="s">
        <v>13</v>
      </c>
      <c r="C21" s="13">
        <f>D18/D19</f>
        <v>0.01252916219</v>
      </c>
      <c r="D21" s="14">
        <f>C21*100</f>
        <v>1.252916219</v>
      </c>
      <c r="E21" s="12" t="s">
        <v>14</v>
      </c>
      <c r="F21" s="15"/>
      <c r="G21" s="15"/>
    </row>
    <row r="24">
      <c r="A24" s="1" t="s">
        <v>15</v>
      </c>
    </row>
    <row r="26">
      <c r="A26" s="1" t="s">
        <v>16</v>
      </c>
      <c r="B26" s="13">
        <f>1-C21</f>
        <v>0.9874708378</v>
      </c>
      <c r="C26" s="15"/>
      <c r="D26" s="15"/>
      <c r="E26" s="15"/>
    </row>
    <row r="27">
      <c r="B27" s="14">
        <f>B26*100</f>
        <v>98.74708378</v>
      </c>
      <c r="C27" s="12" t="s">
        <v>17</v>
      </c>
      <c r="D27" s="15"/>
      <c r="E27" s="15"/>
    </row>
    <row r="30">
      <c r="A30" s="1" t="s">
        <v>18</v>
      </c>
    </row>
    <row r="32">
      <c r="D32" s="16">
        <f>F12/(1-F12)</f>
        <v>-1.599520384</v>
      </c>
      <c r="F32" s="17">
        <f>(4+1)*(F12)^5</f>
        <v>675.9259663</v>
      </c>
      <c r="H32" s="6">
        <f>D32-(F32/F33)</f>
        <v>3.437741552</v>
      </c>
    </row>
    <row r="33">
      <c r="F33" s="18">
        <f>1-(F12)^5</f>
        <v>-134.1851933</v>
      </c>
    </row>
    <row r="39">
      <c r="A39" s="1" t="s">
        <v>19</v>
      </c>
    </row>
    <row r="41">
      <c r="C41" s="19">
        <f>H32</f>
        <v>3.437741552</v>
      </c>
      <c r="E41" s="20">
        <f>B26</f>
        <v>0.9874708378</v>
      </c>
      <c r="G41" s="6">
        <f>C41-E41</f>
        <v>2.450270714</v>
      </c>
    </row>
    <row r="45">
      <c r="A45" s="1" t="s">
        <v>20</v>
      </c>
    </row>
    <row r="48">
      <c r="F48" s="1">
        <v>0.667</v>
      </c>
      <c r="H48" s="1">
        <v>1.0</v>
      </c>
      <c r="J48" s="1">
        <v>-84.27983539</v>
      </c>
      <c r="L48" s="1">
        <v>0.247</v>
      </c>
    </row>
    <row r="49">
      <c r="J49" s="1">
        <v>-133.8477366</v>
      </c>
    </row>
    <row r="51">
      <c r="C51" s="19">
        <f>G41</f>
        <v>2.450270714</v>
      </c>
      <c r="E51" s="6">
        <f>C51/C52</f>
        <v>9.920124348</v>
      </c>
    </row>
    <row r="52">
      <c r="C52" s="18">
        <f>L48</f>
        <v>0.247</v>
      </c>
    </row>
    <row r="55">
      <c r="A55" s="1" t="s">
        <v>21</v>
      </c>
    </row>
    <row r="57">
      <c r="D57" s="19">
        <f>H32</f>
        <v>3.437741552</v>
      </c>
      <c r="F57" s="6">
        <f>D57/D58</f>
        <v>13.91798199</v>
      </c>
      <c r="G57" s="12" t="s">
        <v>22</v>
      </c>
      <c r="H57" s="15"/>
    </row>
    <row r="58">
      <c r="D58" s="18">
        <f>L48</f>
        <v>0.247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5">
      <c r="B25" s="1" t="s">
        <v>23</v>
      </c>
      <c r="C25" s="1" t="s">
        <v>24</v>
      </c>
      <c r="D25" s="1" t="s">
        <v>25</v>
      </c>
      <c r="E25" s="1" t="s">
        <v>26</v>
      </c>
    </row>
    <row r="28">
      <c r="B28" s="1" t="s">
        <v>27</v>
      </c>
      <c r="C28" s="1">
        <v>12.0</v>
      </c>
      <c r="D28" s="1" t="s">
        <v>28</v>
      </c>
    </row>
    <row r="29">
      <c r="B29" s="1" t="s">
        <v>8</v>
      </c>
      <c r="C29" s="1">
        <v>13.0</v>
      </c>
      <c r="D29" s="1" t="s">
        <v>29</v>
      </c>
      <c r="F29" s="19">
        <f>60/13</f>
        <v>4.615384615</v>
      </c>
      <c r="G29" s="1" t="s">
        <v>28</v>
      </c>
    </row>
    <row r="30">
      <c r="B30" s="1" t="s">
        <v>30</v>
      </c>
      <c r="C30" s="1">
        <v>3.0</v>
      </c>
    </row>
    <row r="34">
      <c r="B34" s="21" t="s">
        <v>31</v>
      </c>
    </row>
    <row r="37">
      <c r="E37" s="1" t="s">
        <v>25</v>
      </c>
      <c r="F37" s="1" t="s">
        <v>32</v>
      </c>
      <c r="G37" s="18">
        <f>C28/F29</f>
        <v>2.6</v>
      </c>
    </row>
    <row r="40">
      <c r="F40" s="22" t="s">
        <v>32</v>
      </c>
      <c r="G40" s="23" t="s">
        <v>5</v>
      </c>
      <c r="H40" s="1" t="s">
        <v>25</v>
      </c>
      <c r="I40" s="23">
        <v>12.0</v>
      </c>
      <c r="J40" s="1" t="s">
        <v>25</v>
      </c>
      <c r="K40" s="24">
        <f>C28/(C30*F29)</f>
        <v>0.8666666667</v>
      </c>
      <c r="M40" s="25" t="s">
        <v>33</v>
      </c>
      <c r="N40" s="26"/>
      <c r="O40" s="26"/>
      <c r="P40" s="26"/>
      <c r="Q40" s="26"/>
      <c r="R40" s="26"/>
    </row>
    <row r="41">
      <c r="F41" s="27"/>
      <c r="G41" s="28" t="s">
        <v>34</v>
      </c>
      <c r="I41" s="28" t="s">
        <v>35</v>
      </c>
    </row>
    <row r="44">
      <c r="H44" s="1" t="s">
        <v>36</v>
      </c>
      <c r="I44" s="1" t="s">
        <v>25</v>
      </c>
      <c r="J44" s="29">
        <f>G78-F69</f>
        <v>0.2166666667</v>
      </c>
      <c r="K44" s="30" t="s">
        <v>37</v>
      </c>
      <c r="L44" s="1" t="s">
        <v>38</v>
      </c>
      <c r="M44" s="18">
        <f>J44*60</f>
        <v>13</v>
      </c>
      <c r="N44" s="1" t="s">
        <v>39</v>
      </c>
    </row>
    <row r="46">
      <c r="B46" s="21" t="s">
        <v>40</v>
      </c>
    </row>
    <row r="49">
      <c r="F49" s="1" t="s">
        <v>25</v>
      </c>
      <c r="G49" s="23">
        <v>1.0</v>
      </c>
      <c r="H49" s="31"/>
      <c r="I49" s="31"/>
      <c r="J49" s="31"/>
      <c r="K49" s="31"/>
      <c r="L49" s="31"/>
      <c r="M49" s="31"/>
      <c r="N49" s="31"/>
      <c r="O49" s="31"/>
      <c r="P49" s="1" t="s">
        <v>25</v>
      </c>
      <c r="Q49" s="23">
        <v>1.0</v>
      </c>
      <c r="R49" s="31"/>
      <c r="S49" s="31"/>
      <c r="T49" s="31"/>
      <c r="U49" s="31"/>
      <c r="V49" s="28" t="s">
        <v>25</v>
      </c>
      <c r="W49" s="32">
        <f>1/((Q50)+(S50*(U50/U51)))</f>
        <v>0.03454231434</v>
      </c>
    </row>
    <row r="50">
      <c r="G50" s="18">
        <f>((G37)^0)/FACT(0)</f>
        <v>1</v>
      </c>
      <c r="H50" s="28" t="s">
        <v>41</v>
      </c>
      <c r="I50" s="18">
        <f>((G37)^1)/FACT(1)</f>
        <v>2.6</v>
      </c>
      <c r="J50" s="28" t="s">
        <v>41</v>
      </c>
      <c r="K50" s="33">
        <f>((G37)^2)/FACT(2)</f>
        <v>3.38</v>
      </c>
      <c r="L50" s="28" t="s">
        <v>41</v>
      </c>
      <c r="M50" s="34">
        <f>((G37)^3)/FACT(3)</f>
        <v>2.929333333</v>
      </c>
      <c r="N50" s="28" t="s">
        <v>42</v>
      </c>
      <c r="O50" s="35"/>
      <c r="Q50" s="36">
        <f>G50+I50+K50</f>
        <v>6.98</v>
      </c>
      <c r="R50" s="28" t="s">
        <v>41</v>
      </c>
      <c r="S50" s="37">
        <f>M50</f>
        <v>2.929333333</v>
      </c>
      <c r="T50" s="28" t="s">
        <v>42</v>
      </c>
      <c r="U50" s="38">
        <f>(C30*F29)</f>
        <v>13.84615385</v>
      </c>
    </row>
    <row r="51">
      <c r="Q51" s="36"/>
      <c r="R51" s="36"/>
      <c r="S51" s="36"/>
      <c r="T51" s="36"/>
      <c r="U51" s="39">
        <f>(C30*F29-C28)</f>
        <v>1.846153846</v>
      </c>
    </row>
    <row r="58">
      <c r="G58" s="1" t="s">
        <v>25</v>
      </c>
      <c r="H58" s="40">
        <f>((((G37)^3)/FACT(2))*((C28*F29)/((C30*F29-C28)^2)))*(W49)</f>
        <v>4.932815199</v>
      </c>
      <c r="I58" s="26"/>
      <c r="J58" s="26"/>
      <c r="K58" s="41" t="s">
        <v>43</v>
      </c>
      <c r="L58" s="42"/>
      <c r="M58" s="41"/>
      <c r="N58" s="36"/>
    </row>
    <row r="59">
      <c r="H59" s="28"/>
      <c r="L59" s="28"/>
    </row>
    <row r="62">
      <c r="L62" s="43"/>
    </row>
    <row r="66">
      <c r="B66" s="44" t="s">
        <v>44</v>
      </c>
    </row>
    <row r="69">
      <c r="E69" s="1" t="s">
        <v>25</v>
      </c>
      <c r="F69" s="19">
        <f>H58/C28</f>
        <v>0.4110679332</v>
      </c>
    </row>
    <row r="78">
      <c r="F78" s="1" t="s">
        <v>25</v>
      </c>
      <c r="G78" s="45">
        <f>F69+(1/F29)</f>
        <v>0.6277345999</v>
      </c>
      <c r="H78" s="1" t="s">
        <v>45</v>
      </c>
      <c r="I78" s="1" t="s">
        <v>38</v>
      </c>
      <c r="J78" s="18">
        <f>G78*60</f>
        <v>37.66407599</v>
      </c>
      <c r="K78" s="1" t="s">
        <v>39</v>
      </c>
      <c r="L78" s="25" t="s">
        <v>46</v>
      </c>
      <c r="M78" s="26"/>
      <c r="N78" s="26"/>
    </row>
    <row r="84">
      <c r="B84" s="46"/>
    </row>
    <row r="85">
      <c r="B85" s="21" t="s">
        <v>47</v>
      </c>
    </row>
    <row r="88">
      <c r="C88" s="1" t="s">
        <v>48</v>
      </c>
    </row>
    <row r="93">
      <c r="F93" s="1" t="s">
        <v>25</v>
      </c>
      <c r="G93" s="1" t="s">
        <v>32</v>
      </c>
      <c r="H93" s="18">
        <f>C28/F29</f>
        <v>2.6</v>
      </c>
      <c r="N93" s="1" t="s">
        <v>25</v>
      </c>
      <c r="O93" s="23">
        <v>1.0</v>
      </c>
      <c r="P93" s="31"/>
      <c r="Q93" s="31"/>
      <c r="R93" s="31"/>
      <c r="S93" s="31"/>
      <c r="T93" s="31"/>
      <c r="U93" s="31"/>
      <c r="V93" s="31"/>
      <c r="W93" s="31"/>
      <c r="X93" s="1" t="s">
        <v>25</v>
      </c>
      <c r="Y93" s="23">
        <v>1.0</v>
      </c>
      <c r="Z93" s="31"/>
      <c r="AA93" s="31"/>
      <c r="AB93" s="31"/>
      <c r="AC93" s="31"/>
      <c r="AD93" s="28" t="s">
        <v>25</v>
      </c>
      <c r="AE93" s="47">
        <f>1/((Y94)+(AA94*(AC94/AC95)))</f>
        <v>-0.1304347826</v>
      </c>
    </row>
    <row r="94">
      <c r="O94" s="18">
        <f>((O81)^0)/FACT(0)</f>
        <v>1</v>
      </c>
      <c r="P94" s="28" t="s">
        <v>41</v>
      </c>
      <c r="Q94" s="18">
        <f>((C28/F29)^1)/FACT(1)</f>
        <v>2.6</v>
      </c>
      <c r="R94" s="28" t="s">
        <v>41</v>
      </c>
      <c r="S94" s="34">
        <f>((C28/F29)^2)/FACT(2)</f>
        <v>3.38</v>
      </c>
      <c r="T94" s="28" t="s">
        <v>42</v>
      </c>
      <c r="U94" s="35" t="s">
        <v>49</v>
      </c>
      <c r="Y94" s="36">
        <f>O94+Q94</f>
        <v>3.6</v>
      </c>
      <c r="Z94" s="28" t="s">
        <v>41</v>
      </c>
      <c r="AA94" s="37">
        <f>S94</f>
        <v>3.38</v>
      </c>
      <c r="AB94" s="28" t="s">
        <v>42</v>
      </c>
      <c r="AC94" s="38">
        <f>(2*F29)</f>
        <v>9.230769231</v>
      </c>
    </row>
    <row r="95">
      <c r="U95" s="1" t="s">
        <v>50</v>
      </c>
      <c r="Y95" s="36"/>
      <c r="Z95" s="36"/>
      <c r="AA95" s="36"/>
      <c r="AB95" s="36"/>
      <c r="AC95" s="39">
        <f>(2*F29-12)</f>
        <v>-2.769230769</v>
      </c>
    </row>
    <row r="101">
      <c r="H101" s="1" t="s">
        <v>25</v>
      </c>
      <c r="I101" s="48">
        <f>((((G37)^3)/FACT(2))*((C28*F29)/((C30*F29-C28)^2)))*(AE93)</f>
        <v>-18.62673913</v>
      </c>
      <c r="K101" s="25" t="s">
        <v>51</v>
      </c>
      <c r="L101" s="26"/>
      <c r="M101" s="26"/>
      <c r="N101" s="26"/>
      <c r="O101" s="26"/>
    </row>
  </sheetData>
  <mergeCells count="4">
    <mergeCell ref="G49:O49"/>
    <mergeCell ref="O93:W93"/>
    <mergeCell ref="Y93:AC93"/>
    <mergeCell ref="Q49:U4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0">
      <c r="B10" s="1" t="s">
        <v>52</v>
      </c>
    </row>
    <row r="12">
      <c r="B12" s="1" t="s">
        <v>53</v>
      </c>
      <c r="C12" s="1">
        <v>4.0</v>
      </c>
    </row>
    <row r="13">
      <c r="B13" s="1" t="s">
        <v>54</v>
      </c>
      <c r="C13" s="1">
        <v>3.0</v>
      </c>
      <c r="D13" s="1" t="s">
        <v>55</v>
      </c>
    </row>
    <row r="14">
      <c r="B14" s="1" t="s">
        <v>56</v>
      </c>
      <c r="C14" s="1">
        <v>1.0</v>
      </c>
      <c r="D14" s="1" t="s">
        <v>55</v>
      </c>
    </row>
    <row r="17">
      <c r="B17" s="1" t="s">
        <v>57</v>
      </c>
    </row>
    <row r="19">
      <c r="C19" s="1" t="s">
        <v>58</v>
      </c>
      <c r="E19" s="1">
        <v>40.0</v>
      </c>
      <c r="F19" s="1" t="s">
        <v>59</v>
      </c>
      <c r="I19" s="49" t="s">
        <v>60</v>
      </c>
      <c r="J19" s="50"/>
      <c r="K19" s="50"/>
    </row>
    <row r="20">
      <c r="C20" s="1" t="s">
        <v>61</v>
      </c>
    </row>
    <row r="21">
      <c r="C21" s="1" t="s">
        <v>62</v>
      </c>
      <c r="E21" s="1" t="s">
        <v>63</v>
      </c>
      <c r="F21" s="1">
        <v>8.0</v>
      </c>
      <c r="G21" s="1" t="s">
        <v>64</v>
      </c>
    </row>
    <row r="24">
      <c r="C24" s="1" t="s">
        <v>65</v>
      </c>
      <c r="D24" s="50">
        <f>F21*E19</f>
        <v>320</v>
      </c>
      <c r="E24" s="49" t="s">
        <v>66</v>
      </c>
    </row>
    <row r="26">
      <c r="B26" s="1" t="s">
        <v>67</v>
      </c>
    </row>
    <row r="27">
      <c r="C27" s="1" t="s">
        <v>68</v>
      </c>
    </row>
    <row r="29">
      <c r="D29" s="1">
        <v>0.0</v>
      </c>
      <c r="E29" s="1" t="s">
        <v>69</v>
      </c>
    </row>
    <row r="32">
      <c r="B32" s="1" t="s">
        <v>70</v>
      </c>
    </row>
    <row r="35">
      <c r="C35" s="18">
        <f>C13/(C14*C12)</f>
        <v>0.75</v>
      </c>
      <c r="E35" s="49" t="s">
        <v>71</v>
      </c>
      <c r="F35" s="50"/>
      <c r="G35" s="50"/>
    </row>
    <row r="39">
      <c r="B39" s="1" t="s">
        <v>72</v>
      </c>
    </row>
    <row r="44">
      <c r="G44" s="1" t="s">
        <v>25</v>
      </c>
      <c r="H44" s="23">
        <v>1.0</v>
      </c>
      <c r="I44" s="31"/>
      <c r="J44" s="31"/>
      <c r="K44" s="31"/>
      <c r="L44" s="31"/>
      <c r="M44" s="31"/>
      <c r="N44" s="31"/>
      <c r="O44" s="31"/>
      <c r="P44" s="31"/>
      <c r="Q44" s="51"/>
      <c r="R44" s="51"/>
      <c r="S44" s="1" t="s">
        <v>63</v>
      </c>
      <c r="T44" s="23">
        <v>1.0</v>
      </c>
      <c r="U44" s="31"/>
      <c r="V44" s="31"/>
      <c r="W44" s="31"/>
      <c r="X44" s="31"/>
      <c r="Y44" s="1" t="s">
        <v>63</v>
      </c>
      <c r="Z44" s="50">
        <f>1/(T45+V45*X45)</f>
        <v>0.04664723032</v>
      </c>
    </row>
    <row r="45">
      <c r="H45" s="18">
        <f>((H32)^0)/FACT(0)</f>
        <v>1</v>
      </c>
      <c r="I45" s="28" t="s">
        <v>41</v>
      </c>
      <c r="J45" s="18">
        <f>((C13/C14)^1)/FACT(1)</f>
        <v>3</v>
      </c>
      <c r="K45" s="28" t="s">
        <v>41</v>
      </c>
      <c r="L45" s="33">
        <f>((C13/C14)^2)/FACT(2)</f>
        <v>4.5</v>
      </c>
      <c r="M45" s="28" t="s">
        <v>41</v>
      </c>
      <c r="N45" s="34">
        <f>((C13/C14)^3)/FACT(3)</f>
        <v>4.5</v>
      </c>
      <c r="O45" s="28" t="s">
        <v>73</v>
      </c>
      <c r="P45" s="35">
        <f>(C13/C14)^4</f>
        <v>81</v>
      </c>
      <c r="Q45" s="52" t="s">
        <v>74</v>
      </c>
      <c r="R45" s="1" t="s">
        <v>75</v>
      </c>
      <c r="T45" s="19">
        <f>H45+J45+L45+N45</f>
        <v>13</v>
      </c>
      <c r="U45" s="52" t="s">
        <v>76</v>
      </c>
      <c r="V45" s="18">
        <f>P45/P46</f>
        <v>3.375</v>
      </c>
      <c r="W45" s="52" t="s">
        <v>74</v>
      </c>
      <c r="X45" s="18">
        <f>(4+1)/(4+1-3)</f>
        <v>2.5</v>
      </c>
    </row>
    <row r="46">
      <c r="P46" s="18">
        <f>FACT(4)</f>
        <v>24</v>
      </c>
      <c r="R46" s="1" t="s">
        <v>77</v>
      </c>
    </row>
  </sheetData>
  <mergeCells count="2">
    <mergeCell ref="H44:P44"/>
    <mergeCell ref="T44:X4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3.25"/>
  </cols>
  <sheetData>
    <row r="9">
      <c r="B9" s="1" t="s">
        <v>78</v>
      </c>
    </row>
    <row r="10">
      <c r="A10" s="22"/>
      <c r="B10" s="1" t="s">
        <v>79</v>
      </c>
      <c r="E10" s="1">
        <v>1.0</v>
      </c>
      <c r="F10" s="1">
        <v>60.0</v>
      </c>
      <c r="G10" s="18">
        <f>F10/F11</f>
        <v>6</v>
      </c>
      <c r="H10" s="1" t="s">
        <v>80</v>
      </c>
    </row>
    <row r="11">
      <c r="B11" s="1" t="s">
        <v>81</v>
      </c>
      <c r="E11" s="1">
        <v>4.0</v>
      </c>
      <c r="F11" s="1">
        <v>10.0</v>
      </c>
      <c r="G11" s="18">
        <f>MULTIPLY(G10,F10)</f>
        <v>360</v>
      </c>
      <c r="H11" s="1" t="s">
        <v>82</v>
      </c>
    </row>
    <row r="12">
      <c r="B12" s="1" t="s">
        <v>83</v>
      </c>
      <c r="G12" s="18">
        <f>MULTIPLY(E11,F10)</f>
        <v>240</v>
      </c>
      <c r="H12" s="1" t="s">
        <v>82</v>
      </c>
    </row>
    <row r="13">
      <c r="B13" s="1" t="s">
        <v>84</v>
      </c>
    </row>
    <row r="15">
      <c r="A15" s="53" t="s">
        <v>85</v>
      </c>
      <c r="B15" s="1" t="s">
        <v>86</v>
      </c>
    </row>
    <row r="17">
      <c r="B17" s="1" t="s">
        <v>87</v>
      </c>
      <c r="C17" s="1"/>
      <c r="D17" s="1" t="s">
        <v>88</v>
      </c>
    </row>
    <row r="19">
      <c r="B19" s="22" t="s">
        <v>89</v>
      </c>
      <c r="C19" s="54">
        <f>POW(G12,2)</f>
        <v>57600</v>
      </c>
      <c r="D19" s="18">
        <f>DIVIDE(C19,C20)</f>
        <v>1.333333333</v>
      </c>
    </row>
    <row r="20">
      <c r="C20" s="55">
        <v>43200.0</v>
      </c>
      <c r="F20" s="56" t="s">
        <v>90</v>
      </c>
      <c r="G20" s="57"/>
      <c r="H20" s="57"/>
      <c r="I20" s="57"/>
      <c r="J20" s="57"/>
    </row>
    <row r="22">
      <c r="A22" s="53" t="s">
        <v>91</v>
      </c>
      <c r="B22" s="1" t="s">
        <v>92</v>
      </c>
    </row>
    <row r="24">
      <c r="B24" s="1" t="s">
        <v>93</v>
      </c>
      <c r="D24" s="1" t="s">
        <v>94</v>
      </c>
    </row>
    <row r="26">
      <c r="B26" s="22" t="s">
        <v>89</v>
      </c>
      <c r="C26" s="55">
        <v>240.0</v>
      </c>
      <c r="D26" s="54">
        <f>DIVIDE(C26,C27)</f>
        <v>2</v>
      </c>
    </row>
    <row r="27">
      <c r="C27" s="55">
        <v>120.0</v>
      </c>
      <c r="F27" s="56" t="s">
        <v>95</v>
      </c>
      <c r="G27" s="57"/>
      <c r="H27" s="57"/>
      <c r="I27" s="57"/>
      <c r="J27" s="57"/>
      <c r="K27" s="57"/>
    </row>
    <row r="29">
      <c r="A29" s="53" t="s">
        <v>96</v>
      </c>
      <c r="B29" s="1" t="s">
        <v>97</v>
      </c>
    </row>
    <row r="31">
      <c r="B31" s="1" t="s">
        <v>98</v>
      </c>
      <c r="D31" s="1" t="s">
        <v>99</v>
      </c>
      <c r="F31" s="22" t="s">
        <v>100</v>
      </c>
      <c r="G31" s="55">
        <v>1.0</v>
      </c>
      <c r="H31" s="18">
        <f>DIVIDE(G31,G32)</f>
        <v>0.008333333333</v>
      </c>
    </row>
    <row r="32">
      <c r="G32" s="55">
        <v>120.0</v>
      </c>
    </row>
    <row r="34">
      <c r="B34" s="22" t="s">
        <v>101</v>
      </c>
      <c r="C34" s="27">
        <f>MULTIPLY(H31,3600)</f>
        <v>30</v>
      </c>
      <c r="D34" s="1" t="s">
        <v>102</v>
      </c>
    </row>
    <row r="36">
      <c r="B36" s="1" t="s">
        <v>103</v>
      </c>
      <c r="D36" s="1" t="s">
        <v>104</v>
      </c>
      <c r="F36" s="1">
        <v>240.0</v>
      </c>
      <c r="G36" s="18">
        <f>DIVIDE(F36,F37)</f>
        <v>0.005555555556</v>
      </c>
    </row>
    <row r="37">
      <c r="F37" s="1">
        <v>43200.0</v>
      </c>
    </row>
    <row r="39">
      <c r="B39" s="22" t="s">
        <v>105</v>
      </c>
      <c r="C39" s="18">
        <f>MULTIPLY(G36,3600)</f>
        <v>20</v>
      </c>
      <c r="D39" s="1" t="s">
        <v>102</v>
      </c>
      <c r="F39" s="56" t="s">
        <v>106</v>
      </c>
      <c r="G39" s="57"/>
      <c r="H39" s="57"/>
      <c r="I39" s="57"/>
      <c r="J39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.0"/>
    <col customWidth="1" min="4" max="4" width="8.0"/>
    <col customWidth="1" min="5" max="5" width="19.75"/>
    <col customWidth="1" min="11" max="11" width="19.25"/>
    <col customWidth="1" min="12" max="12" width="79.38"/>
    <col customWidth="1" min="13" max="13" width="4.5"/>
    <col customWidth="1" min="14" max="14" width="10.25"/>
  </cols>
  <sheetData>
    <row r="1">
      <c r="I1" s="58" t="s">
        <v>107</v>
      </c>
      <c r="J1" s="59"/>
      <c r="K1" s="59"/>
      <c r="L1" s="59"/>
      <c r="M1" s="59"/>
      <c r="N1" s="60"/>
    </row>
    <row r="2">
      <c r="I2" s="61" t="s">
        <v>108</v>
      </c>
      <c r="J2" s="59"/>
      <c r="K2" s="60"/>
      <c r="L2" s="62" t="s">
        <v>109</v>
      </c>
      <c r="M2" s="63">
        <f>D7</f>
        <v>12</v>
      </c>
      <c r="N2" s="62" t="s">
        <v>110</v>
      </c>
    </row>
    <row r="3">
      <c r="I3" s="61" t="s">
        <v>111</v>
      </c>
      <c r="J3" s="59"/>
      <c r="K3" s="60"/>
      <c r="L3" s="62" t="s">
        <v>112</v>
      </c>
      <c r="M3" s="62">
        <v>5.0</v>
      </c>
      <c r="N3" s="62" t="s">
        <v>110</v>
      </c>
    </row>
    <row r="4">
      <c r="I4" s="61" t="s">
        <v>113</v>
      </c>
      <c r="J4" s="59"/>
      <c r="K4" s="60"/>
      <c r="L4" s="62" t="s">
        <v>114</v>
      </c>
      <c r="M4" s="64">
        <v>0.75</v>
      </c>
      <c r="N4" s="63"/>
    </row>
    <row r="5">
      <c r="I5" s="2" t="s">
        <v>115</v>
      </c>
      <c r="J5" s="2"/>
      <c r="K5" s="2"/>
      <c r="L5" s="62" t="s">
        <v>116</v>
      </c>
      <c r="M5" s="64">
        <v>0.25</v>
      </c>
      <c r="N5" s="63"/>
    </row>
    <row r="6">
      <c r="I6" s="2" t="s">
        <v>117</v>
      </c>
      <c r="J6" s="2"/>
      <c r="K6" s="2"/>
      <c r="L6" s="62" t="s">
        <v>118</v>
      </c>
      <c r="M6" s="63">
        <f>E18</f>
        <v>1.125</v>
      </c>
      <c r="N6" s="62"/>
    </row>
    <row r="7">
      <c r="A7" s="2" t="s">
        <v>108</v>
      </c>
      <c r="B7" s="65" t="s">
        <v>119</v>
      </c>
      <c r="C7" s="60"/>
      <c r="D7" s="2">
        <f>60/5</f>
        <v>12</v>
      </c>
      <c r="E7" s="66" t="s">
        <v>110</v>
      </c>
      <c r="I7" s="2" t="s">
        <v>120</v>
      </c>
      <c r="J7" s="2"/>
      <c r="K7" s="2"/>
      <c r="L7" s="62" t="s">
        <v>121</v>
      </c>
      <c r="M7" s="63">
        <f>E33</f>
        <v>1.875</v>
      </c>
      <c r="N7" s="63"/>
    </row>
    <row r="8">
      <c r="A8" s="2" t="s">
        <v>122</v>
      </c>
      <c r="B8" s="67" t="s">
        <v>5</v>
      </c>
      <c r="C8" s="60"/>
      <c r="D8" s="2">
        <v>9.0</v>
      </c>
      <c r="E8" s="66" t="s">
        <v>110</v>
      </c>
      <c r="I8" s="2" t="s">
        <v>123</v>
      </c>
      <c r="J8" s="2"/>
      <c r="K8" s="2"/>
      <c r="L8" s="68" t="s">
        <v>124</v>
      </c>
      <c r="M8" s="63">
        <f>F24</f>
        <v>7.5</v>
      </c>
      <c r="N8" s="62" t="s">
        <v>39</v>
      </c>
    </row>
    <row r="9">
      <c r="A9" s="2" t="s">
        <v>125</v>
      </c>
      <c r="B9" s="65" t="s">
        <v>126</v>
      </c>
      <c r="C9" s="60"/>
      <c r="D9" s="3">
        <f>D8/D7</f>
        <v>0.75</v>
      </c>
      <c r="E9" s="2" t="s">
        <v>127</v>
      </c>
      <c r="F9" s="3"/>
      <c r="I9" s="2" t="s">
        <v>128</v>
      </c>
      <c r="J9" s="3"/>
      <c r="K9" s="3"/>
      <c r="L9" s="62" t="s">
        <v>129</v>
      </c>
      <c r="M9" s="63">
        <f>F29</f>
        <v>12.5</v>
      </c>
      <c r="N9" s="62" t="s">
        <v>39</v>
      </c>
    </row>
    <row r="11">
      <c r="D11" s="69">
        <f>1-D9</f>
        <v>0.25</v>
      </c>
    </row>
    <row r="14">
      <c r="A14" s="1" t="s">
        <v>130</v>
      </c>
    </row>
    <row r="15">
      <c r="C15" s="65" t="s">
        <v>119</v>
      </c>
      <c r="D15" s="70" t="s">
        <v>131</v>
      </c>
      <c r="E15" s="1" t="s">
        <v>132</v>
      </c>
      <c r="F15" s="69">
        <f>60/5</f>
        <v>12</v>
      </c>
    </row>
    <row r="16">
      <c r="A16" s="1" t="s">
        <v>133</v>
      </c>
    </row>
    <row r="18">
      <c r="E18" s="69">
        <f>(D9^2)/(2*(1-D9))</f>
        <v>1.125</v>
      </c>
    </row>
    <row r="21">
      <c r="G21" s="28"/>
    </row>
    <row r="22">
      <c r="G22" s="28"/>
    </row>
    <row r="23">
      <c r="F23" s="28"/>
    </row>
    <row r="24">
      <c r="E24" s="69">
        <f>E18/D8</f>
        <v>0.125</v>
      </c>
      <c r="F24" s="71">
        <f>E24*60</f>
        <v>7.5</v>
      </c>
      <c r="G24" s="1" t="s">
        <v>39</v>
      </c>
    </row>
    <row r="26">
      <c r="G26" s="28"/>
      <c r="L26" s="1"/>
    </row>
    <row r="27">
      <c r="G27" s="28"/>
    </row>
    <row r="28">
      <c r="E28" s="28"/>
      <c r="F28" s="28"/>
    </row>
    <row r="29">
      <c r="E29" s="71">
        <f>E24+1/D7</f>
        <v>0.2083333333</v>
      </c>
      <c r="F29" s="69">
        <f>E29*60</f>
        <v>12.5</v>
      </c>
      <c r="G29" s="1" t="s">
        <v>39</v>
      </c>
    </row>
    <row r="33">
      <c r="E33" s="69">
        <f>E18+D9</f>
        <v>1.875</v>
      </c>
    </row>
    <row r="34">
      <c r="E34" s="28"/>
    </row>
  </sheetData>
  <mergeCells count="8">
    <mergeCell ref="I1:N1"/>
    <mergeCell ref="I3:K3"/>
    <mergeCell ref="I2:K2"/>
    <mergeCell ref="I4:K4"/>
    <mergeCell ref="B8:C8"/>
    <mergeCell ref="B7:C7"/>
    <mergeCell ref="B9:C9"/>
    <mergeCell ref="E34:E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</cols>
  <sheetData>
    <row r="2">
      <c r="I2" s="1" t="s">
        <v>134</v>
      </c>
    </row>
    <row r="21">
      <c r="B21" s="28" t="s">
        <v>122</v>
      </c>
      <c r="C21" s="28" t="s">
        <v>5</v>
      </c>
      <c r="D21" s="28">
        <v>42.0</v>
      </c>
      <c r="E21" s="28" t="s">
        <v>135</v>
      </c>
    </row>
    <row r="22">
      <c r="B22" s="28" t="s">
        <v>136</v>
      </c>
      <c r="C22" s="28" t="s">
        <v>8</v>
      </c>
      <c r="D22" s="28">
        <v>20.0</v>
      </c>
      <c r="E22" s="28" t="s">
        <v>135</v>
      </c>
      <c r="G22" s="1" t="s">
        <v>137</v>
      </c>
      <c r="I22" s="18">
        <v>18.807465267425908</v>
      </c>
    </row>
    <row r="23">
      <c r="B23" s="28" t="s">
        <v>138</v>
      </c>
      <c r="C23" s="28" t="s">
        <v>1</v>
      </c>
      <c r="D23" s="28">
        <v>3.0</v>
      </c>
      <c r="E23" s="36"/>
    </row>
    <row r="24">
      <c r="C24" s="28" t="s">
        <v>139</v>
      </c>
      <c r="D24" s="36">
        <f>D21/20</f>
        <v>2.1</v>
      </c>
    </row>
    <row r="27">
      <c r="B27" s="1" t="s">
        <v>31</v>
      </c>
    </row>
    <row r="33">
      <c r="B33" s="28" t="s">
        <v>140</v>
      </c>
      <c r="C33" s="28" t="s">
        <v>25</v>
      </c>
      <c r="D33" s="36">
        <f>(D24^0)*(1-D24)</f>
        <v>-1.1</v>
      </c>
      <c r="E33" s="28" t="s">
        <v>141</v>
      </c>
      <c r="F33" s="36">
        <f>1-D24^(D23+1)</f>
        <v>-18.4481</v>
      </c>
      <c r="G33" s="28" t="s">
        <v>25</v>
      </c>
      <c r="H33" s="37">
        <f>D33/F33</f>
        <v>0.05962673663</v>
      </c>
      <c r="I33" s="72">
        <f>H33</f>
        <v>0.05962673663</v>
      </c>
      <c r="J33" s="41" t="s">
        <v>142</v>
      </c>
    </row>
    <row r="34">
      <c r="B34" s="36"/>
      <c r="C34" s="36"/>
      <c r="D34" s="36"/>
      <c r="E34" s="36"/>
      <c r="F34" s="36"/>
      <c r="G34" s="36"/>
      <c r="H34" s="37"/>
    </row>
    <row r="35">
      <c r="B35" s="28" t="s">
        <v>143</v>
      </c>
      <c r="C35" s="28" t="s">
        <v>25</v>
      </c>
      <c r="D35" s="73">
        <f>(D24^1)*(1-D24)</f>
        <v>-2.31</v>
      </c>
      <c r="E35" s="28" t="s">
        <v>141</v>
      </c>
      <c r="F35" s="36">
        <f>1-D24^(D23+1)</f>
        <v>-18.4481</v>
      </c>
      <c r="G35" s="28" t="s">
        <v>25</v>
      </c>
      <c r="H35" s="37">
        <f>D35/F35</f>
        <v>0.1252161469</v>
      </c>
      <c r="I35" s="72">
        <f>H35</f>
        <v>0.1252161469</v>
      </c>
      <c r="J35" s="41" t="s">
        <v>144</v>
      </c>
    </row>
    <row r="36">
      <c r="B36" s="36"/>
      <c r="C36" s="36"/>
      <c r="D36" s="36"/>
      <c r="E36" s="36"/>
      <c r="F36" s="36"/>
      <c r="G36" s="36"/>
      <c r="H36" s="37"/>
    </row>
    <row r="37">
      <c r="B37" s="28" t="s">
        <v>145</v>
      </c>
      <c r="C37" s="28" t="s">
        <v>25</v>
      </c>
      <c r="D37" s="73">
        <f>(D24^2)*(1-D24)</f>
        <v>-4.851</v>
      </c>
      <c r="E37" s="28" t="s">
        <v>141</v>
      </c>
      <c r="F37" s="73">
        <f>1-D24^(D23+1)</f>
        <v>-18.4481</v>
      </c>
      <c r="G37" s="28" t="s">
        <v>25</v>
      </c>
      <c r="H37" s="37">
        <f>D37/F37</f>
        <v>0.2629539085</v>
      </c>
      <c r="I37" s="72">
        <f>H37</f>
        <v>0.2629539085</v>
      </c>
      <c r="J37" s="41" t="s">
        <v>146</v>
      </c>
    </row>
    <row r="38">
      <c r="H38" s="19"/>
    </row>
    <row r="39">
      <c r="B39" s="28" t="s">
        <v>147</v>
      </c>
      <c r="C39" s="28" t="s">
        <v>25</v>
      </c>
      <c r="D39" s="73">
        <f>(D24^3)*(1-D24)</f>
        <v>-10.1871</v>
      </c>
      <c r="E39" s="28" t="s">
        <v>141</v>
      </c>
      <c r="F39" s="73">
        <f>1-D24^(D23+1)</f>
        <v>-18.4481</v>
      </c>
      <c r="G39" s="28" t="s">
        <v>25</v>
      </c>
      <c r="H39" s="37">
        <f>D39/F39</f>
        <v>0.5522032079</v>
      </c>
      <c r="I39" s="72">
        <f>H39</f>
        <v>0.5522032079</v>
      </c>
      <c r="J39" s="41" t="s">
        <v>148</v>
      </c>
    </row>
    <row r="42">
      <c r="B42" s="1" t="s">
        <v>40</v>
      </c>
    </row>
    <row r="44">
      <c r="B44" s="1" t="s">
        <v>149</v>
      </c>
    </row>
    <row r="52">
      <c r="B52" s="28" t="s">
        <v>150</v>
      </c>
      <c r="C52" s="28" t="s">
        <v>25</v>
      </c>
      <c r="D52" s="36">
        <f>(D24/(1/D24))</f>
        <v>4.41</v>
      </c>
      <c r="E52" s="28" t="s">
        <v>151</v>
      </c>
      <c r="F52" s="36">
        <f>((D23+1)*D24^(D23+1))/(1-D24^(D23+1))</f>
        <v>-4.216824497</v>
      </c>
      <c r="G52" s="28" t="s">
        <v>25</v>
      </c>
      <c r="H52" s="74">
        <f>D52-F52</f>
        <v>8.626824497</v>
      </c>
      <c r="I52" s="41" t="s">
        <v>152</v>
      </c>
    </row>
    <row r="59">
      <c r="B59" s="28" t="s">
        <v>153</v>
      </c>
      <c r="C59" s="28" t="s">
        <v>25</v>
      </c>
      <c r="D59" s="74">
        <f>H52-(1-H33)</f>
        <v>7.686451233</v>
      </c>
      <c r="E59" s="41" t="s">
        <v>154</v>
      </c>
    </row>
    <row r="63">
      <c r="B63" s="1" t="s">
        <v>155</v>
      </c>
    </row>
    <row r="70">
      <c r="B70" s="28" t="s">
        <v>156</v>
      </c>
      <c r="C70" s="28" t="s">
        <v>25</v>
      </c>
      <c r="D70" s="74">
        <f>H52/42*(18.8074)</f>
        <v>3.86305093</v>
      </c>
      <c r="E70" s="75" t="s">
        <v>37</v>
      </c>
      <c r="F70" s="74">
        <f>D70*60</f>
        <v>231.7830558</v>
      </c>
      <c r="G70" s="75" t="s">
        <v>39</v>
      </c>
      <c r="H70" s="41" t="s">
        <v>157</v>
      </c>
    </row>
    <row r="74">
      <c r="B74" s="1" t="s">
        <v>158</v>
      </c>
    </row>
    <row r="82">
      <c r="B82" s="28" t="s">
        <v>159</v>
      </c>
      <c r="C82" s="28" t="s">
        <v>25</v>
      </c>
      <c r="D82" s="74">
        <f>D70-(1/D22)</f>
        <v>3.81305093</v>
      </c>
      <c r="E82" s="75" t="s">
        <v>37</v>
      </c>
      <c r="F82" s="74">
        <f>D82*60</f>
        <v>228.7830558</v>
      </c>
      <c r="G82" s="75" t="s">
        <v>39</v>
      </c>
      <c r="H82" s="41" t="s">
        <v>160</v>
      </c>
    </row>
    <row r="89">
      <c r="B89" s="1"/>
    </row>
  </sheetData>
  <mergeCells count="8">
    <mergeCell ref="J39:M39"/>
    <mergeCell ref="J33:M33"/>
    <mergeCell ref="J35:M35"/>
    <mergeCell ref="J37:M37"/>
    <mergeCell ref="I52:L52"/>
    <mergeCell ref="E59:H59"/>
    <mergeCell ref="H70:L70"/>
    <mergeCell ref="H82:L82"/>
  </mergeCells>
  <drawing r:id="rId1"/>
</worksheet>
</file>