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del\Downloads\"/>
    </mc:Choice>
  </mc:AlternateContent>
  <xr:revisionPtr revIDLastSave="0" documentId="13_ncr:1_{F901E61A-8D99-4DA5-BB3B-E26002373C5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Problema 1" sheetId="1" r:id="rId1"/>
    <sheet name="Problema 2" sheetId="2" r:id="rId2"/>
    <sheet name="Problema 3" sheetId="3" r:id="rId3"/>
    <sheet name="Problema4" sheetId="4" r:id="rId4"/>
    <sheet name="Problema 5" sheetId="5" r:id="rId5"/>
    <sheet name="Problema 6" sheetId="6" r:id="rId6"/>
    <sheet name="Problema 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6" l="1"/>
  <c r="H24" i="6"/>
  <c r="F18" i="7"/>
  <c r="C13" i="7"/>
  <c r="F20" i="7" s="1"/>
  <c r="E15" i="6"/>
  <c r="C22" i="6" s="1"/>
  <c r="I14" i="5"/>
  <c r="C14" i="5"/>
  <c r="F46" i="4"/>
  <c r="F35" i="4"/>
  <c r="D39" i="4" s="1"/>
  <c r="F28" i="4"/>
  <c r="F23" i="4"/>
  <c r="H51" i="3"/>
  <c r="H50" i="3"/>
  <c r="I49" i="3"/>
  <c r="F49" i="3" s="1"/>
  <c r="H49" i="3"/>
  <c r="D28" i="3"/>
  <c r="H21" i="3"/>
  <c r="D38" i="3" s="1"/>
  <c r="H20" i="3"/>
  <c r="I50" i="3" s="1"/>
  <c r="F50" i="3" s="1"/>
  <c r="E19" i="3"/>
  <c r="D51" i="3" s="1"/>
  <c r="E31" i="2"/>
  <c r="E30" i="2"/>
  <c r="E29" i="2"/>
  <c r="E28" i="2"/>
  <c r="E27" i="2"/>
  <c r="E26" i="2"/>
  <c r="E25" i="2"/>
  <c r="N24" i="2"/>
  <c r="E24" i="2"/>
  <c r="N23" i="2"/>
  <c r="E23" i="2"/>
  <c r="N22" i="2"/>
  <c r="O22" i="2" s="1"/>
  <c r="O23" i="2" s="1"/>
  <c r="E22" i="2"/>
  <c r="F22" i="2" s="1"/>
  <c r="H35" i="1"/>
  <c r="H34" i="1"/>
  <c r="H33" i="1"/>
  <c r="H32" i="1"/>
  <c r="H31" i="1"/>
  <c r="H30" i="1"/>
  <c r="H29" i="1"/>
  <c r="H28" i="1"/>
  <c r="H27" i="1"/>
  <c r="H26" i="1"/>
  <c r="H25" i="1"/>
  <c r="H24" i="1"/>
  <c r="O5" i="1"/>
  <c r="H23" i="1"/>
  <c r="O4" i="1"/>
  <c r="Q4" i="1" s="1"/>
  <c r="H22" i="1"/>
  <c r="P3" i="1"/>
  <c r="P4" i="1" s="1"/>
  <c r="P5" i="1" s="1"/>
  <c r="O3" i="1"/>
  <c r="H21" i="1"/>
  <c r="H20" i="1"/>
  <c r="I20" i="1" s="1"/>
  <c r="D30" i="3" l="1"/>
  <c r="G36" i="3"/>
  <c r="E49" i="3" s="1"/>
  <c r="I51" i="3"/>
  <c r="F23" i="2"/>
  <c r="O24" i="2"/>
  <c r="E32" i="2"/>
  <c r="G23" i="2" s="1"/>
  <c r="I22" i="2" s="1"/>
  <c r="P22" i="2" s="1"/>
  <c r="Q22" i="2" s="1"/>
  <c r="C25" i="6"/>
  <c r="H26" i="6" s="1"/>
  <c r="C27" i="6"/>
  <c r="C23" i="6"/>
  <c r="C26" i="6"/>
  <c r="F24" i="2"/>
  <c r="I21" i="1"/>
  <c r="C34" i="7"/>
  <c r="C35" i="7" s="1"/>
  <c r="E34" i="7" s="1"/>
  <c r="E35" i="7" s="1"/>
  <c r="G34" i="7" s="1"/>
  <c r="G35" i="7" s="1"/>
  <c r="H36" i="1"/>
  <c r="J20" i="1" s="1"/>
  <c r="K20" i="1" s="1"/>
  <c r="G37" i="3"/>
  <c r="E50" i="3" s="1"/>
  <c r="C27" i="7"/>
  <c r="F27" i="7" s="1"/>
  <c r="D50" i="3"/>
  <c r="D29" i="3"/>
  <c r="D49" i="3"/>
  <c r="C23" i="5"/>
  <c r="C40" i="5" s="1"/>
  <c r="D36" i="3"/>
  <c r="C28" i="5"/>
  <c r="C41" i="5" s="1"/>
  <c r="D37" i="3"/>
  <c r="C28" i="6" l="1"/>
  <c r="H27" i="6" s="1"/>
  <c r="G49" i="3"/>
  <c r="F51" i="3"/>
  <c r="G38" i="3"/>
  <c r="E51" i="3" s="1"/>
  <c r="G51" i="3" s="1"/>
  <c r="G50" i="3"/>
  <c r="G22" i="2"/>
  <c r="G24" i="2"/>
  <c r="F25" i="2"/>
  <c r="J21" i="1"/>
  <c r="K21" i="1" s="1"/>
  <c r="I22" i="1"/>
  <c r="C34" i="5"/>
  <c r="C42" i="5" s="1"/>
  <c r="F26" i="2" l="1"/>
  <c r="G25" i="2"/>
  <c r="I24" i="2" s="1"/>
  <c r="P23" i="2" s="1"/>
  <c r="Q23" i="2" s="1"/>
  <c r="J22" i="1"/>
  <c r="K22" i="1" s="1"/>
  <c r="I23" i="1"/>
  <c r="J23" i="1" l="1"/>
  <c r="K23" i="1" s="1"/>
  <c r="I24" i="1"/>
  <c r="G26" i="2"/>
  <c r="F27" i="2"/>
  <c r="F28" i="2" l="1"/>
  <c r="G27" i="2"/>
  <c r="I25" i="1"/>
  <c r="J24" i="1"/>
  <c r="K24" i="1" s="1"/>
  <c r="J25" i="1" l="1"/>
  <c r="K25" i="1" s="1"/>
  <c r="I26" i="1"/>
  <c r="F29" i="2"/>
  <c r="G28" i="2"/>
  <c r="G29" i="2" l="1"/>
  <c r="F30" i="2"/>
  <c r="I27" i="1"/>
  <c r="J26" i="1"/>
  <c r="K26" i="1" s="1"/>
  <c r="J27" i="1" l="1"/>
  <c r="K27" i="1" s="1"/>
  <c r="I28" i="1"/>
  <c r="F31" i="2"/>
  <c r="G31" i="2" s="1"/>
  <c r="I26" i="2" s="1"/>
  <c r="P24" i="2" s="1"/>
  <c r="Q24" i="2" s="1"/>
  <c r="G30" i="2"/>
  <c r="I29" i="1" l="1"/>
  <c r="J28" i="1"/>
  <c r="K28" i="1" s="1"/>
  <c r="J29" i="1" l="1"/>
  <c r="K29" i="1" s="1"/>
  <c r="I30" i="1"/>
  <c r="I31" i="1" l="1"/>
  <c r="J30" i="1"/>
  <c r="K30" i="1" s="1"/>
  <c r="J31" i="1" l="1"/>
  <c r="K31" i="1" s="1"/>
  <c r="I32" i="1"/>
  <c r="J32" i="1" l="1"/>
  <c r="K32" i="1" s="1"/>
  <c r="I33" i="1"/>
  <c r="J33" i="1" l="1"/>
  <c r="K33" i="1" s="1"/>
  <c r="I34" i="1"/>
  <c r="I35" i="1" l="1"/>
  <c r="J35" i="1" s="1"/>
  <c r="J34" i="1"/>
  <c r="L20" i="1" l="1"/>
  <c r="Q3" i="1" s="1"/>
  <c r="R3" i="1" s="1"/>
  <c r="K34" i="1"/>
  <c r="K35" i="1"/>
  <c r="L35" i="1" l="1"/>
  <c r="Q5" i="1" s="1"/>
  <c r="R5" i="1"/>
  <c r="R4" i="1"/>
</calcChain>
</file>

<file path=xl/sharedStrings.xml><?xml version="1.0" encoding="utf-8"?>
<sst xmlns="http://schemas.openxmlformats.org/spreadsheetml/2006/main" count="211" uniqueCount="167">
  <si>
    <t>COD</t>
  </si>
  <si>
    <t>DEMANDA</t>
  </si>
  <si>
    <t>P. UNITARIO</t>
  </si>
  <si>
    <t>Inversion</t>
  </si>
  <si>
    <t>Inversion Acumulada</t>
  </si>
  <si>
    <t>% Inversion acumulada</t>
  </si>
  <si>
    <t>Zona</t>
  </si>
  <si>
    <t>Porcentaje</t>
  </si>
  <si>
    <t>A-011</t>
  </si>
  <si>
    <t>ZONA</t>
  </si>
  <si>
    <t># Elementos</t>
  </si>
  <si>
    <t>% Articulos</t>
  </si>
  <si>
    <t>% Acumulado</t>
  </si>
  <si>
    <t>%Inversion</t>
  </si>
  <si>
    <t>% Inv Acumulado</t>
  </si>
  <si>
    <t>A-009</t>
  </si>
  <si>
    <t>A</t>
  </si>
  <si>
    <t>A-012</t>
  </si>
  <si>
    <t>B</t>
  </si>
  <si>
    <t>A-002</t>
  </si>
  <si>
    <t>C</t>
  </si>
  <si>
    <t>A-005</t>
  </si>
  <si>
    <t>A-006</t>
  </si>
  <si>
    <t>A-001</t>
  </si>
  <si>
    <t>A-013</t>
  </si>
  <si>
    <t>A-010</t>
  </si>
  <si>
    <t>A-008</t>
  </si>
  <si>
    <t>A-004</t>
  </si>
  <si>
    <t>A-007</t>
  </si>
  <si>
    <t>A-015</t>
  </si>
  <si>
    <t>A-003</t>
  </si>
  <si>
    <t>A-016</t>
  </si>
  <si>
    <t>A-014</t>
  </si>
  <si>
    <t>Codigo</t>
  </si>
  <si>
    <t>Demanda Anual</t>
  </si>
  <si>
    <t>Valor articulo unitario</t>
  </si>
  <si>
    <t>% Inversion Acumulada</t>
  </si>
  <si>
    <t>%</t>
  </si>
  <si>
    <t>No. Elementos</t>
  </si>
  <si>
    <t>% Inversion</t>
  </si>
  <si>
    <t>Total</t>
  </si>
  <si>
    <t>Variables</t>
  </si>
  <si>
    <t>Sigla</t>
  </si>
  <si>
    <t>Valor</t>
  </si>
  <si>
    <t>Rangos</t>
  </si>
  <si>
    <t>Costo por unidad</t>
  </si>
  <si>
    <t>Costo de Ordenar</t>
  </si>
  <si>
    <t>S</t>
  </si>
  <si>
    <t>0-999</t>
  </si>
  <si>
    <t>Demanda anual</t>
  </si>
  <si>
    <t>D</t>
  </si>
  <si>
    <t>1000-2499</t>
  </si>
  <si>
    <t>Costo de mantener</t>
  </si>
  <si>
    <t>I</t>
  </si>
  <si>
    <t>2500-mas</t>
  </si>
  <si>
    <t>Q1</t>
  </si>
  <si>
    <t>No se ajusta</t>
  </si>
  <si>
    <t>Q2</t>
  </si>
  <si>
    <t>Ajustado</t>
  </si>
  <si>
    <t>Q3</t>
  </si>
  <si>
    <t>CTQ1</t>
  </si>
  <si>
    <t>ca</t>
  </si>
  <si>
    <t>CTQ2</t>
  </si>
  <si>
    <t>CTQ3</t>
  </si>
  <si>
    <t>Descuento</t>
  </si>
  <si>
    <t>Costo de ordenar</t>
  </si>
  <si>
    <t>Costo del producto</t>
  </si>
  <si>
    <t>Costo total</t>
  </si>
  <si>
    <t>Cantidad a ordenar</t>
  </si>
  <si>
    <t>Precio unitario</t>
  </si>
  <si>
    <t>Rango 1</t>
  </si>
  <si>
    <t>Rango 2</t>
  </si>
  <si>
    <t>Rango 3</t>
  </si>
  <si>
    <t>R//</t>
  </si>
  <si>
    <t>La cantidad óptima a ordenar para aprovechar los descuentos es de 1000 unidades, a un precio de 4.85, con un costo total de 24980</t>
  </si>
  <si>
    <t xml:space="preserve">Demanda = </t>
  </si>
  <si>
    <t>r</t>
  </si>
  <si>
    <t>C Ordenar = $</t>
  </si>
  <si>
    <t>Cp</t>
  </si>
  <si>
    <t>C Unitario = $</t>
  </si>
  <si>
    <t>p</t>
  </si>
  <si>
    <t>C Almacenar = $</t>
  </si>
  <si>
    <t>Ca</t>
  </si>
  <si>
    <t>C faltantes = $</t>
  </si>
  <si>
    <t>Ce</t>
  </si>
  <si>
    <t>Q Óptimo</t>
  </si>
  <si>
    <t>q*=sqrt((2*8000*12000)/0,3)*sqrt((0,3+1,1)/1,1)</t>
  </si>
  <si>
    <t>unidades</t>
  </si>
  <si>
    <t>Faltante Máximo</t>
  </si>
  <si>
    <t>D=sqrt((2*8000*0,3*12000)/((0,3+1,1)*1,1))</t>
  </si>
  <si>
    <t>Costo Total</t>
  </si>
  <si>
    <t>Inventario Máximo</t>
  </si>
  <si>
    <t>D=sqrt((2*8000*1,1*12000)/((0,3+1,1)*0,3))</t>
  </si>
  <si>
    <t>Dólares</t>
  </si>
  <si>
    <t>Tiempo de trabajo con agotamiento</t>
  </si>
  <si>
    <t>tp=sqrt((2*1,1*12000)/(8000*(1,1+0,3)*0,3))</t>
  </si>
  <si>
    <t>meses</t>
  </si>
  <si>
    <t>Datos</t>
  </si>
  <si>
    <t>Costo de pedido total</t>
  </si>
  <si>
    <t>Demanda Quincenal</t>
  </si>
  <si>
    <t>700 Resortes</t>
  </si>
  <si>
    <t>Resortes al año</t>
  </si>
  <si>
    <t>Costo por ordenar + Recargos del proveedor</t>
  </si>
  <si>
    <t>Coste de almacenamiento</t>
  </si>
  <si>
    <t>Resorte al año</t>
  </si>
  <si>
    <t>Recargos del proveedor</t>
  </si>
  <si>
    <t>Coste unitario</t>
  </si>
  <si>
    <t>q*</t>
  </si>
  <si>
    <t>N</t>
  </si>
  <si>
    <t>CT</t>
  </si>
  <si>
    <t>RESULTADOS</t>
  </si>
  <si>
    <t>Nivel de orden</t>
  </si>
  <si>
    <t>Resortes</t>
  </si>
  <si>
    <t>Número de ordenes al año</t>
  </si>
  <si>
    <t>Costos Totales anuales</t>
  </si>
  <si>
    <t>R</t>
  </si>
  <si>
    <t>Demanda Mensual</t>
  </si>
  <si>
    <t>unidades/mes</t>
  </si>
  <si>
    <t>Demanda Diaria promedio</t>
  </si>
  <si>
    <t>d</t>
  </si>
  <si>
    <t>unidades/dia</t>
  </si>
  <si>
    <t>Produccion diaria</t>
  </si>
  <si>
    <t>Q</t>
  </si>
  <si>
    <t>costo mantenimiento</t>
  </si>
  <si>
    <t>h</t>
  </si>
  <si>
    <t>por unidad</t>
  </si>
  <si>
    <t>costo unidad</t>
  </si>
  <si>
    <t>cp</t>
  </si>
  <si>
    <t xml:space="preserve">costo por orden </t>
  </si>
  <si>
    <t>s</t>
  </si>
  <si>
    <t>t</t>
  </si>
  <si>
    <t>tiempo de entrega</t>
  </si>
  <si>
    <t>L</t>
  </si>
  <si>
    <t>dias</t>
  </si>
  <si>
    <t>Q*</t>
  </si>
  <si>
    <t>T</t>
  </si>
  <si>
    <t>Tiempo entre pedidos</t>
  </si>
  <si>
    <t>Respuestas</t>
  </si>
  <si>
    <t>P</t>
  </si>
  <si>
    <t>timepo de produccion</t>
  </si>
  <si>
    <t>Pedidos anuales</t>
  </si>
  <si>
    <t>cantidad de pedidos anuales</t>
  </si>
  <si>
    <t>O</t>
  </si>
  <si>
    <t>Costo inventario</t>
  </si>
  <si>
    <t>costo anual de inventario</t>
  </si>
  <si>
    <t>Opera</t>
  </si>
  <si>
    <t>semanas</t>
  </si>
  <si>
    <t>Demanda</t>
  </si>
  <si>
    <t>u/dia</t>
  </si>
  <si>
    <t>u/año</t>
  </si>
  <si>
    <t>Costo por pedido</t>
  </si>
  <si>
    <t>usd</t>
  </si>
  <si>
    <t>Costo de almacenamiento</t>
  </si>
  <si>
    <t>usd/semana</t>
  </si>
  <si>
    <t>usd/año</t>
  </si>
  <si>
    <t>numero de pedidos</t>
  </si>
  <si>
    <t>unidades/pedido</t>
  </si>
  <si>
    <t>tp</t>
  </si>
  <si>
    <t>años</t>
  </si>
  <si>
    <t>horas</t>
  </si>
  <si>
    <t>minutos</t>
  </si>
  <si>
    <t>La cantidad de pedidos por año es de 75,89=76 pedidos</t>
  </si>
  <si>
    <t xml:space="preserve">La cantidad óptima por pedido que se deben realizar al año son de 158,11=159 unidades </t>
  </si>
  <si>
    <t>El tiempo de ciclo es de 3,1622 dias o 3 dias con 3 horas con 54 minutos</t>
  </si>
  <si>
    <t>a) calcular nivel de orden</t>
  </si>
  <si>
    <t>b) el número de órdenes al año</t>
  </si>
  <si>
    <t>c) los costos totales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</si>
</sst>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Q]#,##0.00"/>
    <numFmt numFmtId="165" formatCode="0.000"/>
  </numFmts>
  <fonts count="20">
    <font>
      <sz val="10"/>
      <color rgb="FF000000"/>
      <name val="Arial"/>
      <scheme val="minor"/>
    </font>
    <font>
      <sz val="10"/>
      <color rgb="FF000000"/>
      <name val="&quot;Century Gothic&quot;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b/>
      <sz val="10"/>
      <color rgb="FF000000"/>
      <name val="&quot;Century Gothic&quot;"/>
    </font>
    <font>
      <b/>
      <sz val="10"/>
      <name val="Arial"/>
      <family val="2"/>
    </font>
    <font>
      <b/>
      <sz val="10"/>
      <color theme="1"/>
      <name val="Arial"/>
      <family val="2"/>
      <scheme val="minor"/>
    </font>
    <font>
      <u/>
      <sz val="11"/>
      <color theme="1"/>
      <name val="Arial"/>
      <family val="2"/>
    </font>
    <font>
      <u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rgb="FFFF00FF"/>
      </patternFill>
    </fill>
    <fill>
      <patternFill patternType="solid">
        <fgColor rgb="FF92D050"/>
        <bgColor rgb="FFD9EAD3"/>
      </patternFill>
    </fill>
    <fill>
      <patternFill patternType="solid">
        <fgColor rgb="FFFFFF00"/>
        <bgColor rgb="FF92D050"/>
      </patternFill>
    </fill>
    <fill>
      <patternFill patternType="solid">
        <fgColor theme="5" tint="0.39997558519241921"/>
        <bgColor rgb="FFD9EAD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rgb="FFF4CCCC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5" tint="0.39997558519241921"/>
        <bgColor rgb="FFFF00FF"/>
      </patternFill>
    </fill>
    <fill>
      <patternFill patternType="solid">
        <fgColor theme="9" tint="0.39997558519241921"/>
        <bgColor rgb="FFD0E0E3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rgb="FFC9DAF8"/>
      </patternFill>
    </fill>
    <fill>
      <patternFill patternType="solid">
        <fgColor rgb="FFFFFF00"/>
        <bgColor rgb="FF00FF00"/>
      </patternFill>
    </fill>
    <fill>
      <patternFill patternType="solid">
        <fgColor rgb="FF00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CCCCCC"/>
      </patternFill>
    </fill>
    <fill>
      <patternFill patternType="solid">
        <fgColor theme="5" tint="0.59999389629810485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4" fontId="1" fillId="0" borderId="5" xfId="0" applyNumberFormat="1" applyFont="1" applyBorder="1" applyAlignment="1">
      <alignment horizontal="left" vertical="top"/>
    </xf>
    <xf numFmtId="164" fontId="3" fillId="0" borderId="3" xfId="0" applyNumberFormat="1" applyFont="1" applyBorder="1"/>
    <xf numFmtId="10" fontId="3" fillId="0" borderId="3" xfId="0" applyNumberFormat="1" applyFont="1" applyBorder="1"/>
    <xf numFmtId="10" fontId="3" fillId="0" borderId="0" xfId="0" applyNumberFormat="1" applyFont="1" applyAlignment="1">
      <alignment horizontal="center"/>
    </xf>
    <xf numFmtId="0" fontId="3" fillId="0" borderId="3" xfId="0" applyFont="1" applyBorder="1"/>
    <xf numFmtId="0" fontId="3" fillId="2" borderId="3" xfId="0" applyFont="1" applyFill="1" applyBorder="1"/>
    <xf numFmtId="0" fontId="3" fillId="0" borderId="0" xfId="0" applyFont="1"/>
    <xf numFmtId="164" fontId="3" fillId="3" borderId="3" xfId="0" applyNumberFormat="1" applyFont="1" applyFill="1" applyBorder="1"/>
    <xf numFmtId="0" fontId="6" fillId="4" borderId="0" xfId="0" applyFont="1" applyFill="1" applyAlignment="1">
      <alignment horizont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10" fontId="7" fillId="0" borderId="3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8" fillId="0" borderId="0" xfId="0" applyFont="1"/>
    <xf numFmtId="2" fontId="10" fillId="7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8" fillId="3" borderId="0" xfId="0" applyFont="1" applyFill="1"/>
    <xf numFmtId="0" fontId="8" fillId="0" borderId="3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164" fontId="1" fillId="0" borderId="4" xfId="0" applyNumberFormat="1" applyFont="1" applyBorder="1" applyAlignment="1">
      <alignment horizontal="left" vertical="top"/>
    </xf>
    <xf numFmtId="0" fontId="2" fillId="0" borderId="4" xfId="0" applyFont="1" applyBorder="1"/>
    <xf numFmtId="0" fontId="2" fillId="0" borderId="2" xfId="0" applyFont="1" applyBorder="1"/>
    <xf numFmtId="0" fontId="1" fillId="0" borderId="1" xfId="0" applyFont="1" applyBorder="1" applyAlignment="1">
      <alignment horizontal="left" vertical="top"/>
    </xf>
    <xf numFmtId="0" fontId="3" fillId="8" borderId="3" xfId="0" applyFont="1" applyFill="1" applyBorder="1"/>
    <xf numFmtId="0" fontId="3" fillId="10" borderId="3" xfId="0" applyFont="1" applyFill="1" applyBorder="1"/>
    <xf numFmtId="10" fontId="3" fillId="10" borderId="3" xfId="0" applyNumberFormat="1" applyFont="1" applyFill="1" applyBorder="1"/>
    <xf numFmtId="0" fontId="3" fillId="11" borderId="3" xfId="0" applyFont="1" applyFill="1" applyBorder="1"/>
    <xf numFmtId="10" fontId="3" fillId="11" borderId="3" xfId="0" applyNumberFormat="1" applyFont="1" applyFill="1" applyBorder="1"/>
    <xf numFmtId="10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10" fontId="14" fillId="8" borderId="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10" fontId="15" fillId="0" borderId="3" xfId="0" applyNumberFormat="1" applyFont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2" fontId="15" fillId="0" borderId="3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5" fillId="12" borderId="3" xfId="0" applyFont="1" applyFill="1" applyBorder="1" applyAlignment="1">
      <alignment horizontal="center"/>
    </xf>
    <xf numFmtId="10" fontId="3" fillId="13" borderId="6" xfId="0" applyNumberFormat="1" applyFont="1" applyFill="1" applyBorder="1" applyAlignment="1">
      <alignment horizontal="center"/>
    </xf>
    <xf numFmtId="0" fontId="2" fillId="14" borderId="7" xfId="0" applyFont="1" applyFill="1" applyBorder="1"/>
    <xf numFmtId="10" fontId="3" fillId="15" borderId="6" xfId="0" applyNumberFormat="1" applyFont="1" applyFill="1" applyBorder="1" applyAlignment="1">
      <alignment horizontal="center"/>
    </xf>
    <xf numFmtId="0" fontId="2" fillId="16" borderId="7" xfId="0" applyFont="1" applyFill="1" applyBorder="1"/>
    <xf numFmtId="10" fontId="3" fillId="17" borderId="6" xfId="0" applyNumberFormat="1" applyFont="1" applyFill="1" applyBorder="1" applyAlignment="1">
      <alignment horizontal="center"/>
    </xf>
    <xf numFmtId="10" fontId="16" fillId="17" borderId="8" xfId="0" applyNumberFormat="1" applyFont="1" applyFill="1" applyBorder="1" applyAlignment="1">
      <alignment horizontal="center"/>
    </xf>
    <xf numFmtId="10" fontId="16" fillId="17" borderId="7" xfId="0" applyNumberFormat="1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5" fillId="18" borderId="3" xfId="0" applyFont="1" applyFill="1" applyBorder="1" applyAlignment="1">
      <alignment horizontal="center"/>
    </xf>
    <xf numFmtId="0" fontId="6" fillId="18" borderId="3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10" fontId="7" fillId="19" borderId="3" xfId="0" applyNumberFormat="1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10" fontId="7" fillId="15" borderId="3" xfId="0" applyNumberFormat="1" applyFont="1" applyFill="1" applyBorder="1" applyAlignment="1">
      <alignment horizontal="center"/>
    </xf>
    <xf numFmtId="0" fontId="7" fillId="17" borderId="3" xfId="0" applyFont="1" applyFill="1" applyBorder="1" applyAlignment="1">
      <alignment horizontal="center"/>
    </xf>
    <xf numFmtId="10" fontId="7" fillId="17" borderId="3" xfId="0" applyNumberFormat="1" applyFont="1" applyFill="1" applyBorder="1" applyAlignment="1">
      <alignment horizontal="center"/>
    </xf>
    <xf numFmtId="0" fontId="3" fillId="20" borderId="3" xfId="0" applyFont="1" applyFill="1" applyBorder="1"/>
    <xf numFmtId="0" fontId="3" fillId="21" borderId="3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22" borderId="0" xfId="0" applyFont="1" applyFill="1" applyAlignment="1">
      <alignment horizontal="right"/>
    </xf>
    <xf numFmtId="0" fontId="3" fillId="22" borderId="0" xfId="0" applyFont="1" applyFill="1"/>
    <xf numFmtId="0" fontId="0" fillId="22" borderId="0" xfId="0" applyFill="1"/>
    <xf numFmtId="0" fontId="3" fillId="23" borderId="3" xfId="0" applyFont="1" applyFill="1" applyBorder="1" applyAlignment="1">
      <alignment horizontal="center" vertical="center" wrapText="1"/>
    </xf>
    <xf numFmtId="0" fontId="3" fillId="25" borderId="3" xfId="0" applyFont="1" applyFill="1" applyBorder="1"/>
    <xf numFmtId="0" fontId="8" fillId="26" borderId="0" xfId="0" applyFont="1" applyFill="1"/>
    <xf numFmtId="0" fontId="0" fillId="26" borderId="0" xfId="0" applyFill="1"/>
    <xf numFmtId="2" fontId="9" fillId="12" borderId="0" xfId="0" applyNumberFormat="1" applyFont="1" applyFill="1" applyAlignment="1">
      <alignment horizontal="center"/>
    </xf>
    <xf numFmtId="0" fontId="3" fillId="27" borderId="0" xfId="0" applyFont="1" applyFill="1"/>
    <xf numFmtId="2" fontId="8" fillId="12" borderId="0" xfId="0" applyNumberFormat="1" applyFont="1" applyFill="1" applyAlignment="1">
      <alignment horizontal="center"/>
    </xf>
    <xf numFmtId="0" fontId="3" fillId="28" borderId="3" xfId="0" applyFont="1" applyFill="1" applyBorder="1" applyAlignment="1">
      <alignment horizontal="right"/>
    </xf>
    <xf numFmtId="0" fontId="3" fillId="28" borderId="3" xfId="0" applyFont="1" applyFill="1" applyBorder="1" applyAlignment="1">
      <alignment horizontal="left"/>
    </xf>
    <xf numFmtId="0" fontId="18" fillId="0" borderId="0" xfId="0" applyFont="1"/>
    <xf numFmtId="0" fontId="18" fillId="26" borderId="0" xfId="0" applyFont="1" applyFill="1"/>
    <xf numFmtId="0" fontId="19" fillId="26" borderId="0" xfId="0" applyFont="1" applyFill="1"/>
    <xf numFmtId="165" fontId="8" fillId="24" borderId="0" xfId="0" applyNumberFormat="1" applyFont="1" applyFill="1"/>
    <xf numFmtId="2" fontId="3" fillId="24" borderId="0" xfId="0" applyNumberFormat="1" applyFont="1" applyFill="1"/>
    <xf numFmtId="0" fontId="3" fillId="29" borderId="3" xfId="0" applyFont="1" applyFill="1" applyBorder="1" applyAlignment="1">
      <alignment horizontal="center"/>
    </xf>
    <xf numFmtId="165" fontId="8" fillId="24" borderId="3" xfId="0" applyNumberFormat="1" applyFont="1" applyFill="1" applyBorder="1" applyAlignment="1">
      <alignment horizontal="center"/>
    </xf>
    <xf numFmtId="2" fontId="8" fillId="24" borderId="3" xfId="0" applyNumberFormat="1" applyFont="1" applyFill="1" applyBorder="1" applyAlignment="1">
      <alignment horizontal="center"/>
    </xf>
    <xf numFmtId="0" fontId="3" fillId="28" borderId="3" xfId="0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0" fillId="0" borderId="0" xfId="0" applyAlignment="1"/>
    <xf numFmtId="0" fontId="3" fillId="24" borderId="3" xfId="0" applyFont="1" applyFill="1" applyBorder="1"/>
    <xf numFmtId="0" fontId="3" fillId="0" borderId="0" xfId="0" applyFont="1" applyFill="1" applyBorder="1"/>
    <xf numFmtId="0" fontId="3" fillId="24" borderId="7" xfId="0" applyFont="1" applyFill="1" applyBorder="1"/>
    <xf numFmtId="0" fontId="3" fillId="24" borderId="9" xfId="0" applyFont="1" applyFill="1" applyBorder="1"/>
    <xf numFmtId="0" fontId="3" fillId="30" borderId="3" xfId="0" applyFont="1" applyFill="1" applyBorder="1"/>
    <xf numFmtId="0" fontId="14" fillId="0" borderId="0" xfId="0" applyFont="1"/>
    <xf numFmtId="0" fontId="3" fillId="25" borderId="0" xfId="0" applyFont="1" applyFill="1" applyAlignment="1">
      <alignment horizontal="right"/>
    </xf>
    <xf numFmtId="0" fontId="3" fillId="25" borderId="0" xfId="0" applyFont="1" applyFill="1"/>
  </cellXfs>
  <cellStyles count="1">
    <cellStyle name="Normal" xfId="0" builtinId="0"/>
  </cellStyles>
  <dxfs count="7"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757575"/>
                </a:solidFill>
                <a:latin typeface="serif"/>
                <a:ea typeface="+mn-ea"/>
                <a:cs typeface="+mn-cs"/>
              </a:defRPr>
            </a:pPr>
            <a:r>
              <a:rPr lang="es-MX" b="0">
                <a:solidFill>
                  <a:srgbClr val="757575"/>
                </a:solidFill>
                <a:latin typeface="serif"/>
              </a:rPr>
              <a:t>Diagrama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757575"/>
              </a:solidFill>
              <a:latin typeface="serif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EA4335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90-4F2A-93CE-8E71BC1725A1}"/>
              </c:ext>
            </c:extLst>
          </c:dPt>
          <c:dPt>
            <c:idx val="2"/>
            <c:invertIfNegative val="1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90-4F2A-93CE-8E71BC1725A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'Problema 1'!$Q$3:$Q$5</c:f>
              <c:numCache>
                <c:formatCode>0.00%</c:formatCode>
                <c:ptCount val="3"/>
                <c:pt idx="0">
                  <c:v>0.60311524764244251</c:v>
                </c:pt>
                <c:pt idx="1">
                  <c:v>0</c:v>
                </c:pt>
                <c:pt idx="2">
                  <c:v>0.39688475235755749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4-0A90-4F2A-93CE-8E71BC17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485241"/>
        <c:axId val="1268206279"/>
      </c:barChart>
      <c:lineChart>
        <c:grouping val="standard"/>
        <c:varyColors val="1"/>
        <c:ser>
          <c:idx val="1"/>
          <c:order val="1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'Problema 1'!$Q$3:$Q$5</c:f>
              <c:numCache>
                <c:formatCode>0.00%</c:formatCode>
                <c:ptCount val="3"/>
                <c:pt idx="0">
                  <c:v>0.60311524764244251</c:v>
                </c:pt>
                <c:pt idx="1">
                  <c:v>0</c:v>
                </c:pt>
                <c:pt idx="2">
                  <c:v>0.39688475235755749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A90-4F2A-93CE-8E71BC1725A1}"/>
            </c:ext>
          </c:extLst>
        </c:ser>
        <c:ser>
          <c:idx val="2"/>
          <c:order val="2"/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'Problema 1'!$R$3:$R$5</c:f>
              <c:numCache>
                <c:formatCode>0.00%</c:formatCode>
                <c:ptCount val="3"/>
                <c:pt idx="0">
                  <c:v>0.60311524764244251</c:v>
                </c:pt>
                <c:pt idx="1">
                  <c:v>0.60311524764244251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A90-4F2A-93CE-8E71BC17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85241"/>
        <c:axId val="1268206279"/>
      </c:lineChart>
      <c:catAx>
        <c:axId val="167048524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8206279"/>
        <c:crosses val="autoZero"/>
        <c:auto val="1"/>
        <c:lblAlgn val="ctr"/>
        <c:lblOffset val="100"/>
        <c:noMultiLvlLbl val="1"/>
      </c:catAx>
      <c:valAx>
        <c:axId val="126820627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048524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3F3F3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lang="es-MX" b="1">
                <a:solidFill>
                  <a:srgbClr val="000000"/>
                </a:solidFill>
                <a:latin typeface="Arial"/>
              </a:rPr>
              <a:t>Diagrama de Pareto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4285F4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5D2-4614-B385-978C3EC9750E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5D2-4614-B385-978C3EC9750E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5D2-4614-B385-978C3EC9750E}"/>
              </c:ext>
            </c:extLst>
          </c:dPt>
          <c:val>
            <c:numRef>
              <c:f>'Problema 2'!$P$22:$P$24</c:f>
              <c:numCache>
                <c:formatCode>0.00%</c:formatCode>
                <c:ptCount val="3"/>
                <c:pt idx="0">
                  <c:v>0.73669135843826294</c:v>
                </c:pt>
                <c:pt idx="1">
                  <c:v>0.1662402485647646</c:v>
                </c:pt>
                <c:pt idx="2">
                  <c:v>9.7068392996972452E-2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4285F4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5D2-4614-B385-978C3EC97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21788"/>
        <c:axId val="1786072881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'Problema 2'!$Q$22:$Q$24</c:f>
              <c:numCache>
                <c:formatCode>0.00%</c:formatCode>
                <c:ptCount val="3"/>
                <c:pt idx="0">
                  <c:v>0.73669135843826294</c:v>
                </c:pt>
                <c:pt idx="1">
                  <c:v>0.90293160700302755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D2-4614-B385-978C3EC97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21788"/>
        <c:axId val="1786072881"/>
      </c:lineChart>
      <c:catAx>
        <c:axId val="173821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s-MX"/>
          </a:p>
        </c:txPr>
        <c:crossAx val="1786072881"/>
        <c:crosses val="autoZero"/>
        <c:auto val="1"/>
        <c:lblAlgn val="ctr"/>
        <c:lblOffset val="100"/>
        <c:noMultiLvlLbl val="1"/>
      </c:catAx>
      <c:valAx>
        <c:axId val="1786072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s-MX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s-MX"/>
          </a:p>
        </c:txPr>
        <c:crossAx val="1738217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16824</xdr:colOff>
      <xdr:row>17</xdr:row>
      <xdr:rowOff>27189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</xdr:col>
      <xdr:colOff>98961</xdr:colOff>
      <xdr:row>0</xdr:row>
      <xdr:rowOff>138546</xdr:rowOff>
    </xdr:from>
    <xdr:to>
      <xdr:col>6</xdr:col>
      <xdr:colOff>633350</xdr:colOff>
      <xdr:row>14</xdr:row>
      <xdr:rowOff>136176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D8DA66-A0D3-1150-878D-18380911D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9818" y="138546"/>
          <a:ext cx="3750623" cy="2620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10177</xdr:colOff>
      <xdr:row>34</xdr:row>
      <xdr:rowOff>173276</xdr:rowOff>
    </xdr:from>
    <xdr:ext cx="5105400" cy="3152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88803</xdr:colOff>
      <xdr:row>1</xdr:row>
      <xdr:rowOff>30400</xdr:rowOff>
    </xdr:from>
    <xdr:ext cx="6623059" cy="3330749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5187" y="228729"/>
          <a:ext cx="6623059" cy="3330749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710565</xdr:colOff>
      <xdr:row>0</xdr:row>
      <xdr:rowOff>62865</xdr:rowOff>
    </xdr:from>
    <xdr:ext cx="5686425" cy="3048000"/>
    <xdr:grpSp>
      <xdr:nvGrpSpPr>
        <xdr:cNvPr id="2" name="Shape 2" title="Dibuj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579245" y="62865"/>
          <a:ext cx="5686425" cy="3048000"/>
          <a:chOff x="152400" y="152400"/>
          <a:chExt cx="5667375" cy="302895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5667375" cy="30289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2</xdr:col>
      <xdr:colOff>32385</xdr:colOff>
      <xdr:row>22</xdr:row>
      <xdr:rowOff>85725</xdr:rowOff>
    </xdr:from>
    <xdr:ext cx="1000125" cy="752475"/>
    <xdr:grpSp>
      <xdr:nvGrpSpPr>
        <xdr:cNvPr id="4" name="Shape 2" title="Dibuj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769745" y="4444365"/>
          <a:ext cx="1000125" cy="752475"/>
          <a:chOff x="152400" y="152400"/>
          <a:chExt cx="981075" cy="733425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152400" y="152400"/>
            <a:ext cx="981075" cy="7334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2</xdr:col>
      <xdr:colOff>34290</xdr:colOff>
      <xdr:row>31</xdr:row>
      <xdr:rowOff>123825</xdr:rowOff>
    </xdr:from>
    <xdr:ext cx="1838325" cy="571500"/>
    <xdr:pic>
      <xdr:nvPicPr>
        <xdr:cNvPr id="6" name="image11.png" title="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71650" y="6265545"/>
          <a:ext cx="1838325" cy="5715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803910</xdr:colOff>
      <xdr:row>44</xdr:row>
      <xdr:rowOff>68581</xdr:rowOff>
    </xdr:from>
    <xdr:ext cx="1291590" cy="377190"/>
    <xdr:pic>
      <xdr:nvPicPr>
        <xdr:cNvPr id="7" name="image2.png" title="Imagen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409950" y="8785861"/>
          <a:ext cx="1291590" cy="37719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47624</xdr:colOff>
      <xdr:row>44</xdr:row>
      <xdr:rowOff>68580</xdr:rowOff>
    </xdr:from>
    <xdr:ext cx="1285875" cy="434340"/>
    <xdr:pic>
      <xdr:nvPicPr>
        <xdr:cNvPr id="8" name="image7.png" title="Imagen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84984" y="8785860"/>
          <a:ext cx="1285875" cy="43434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190500</xdr:rowOff>
    </xdr:from>
    <xdr:ext cx="5257800" cy="1630680"/>
    <xdr:pic>
      <xdr:nvPicPr>
        <xdr:cNvPr id="2" name="image13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190500"/>
          <a:ext cx="5257800" cy="163068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104775</xdr:rowOff>
    </xdr:from>
    <xdr:ext cx="1828800" cy="466725"/>
    <xdr:pic>
      <xdr:nvPicPr>
        <xdr:cNvPr id="3" name="image14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142875</xdr:rowOff>
    </xdr:from>
    <xdr:ext cx="1571625" cy="495300"/>
    <xdr:pic>
      <xdr:nvPicPr>
        <xdr:cNvPr id="4" name="image5.png" title="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1447800" cy="466725"/>
    <xdr:pic>
      <xdr:nvPicPr>
        <xdr:cNvPr id="5" name="image3.png" title="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114300</xdr:rowOff>
    </xdr:from>
    <xdr:ext cx="2552700" cy="514350"/>
    <xdr:pic>
      <xdr:nvPicPr>
        <xdr:cNvPr id="6" name="image4.png" title="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0</xdr:rowOff>
    </xdr:from>
    <xdr:ext cx="1743075" cy="476250"/>
    <xdr:pic>
      <xdr:nvPicPr>
        <xdr:cNvPr id="7" name="image12.png" title="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562725" cy="2133600"/>
    <xdr:pic>
      <xdr:nvPicPr>
        <xdr:cNvPr id="2" name="image8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1</xdr:row>
      <xdr:rowOff>15240</xdr:rowOff>
    </xdr:from>
    <xdr:to>
      <xdr:col>6</xdr:col>
      <xdr:colOff>184955</xdr:colOff>
      <xdr:row>9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86E306-EE82-FF7B-AC8B-FBB4B7B19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" y="213360"/>
          <a:ext cx="5290355" cy="1722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864870</xdr:colOff>
      <xdr:row>0</xdr:row>
      <xdr:rowOff>156210</xdr:rowOff>
    </xdr:from>
    <xdr:ext cx="6579870" cy="1695450"/>
    <xdr:pic>
      <xdr:nvPicPr>
        <xdr:cNvPr id="2" name="image6.png" title="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4870" y="156210"/>
          <a:ext cx="6579870" cy="16954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285750</xdr:colOff>
      <xdr:row>21</xdr:row>
      <xdr:rowOff>47625</xdr:rowOff>
    </xdr:from>
    <xdr:ext cx="1323975" cy="647700"/>
    <xdr:pic>
      <xdr:nvPicPr>
        <xdr:cNvPr id="3" name="image9.png" title="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466725</xdr:colOff>
      <xdr:row>28</xdr:row>
      <xdr:rowOff>123825</xdr:rowOff>
    </xdr:from>
    <xdr:ext cx="1323975" cy="647700"/>
    <xdr:pic>
      <xdr:nvPicPr>
        <xdr:cNvPr id="4" name="image10.png" title="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R36"/>
  <sheetViews>
    <sheetView zoomScale="77" zoomScaleNormal="77" workbookViewId="0">
      <selection activeCell="J12" sqref="J12"/>
    </sheetView>
  </sheetViews>
  <sheetFormatPr baseColWidth="10" defaultColWidth="12.6640625" defaultRowHeight="15.75" customHeight="1"/>
  <cols>
    <col min="4" max="4" width="11.77734375" customWidth="1"/>
    <col min="5" max="5" width="4.109375" customWidth="1"/>
    <col min="6" max="6" width="5.6640625" customWidth="1"/>
    <col min="7" max="7" width="15.88671875" customWidth="1"/>
    <col min="8" max="8" width="20.5546875" customWidth="1"/>
    <col min="9" max="9" width="22.5546875" customWidth="1"/>
    <col min="18" max="18" width="14" customWidth="1"/>
  </cols>
  <sheetData>
    <row r="1" spans="13:18" ht="34.5" customHeight="1"/>
    <row r="2" spans="13:18" ht="13.2">
      <c r="M2" s="31" t="s">
        <v>9</v>
      </c>
      <c r="N2" s="31" t="s">
        <v>10</v>
      </c>
      <c r="O2" s="31" t="s">
        <v>11</v>
      </c>
      <c r="P2" s="31" t="s">
        <v>12</v>
      </c>
      <c r="Q2" s="31" t="s">
        <v>13</v>
      </c>
      <c r="R2" s="31" t="s">
        <v>14</v>
      </c>
    </row>
    <row r="3" spans="13:18" ht="13.2">
      <c r="M3" s="32" t="s">
        <v>16</v>
      </c>
      <c r="N3" s="32">
        <v>14</v>
      </c>
      <c r="O3" s="33">
        <f t="shared" ref="O3:O5" si="0">N3/$N$6</f>
        <v>0.93333333333333335</v>
      </c>
      <c r="P3" s="33">
        <f>O3</f>
        <v>0.93333333333333335</v>
      </c>
      <c r="Q3" s="33">
        <f>L20</f>
        <v>0.60311524764244251</v>
      </c>
      <c r="R3" s="33">
        <f>Q3</f>
        <v>0.60311524764244251</v>
      </c>
    </row>
    <row r="4" spans="13:18" ht="13.2">
      <c r="M4" s="5" t="s">
        <v>18</v>
      </c>
      <c r="N4" s="5">
        <v>0</v>
      </c>
      <c r="O4" s="3">
        <f t="shared" si="0"/>
        <v>0</v>
      </c>
      <c r="P4" s="3">
        <f t="shared" ref="P4:P5" si="1">P3+O4</f>
        <v>0.93333333333333335</v>
      </c>
      <c r="Q4" s="3">
        <f>O4</f>
        <v>0</v>
      </c>
      <c r="R4" s="3">
        <f>R3+Q4</f>
        <v>0.60311524764244251</v>
      </c>
    </row>
    <row r="5" spans="13:18" ht="13.2">
      <c r="M5" s="34" t="s">
        <v>20</v>
      </c>
      <c r="N5" s="34">
        <v>1</v>
      </c>
      <c r="O5" s="35">
        <f t="shared" si="0"/>
        <v>6.6666666666666666E-2</v>
      </c>
      <c r="P5" s="35">
        <f t="shared" si="1"/>
        <v>1</v>
      </c>
      <c r="Q5" s="35">
        <f>L35</f>
        <v>0.39688475235755749</v>
      </c>
      <c r="R5" s="35">
        <f>R3+Q5</f>
        <v>1</v>
      </c>
    </row>
    <row r="6" spans="13:18" ht="13.2">
      <c r="N6" s="7">
        <v>15</v>
      </c>
    </row>
    <row r="7" spans="13:18" ht="13.2"/>
    <row r="8" spans="13:18" ht="13.2"/>
    <row r="9" spans="13:18" ht="13.2"/>
    <row r="10" spans="13:18" ht="13.2"/>
    <row r="11" spans="13:18" ht="13.2"/>
    <row r="12" spans="13:18" ht="13.2"/>
    <row r="13" spans="13:18" ht="13.2"/>
    <row r="14" spans="13:18" ht="13.2"/>
    <row r="15" spans="13:18" ht="13.2"/>
    <row r="16" spans="13:18" ht="13.2"/>
    <row r="17" spans="2:12" ht="13.2"/>
    <row r="18" spans="2:12" ht="13.2"/>
    <row r="19" spans="2:12" ht="15.75" customHeight="1">
      <c r="B19" s="38" t="s">
        <v>0</v>
      </c>
      <c r="C19" s="39"/>
      <c r="D19" s="40" t="s">
        <v>1</v>
      </c>
      <c r="E19" s="38" t="s">
        <v>2</v>
      </c>
      <c r="F19" s="41"/>
      <c r="G19" s="39"/>
      <c r="H19" s="42" t="s">
        <v>3</v>
      </c>
      <c r="I19" s="42" t="s">
        <v>4</v>
      </c>
      <c r="J19" s="43" t="s">
        <v>5</v>
      </c>
      <c r="K19" s="42" t="s">
        <v>6</v>
      </c>
      <c r="L19" s="42" t="s">
        <v>7</v>
      </c>
    </row>
    <row r="20" spans="2:12" ht="15.75" customHeight="1">
      <c r="B20" s="30" t="s">
        <v>8</v>
      </c>
      <c r="C20" s="29"/>
      <c r="D20" s="1">
        <v>32700</v>
      </c>
      <c r="E20" s="27">
        <v>6</v>
      </c>
      <c r="F20" s="28"/>
      <c r="G20" s="29"/>
      <c r="H20" s="2">
        <f t="shared" ref="H20:H35" si="2">D20*E20</f>
        <v>196200</v>
      </c>
      <c r="I20" s="2">
        <f>H20</f>
        <v>196200</v>
      </c>
      <c r="J20" s="3">
        <f>I20/$H$36</f>
        <v>2.4333996378922739E-3</v>
      </c>
      <c r="K20" s="70" t="str">
        <f t="shared" ref="K20:K35" si="3">IF(J20&lt;=0.8,"A",IF(J20&lt;=0.95,"B","C"))</f>
        <v>A</v>
      </c>
      <c r="L20" s="36">
        <f>J34</f>
        <v>0.60311524764244251</v>
      </c>
    </row>
    <row r="21" spans="2:12" ht="15.75" customHeight="1">
      <c r="B21" s="30" t="s">
        <v>15</v>
      </c>
      <c r="C21" s="29"/>
      <c r="D21" s="1">
        <v>48000</v>
      </c>
      <c r="E21" s="27">
        <v>5</v>
      </c>
      <c r="F21" s="28"/>
      <c r="G21" s="29"/>
      <c r="H21" s="2">
        <f t="shared" si="2"/>
        <v>240000</v>
      </c>
      <c r="I21" s="2">
        <f t="shared" ref="I21:I35" si="4">I20+H21</f>
        <v>436200</v>
      </c>
      <c r="J21" s="3">
        <f>I21/$H$36</f>
        <v>5.4100352805739552E-3</v>
      </c>
      <c r="K21" s="70" t="str">
        <f t="shared" si="3"/>
        <v>A</v>
      </c>
      <c r="L21" s="37"/>
    </row>
    <row r="22" spans="2:12" ht="15.75" customHeight="1">
      <c r="B22" s="30" t="s">
        <v>17</v>
      </c>
      <c r="C22" s="29"/>
      <c r="D22" s="1">
        <v>291000</v>
      </c>
      <c r="E22" s="27">
        <v>1</v>
      </c>
      <c r="F22" s="28"/>
      <c r="G22" s="29"/>
      <c r="H22" s="2">
        <f t="shared" si="2"/>
        <v>291000</v>
      </c>
      <c r="I22" s="2">
        <f t="shared" si="4"/>
        <v>727200</v>
      </c>
      <c r="J22" s="3">
        <f>I22/$H$36</f>
        <v>9.0192059973254936E-3</v>
      </c>
      <c r="K22" s="70" t="str">
        <f t="shared" si="3"/>
        <v>A</v>
      </c>
      <c r="L22" s="37"/>
    </row>
    <row r="23" spans="2:12" ht="15.75" customHeight="1">
      <c r="B23" s="30" t="s">
        <v>19</v>
      </c>
      <c r="C23" s="29"/>
      <c r="D23" s="1">
        <v>19700</v>
      </c>
      <c r="E23" s="27">
        <v>15</v>
      </c>
      <c r="F23" s="28"/>
      <c r="G23" s="29"/>
      <c r="H23" s="2">
        <f t="shared" si="2"/>
        <v>295500</v>
      </c>
      <c r="I23" s="2">
        <f t="shared" si="4"/>
        <v>1022700</v>
      </c>
      <c r="J23" s="3">
        <f>I23/$H$36</f>
        <v>1.2684188632377313E-2</v>
      </c>
      <c r="K23" s="70" t="str">
        <f t="shared" si="3"/>
        <v>A</v>
      </c>
      <c r="L23" s="37"/>
    </row>
    <row r="24" spans="2:12" ht="15.75" customHeight="1">
      <c r="B24" s="30" t="s">
        <v>21</v>
      </c>
      <c r="C24" s="29"/>
      <c r="D24" s="1">
        <v>113000</v>
      </c>
      <c r="E24" s="27">
        <v>3</v>
      </c>
      <c r="F24" s="28"/>
      <c r="G24" s="29"/>
      <c r="H24" s="2">
        <f t="shared" si="2"/>
        <v>339000</v>
      </c>
      <c r="I24" s="2">
        <f t="shared" si="4"/>
        <v>1361700</v>
      </c>
      <c r="J24" s="3">
        <f>I24/$H$36</f>
        <v>1.6888686477665185E-2</v>
      </c>
      <c r="K24" s="70" t="str">
        <f t="shared" si="3"/>
        <v>A</v>
      </c>
      <c r="L24" s="37"/>
    </row>
    <row r="25" spans="2:12" ht="15.75" customHeight="1">
      <c r="B25" s="30" t="s">
        <v>22</v>
      </c>
      <c r="C25" s="29"/>
      <c r="D25" s="1">
        <v>390000</v>
      </c>
      <c r="E25" s="27">
        <v>1</v>
      </c>
      <c r="F25" s="28"/>
      <c r="G25" s="29"/>
      <c r="H25" s="2">
        <f t="shared" si="2"/>
        <v>390000</v>
      </c>
      <c r="I25" s="2">
        <f t="shared" si="4"/>
        <v>1751700</v>
      </c>
      <c r="J25" s="3">
        <f>I25/$H$36</f>
        <v>2.1725719397022919E-2</v>
      </c>
      <c r="K25" s="70" t="str">
        <f t="shared" si="3"/>
        <v>A</v>
      </c>
      <c r="L25" s="37"/>
    </row>
    <row r="26" spans="2:12" ht="15.75" customHeight="1">
      <c r="B26" s="30" t="s">
        <v>23</v>
      </c>
      <c r="C26" s="29"/>
      <c r="D26" s="1">
        <v>15900</v>
      </c>
      <c r="E26" s="27">
        <v>25</v>
      </c>
      <c r="F26" s="28"/>
      <c r="G26" s="29"/>
      <c r="H26" s="2">
        <f t="shared" si="2"/>
        <v>397500</v>
      </c>
      <c r="I26" s="2">
        <f t="shared" si="4"/>
        <v>2149200</v>
      </c>
      <c r="J26" s="3">
        <f>I26/$H$36</f>
        <v>2.6655772180214452E-2</v>
      </c>
      <c r="K26" s="70" t="str">
        <f t="shared" si="3"/>
        <v>A</v>
      </c>
      <c r="L26" s="37"/>
    </row>
    <row r="27" spans="2:12" ht="15.75" customHeight="1">
      <c r="B27" s="30" t="s">
        <v>24</v>
      </c>
      <c r="C27" s="29"/>
      <c r="D27" s="1">
        <v>290000</v>
      </c>
      <c r="E27" s="27">
        <v>2</v>
      </c>
      <c r="F27" s="28"/>
      <c r="G27" s="29"/>
      <c r="H27" s="2">
        <f t="shared" si="2"/>
        <v>580000</v>
      </c>
      <c r="I27" s="2">
        <f t="shared" si="4"/>
        <v>2729200</v>
      </c>
      <c r="J27" s="3">
        <f>I27/$H$36</f>
        <v>3.3849308316695179E-2</v>
      </c>
      <c r="K27" s="70" t="str">
        <f t="shared" si="3"/>
        <v>A</v>
      </c>
      <c r="L27" s="37"/>
    </row>
    <row r="28" spans="2:12" ht="15.75" customHeight="1">
      <c r="B28" s="30" t="s">
        <v>25</v>
      </c>
      <c r="C28" s="29"/>
      <c r="D28" s="1">
        <v>8270</v>
      </c>
      <c r="E28" s="27">
        <v>180</v>
      </c>
      <c r="F28" s="28"/>
      <c r="G28" s="29"/>
      <c r="H28" s="2">
        <f t="shared" si="2"/>
        <v>1488600</v>
      </c>
      <c r="I28" s="2">
        <f t="shared" si="4"/>
        <v>4217800</v>
      </c>
      <c r="J28" s="3">
        <f>I28/$H$36</f>
        <v>5.2311890890428307E-2</v>
      </c>
      <c r="K28" s="70" t="str">
        <f t="shared" si="3"/>
        <v>A</v>
      </c>
      <c r="L28" s="37"/>
    </row>
    <row r="29" spans="2:12" ht="15.75" customHeight="1">
      <c r="B29" s="30" t="s">
        <v>26</v>
      </c>
      <c r="C29" s="29"/>
      <c r="D29" s="1">
        <v>1800000</v>
      </c>
      <c r="E29" s="27">
        <v>1</v>
      </c>
      <c r="F29" s="28"/>
      <c r="G29" s="29"/>
      <c r="H29" s="2">
        <f t="shared" si="2"/>
        <v>1800000</v>
      </c>
      <c r="I29" s="2">
        <f t="shared" si="4"/>
        <v>6017800</v>
      </c>
      <c r="J29" s="3">
        <f>I29/$H$36</f>
        <v>7.4636658210540913E-2</v>
      </c>
      <c r="K29" s="70" t="str">
        <f t="shared" si="3"/>
        <v>A</v>
      </c>
      <c r="L29" s="37"/>
    </row>
    <row r="30" spans="2:12" ht="15.75" customHeight="1">
      <c r="B30" s="30" t="s">
        <v>27</v>
      </c>
      <c r="C30" s="29"/>
      <c r="D30" s="1">
        <v>45000</v>
      </c>
      <c r="E30" s="27">
        <v>80</v>
      </c>
      <c r="F30" s="28"/>
      <c r="G30" s="29"/>
      <c r="H30" s="2">
        <f t="shared" si="2"/>
        <v>3600000</v>
      </c>
      <c r="I30" s="2">
        <f t="shared" si="4"/>
        <v>9617800</v>
      </c>
      <c r="J30" s="3">
        <f>I30/$H$36</f>
        <v>0.11928619285076612</v>
      </c>
      <c r="K30" s="70" t="str">
        <f t="shared" si="3"/>
        <v>A</v>
      </c>
      <c r="L30" s="37"/>
    </row>
    <row r="31" spans="2:12" ht="15.75" customHeight="1">
      <c r="B31" s="30" t="s">
        <v>28</v>
      </c>
      <c r="C31" s="29"/>
      <c r="D31" s="1">
        <v>290010</v>
      </c>
      <c r="E31" s="27">
        <v>14</v>
      </c>
      <c r="F31" s="28"/>
      <c r="G31" s="29"/>
      <c r="H31" s="2">
        <f t="shared" si="2"/>
        <v>4060140</v>
      </c>
      <c r="I31" s="2">
        <f t="shared" si="4"/>
        <v>13677940</v>
      </c>
      <c r="J31" s="3">
        <f>I31/$H$36</f>
        <v>0.1696426821769228</v>
      </c>
      <c r="K31" s="70" t="str">
        <f t="shared" si="3"/>
        <v>A</v>
      </c>
      <c r="L31" s="37"/>
    </row>
    <row r="32" spans="2:12" ht="15.75" customHeight="1">
      <c r="B32" s="30" t="s">
        <v>29</v>
      </c>
      <c r="C32" s="29"/>
      <c r="D32" s="1">
        <v>30000</v>
      </c>
      <c r="E32" s="27">
        <v>150</v>
      </c>
      <c r="F32" s="28"/>
      <c r="G32" s="29"/>
      <c r="H32" s="2">
        <f t="shared" si="2"/>
        <v>4500000</v>
      </c>
      <c r="I32" s="2">
        <f t="shared" si="4"/>
        <v>18177940</v>
      </c>
      <c r="J32" s="3">
        <f>I32/$H$36</f>
        <v>0.22545460047720431</v>
      </c>
      <c r="K32" s="70" t="str">
        <f t="shared" si="3"/>
        <v>A</v>
      </c>
      <c r="L32" s="37"/>
    </row>
    <row r="33" spans="2:12" ht="15.75" customHeight="1">
      <c r="B33" s="30" t="s">
        <v>30</v>
      </c>
      <c r="C33" s="29"/>
      <c r="D33" s="1">
        <v>19000</v>
      </c>
      <c r="E33" s="27">
        <v>800</v>
      </c>
      <c r="F33" s="28"/>
      <c r="G33" s="29"/>
      <c r="H33" s="2">
        <f t="shared" si="2"/>
        <v>15200000</v>
      </c>
      <c r="I33" s="2">
        <f t="shared" si="4"/>
        <v>33377940</v>
      </c>
      <c r="J33" s="3">
        <f>I33/$H$36</f>
        <v>0.41397485784704408</v>
      </c>
      <c r="K33" s="70" t="str">
        <f t="shared" si="3"/>
        <v>A</v>
      </c>
      <c r="L33" s="37"/>
    </row>
    <row r="34" spans="2:12" ht="15.75" customHeight="1">
      <c r="B34" s="30" t="s">
        <v>31</v>
      </c>
      <c r="C34" s="29"/>
      <c r="D34" s="1">
        <v>25000</v>
      </c>
      <c r="E34" s="27">
        <v>610</v>
      </c>
      <c r="F34" s="28"/>
      <c r="G34" s="29"/>
      <c r="H34" s="2">
        <f t="shared" si="2"/>
        <v>15250000</v>
      </c>
      <c r="I34" s="2">
        <f t="shared" si="4"/>
        <v>48627940</v>
      </c>
      <c r="J34" s="3">
        <f>I34/$H$36</f>
        <v>0.60311524764244251</v>
      </c>
      <c r="K34" s="70" t="str">
        <f t="shared" si="3"/>
        <v>A</v>
      </c>
      <c r="L34" s="37"/>
    </row>
    <row r="35" spans="2:12" ht="15.75" customHeight="1">
      <c r="B35" s="30" t="s">
        <v>32</v>
      </c>
      <c r="C35" s="29"/>
      <c r="D35" s="1">
        <v>160000</v>
      </c>
      <c r="E35" s="27">
        <v>200</v>
      </c>
      <c r="F35" s="28"/>
      <c r="G35" s="29"/>
      <c r="H35" s="2">
        <f t="shared" si="2"/>
        <v>32000000</v>
      </c>
      <c r="I35" s="8">
        <f t="shared" si="4"/>
        <v>80627940</v>
      </c>
      <c r="J35" s="3">
        <f>I35/$H$36</f>
        <v>1</v>
      </c>
      <c r="K35" s="6" t="str">
        <f t="shared" si="3"/>
        <v>C</v>
      </c>
      <c r="L35" s="4">
        <f>J35-L20</f>
        <v>0.39688475235755749</v>
      </c>
    </row>
    <row r="36" spans="2:12" ht="15.75" customHeight="1">
      <c r="H36" s="8">
        <f>SUM(H20:H35)</f>
        <v>80627940</v>
      </c>
    </row>
  </sheetData>
  <mergeCells count="35">
    <mergeCell ref="L20:L34"/>
    <mergeCell ref="B31:C31"/>
    <mergeCell ref="B32:C32"/>
    <mergeCell ref="E35:G35"/>
    <mergeCell ref="E31:G31"/>
    <mergeCell ref="B35:C35"/>
    <mergeCell ref="B20:C20"/>
    <mergeCell ref="E33:G33"/>
    <mergeCell ref="E32:G32"/>
    <mergeCell ref="E29:G29"/>
    <mergeCell ref="E28:G28"/>
    <mergeCell ref="E26:G26"/>
    <mergeCell ref="E27:G27"/>
    <mergeCell ref="B27:C27"/>
    <mergeCell ref="B28:C28"/>
    <mergeCell ref="E20:G20"/>
    <mergeCell ref="E21:G21"/>
    <mergeCell ref="E22:G22"/>
    <mergeCell ref="E23:G23"/>
    <mergeCell ref="B26:C26"/>
    <mergeCell ref="E24:G24"/>
    <mergeCell ref="E25:G25"/>
    <mergeCell ref="E19:G19"/>
    <mergeCell ref="B19:C19"/>
    <mergeCell ref="B21:C21"/>
    <mergeCell ref="B22:C22"/>
    <mergeCell ref="B23:C23"/>
    <mergeCell ref="B24:C24"/>
    <mergeCell ref="B25:C25"/>
    <mergeCell ref="E30:G30"/>
    <mergeCell ref="B29:C29"/>
    <mergeCell ref="B30:C30"/>
    <mergeCell ref="B33:C33"/>
    <mergeCell ref="B34:C34"/>
    <mergeCell ref="E34:G34"/>
  </mergeCells>
  <conditionalFormatting sqref="K20:K35">
    <cfRule type="cellIs" dxfId="6" priority="1" operator="equal">
      <formula>"C"</formula>
    </cfRule>
    <cfRule type="cellIs" dxfId="5" priority="2" operator="equal">
      <formula>"B"</formula>
    </cfRule>
    <cfRule type="cellIs" dxfId="4" priority="3" operator="equal">
      <formula>"A"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5:S35"/>
  <sheetViews>
    <sheetView topLeftCell="A19" zoomScale="73" zoomScaleNormal="73" workbookViewId="0">
      <selection activeCell="P36" sqref="P36"/>
    </sheetView>
  </sheetViews>
  <sheetFormatPr baseColWidth="10" defaultColWidth="12.6640625" defaultRowHeight="15.75" customHeight="1"/>
  <cols>
    <col min="3" max="3" width="17" customWidth="1"/>
    <col min="4" max="4" width="20.88671875" customWidth="1"/>
    <col min="6" max="6" width="20.6640625" customWidth="1"/>
    <col min="7" max="7" width="21.33203125" customWidth="1"/>
    <col min="11" max="11" width="10.6640625" customWidth="1"/>
    <col min="12" max="12" width="8" customWidth="1"/>
    <col min="13" max="13" width="13.6640625" customWidth="1"/>
    <col min="14" max="14" width="13.33203125" customWidth="1"/>
    <col min="15" max="15" width="13.6640625" customWidth="1"/>
    <col min="16" max="16" width="13.109375" customWidth="1"/>
    <col min="17" max="17" width="22.88671875" customWidth="1"/>
    <col min="18" max="19" width="9.109375" customWidth="1"/>
  </cols>
  <sheetData>
    <row r="15" spans="18:19" ht="21" customHeight="1">
      <c r="R15" s="9"/>
      <c r="S15" s="9"/>
    </row>
    <row r="16" spans="18:19" ht="13.2"/>
    <row r="17" spans="2:17" ht="13.2"/>
    <row r="18" spans="2:17" ht="13.2"/>
    <row r="19" spans="2:17" ht="13.2"/>
    <row r="20" spans="2:17" ht="13.2"/>
    <row r="21" spans="2:17" ht="15.6">
      <c r="B21" s="60" t="s">
        <v>33</v>
      </c>
      <c r="C21" s="60" t="s">
        <v>34</v>
      </c>
      <c r="D21" s="60" t="s">
        <v>35</v>
      </c>
      <c r="E21" s="60" t="s">
        <v>3</v>
      </c>
      <c r="F21" s="60" t="s">
        <v>4</v>
      </c>
      <c r="G21" s="60" t="s">
        <v>36</v>
      </c>
      <c r="H21" s="60" t="s">
        <v>6</v>
      </c>
      <c r="I21" s="61" t="s">
        <v>37</v>
      </c>
      <c r="L21" s="62" t="s">
        <v>6</v>
      </c>
      <c r="M21" s="62" t="s">
        <v>38</v>
      </c>
      <c r="N21" s="62" t="s">
        <v>11</v>
      </c>
      <c r="O21" s="62" t="s">
        <v>12</v>
      </c>
      <c r="P21" s="62" t="s">
        <v>39</v>
      </c>
      <c r="Q21" s="63" t="s">
        <v>36</v>
      </c>
    </row>
    <row r="22" spans="2:17" ht="13.8">
      <c r="B22" s="10">
        <v>3</v>
      </c>
      <c r="C22" s="10">
        <v>220</v>
      </c>
      <c r="D22" s="11">
        <v>4315</v>
      </c>
      <c r="E22" s="10">
        <f>C22*D22</f>
        <v>949300</v>
      </c>
      <c r="F22" s="10">
        <f>E22</f>
        <v>949300</v>
      </c>
      <c r="G22" s="12">
        <f>F22/E32</f>
        <v>0.39751100242451143</v>
      </c>
      <c r="H22" s="13" t="s">
        <v>16</v>
      </c>
      <c r="I22" s="53">
        <f>G23</f>
        <v>0.73669135843826294</v>
      </c>
      <c r="L22" s="64" t="s">
        <v>16</v>
      </c>
      <c r="M22" s="64">
        <v>2</v>
      </c>
      <c r="N22" s="65">
        <f>M22/M25</f>
        <v>0.2</v>
      </c>
      <c r="O22" s="65">
        <f>N22</f>
        <v>0.2</v>
      </c>
      <c r="P22" s="65">
        <f>I22</f>
        <v>0.73669135843826294</v>
      </c>
      <c r="Q22" s="65">
        <f>P22</f>
        <v>0.73669135843826294</v>
      </c>
    </row>
    <row r="23" spans="2:17" ht="13.8">
      <c r="B23" s="10">
        <v>9</v>
      </c>
      <c r="C23" s="14">
        <v>675</v>
      </c>
      <c r="D23" s="15">
        <v>1200</v>
      </c>
      <c r="E23" s="10">
        <f>C23*D23</f>
        <v>810000</v>
      </c>
      <c r="F23" s="14">
        <f>F22+E23</f>
        <v>1759300</v>
      </c>
      <c r="G23" s="12">
        <f>F23/E32</f>
        <v>0.73669135843826294</v>
      </c>
      <c r="H23" s="13" t="s">
        <v>16</v>
      </c>
      <c r="I23" s="54"/>
      <c r="L23" s="66" t="s">
        <v>18</v>
      </c>
      <c r="M23" s="66">
        <v>2</v>
      </c>
      <c r="N23" s="67">
        <f>M23/M25</f>
        <v>0.2</v>
      </c>
      <c r="O23" s="67">
        <f t="shared" ref="O23:O24" si="0">O22+N23</f>
        <v>0.4</v>
      </c>
      <c r="P23" s="67">
        <f>I24</f>
        <v>0.1662402485647646</v>
      </c>
      <c r="Q23" s="67">
        <f t="shared" ref="Q23:Q24" si="1">Q22+P23</f>
        <v>0.90293160700302755</v>
      </c>
    </row>
    <row r="24" spans="2:17" ht="13.8">
      <c r="B24" s="10">
        <v>5</v>
      </c>
      <c r="C24" s="14">
        <v>260</v>
      </c>
      <c r="D24" s="15">
        <v>950</v>
      </c>
      <c r="E24" s="10">
        <f>C24*D24</f>
        <v>247000</v>
      </c>
      <c r="F24" s="14">
        <f>F23+E24</f>
        <v>2006300</v>
      </c>
      <c r="G24" s="12">
        <f>F24/E32</f>
        <v>0.84012042996344394</v>
      </c>
      <c r="H24" s="16" t="s">
        <v>18</v>
      </c>
      <c r="I24" s="55">
        <f>G25-G23</f>
        <v>0.1662402485647646</v>
      </c>
      <c r="L24" s="68" t="s">
        <v>20</v>
      </c>
      <c r="M24" s="68">
        <v>6</v>
      </c>
      <c r="N24" s="69">
        <f>M24/M25</f>
        <v>0.6</v>
      </c>
      <c r="O24" s="69">
        <f t="shared" si="0"/>
        <v>1</v>
      </c>
      <c r="P24" s="69">
        <f>I26</f>
        <v>9.7068392996972452E-2</v>
      </c>
      <c r="Q24" s="69">
        <f t="shared" si="1"/>
        <v>1</v>
      </c>
    </row>
    <row r="25" spans="2:17" ht="13.8">
      <c r="B25" s="10">
        <v>1</v>
      </c>
      <c r="C25" s="14">
        <v>40</v>
      </c>
      <c r="D25" s="15">
        <v>3750</v>
      </c>
      <c r="E25" s="10">
        <f>C25*D25</f>
        <v>150000</v>
      </c>
      <c r="F25" s="14">
        <f>F24+E25</f>
        <v>2156300</v>
      </c>
      <c r="G25" s="12">
        <f>F25/E32</f>
        <v>0.90293160700302755</v>
      </c>
      <c r="H25" s="16" t="s">
        <v>18</v>
      </c>
      <c r="I25" s="56"/>
      <c r="M25" s="10">
        <v>10</v>
      </c>
    </row>
    <row r="26" spans="2:17" ht="13.8">
      <c r="B26" s="10">
        <v>10</v>
      </c>
      <c r="C26" s="14">
        <v>812</v>
      </c>
      <c r="D26" s="15">
        <v>158</v>
      </c>
      <c r="E26" s="10">
        <f>C26*D26</f>
        <v>128296</v>
      </c>
      <c r="F26" s="14">
        <f>F25+E26</f>
        <v>2284596</v>
      </c>
      <c r="G26" s="12">
        <f>F26/E32</f>
        <v>0.95665442546616364</v>
      </c>
      <c r="H26" s="17" t="s">
        <v>20</v>
      </c>
      <c r="I26" s="57">
        <f>G31-I24-I22</f>
        <v>9.7068392996972452E-2</v>
      </c>
    </row>
    <row r="27" spans="2:17" ht="15.75" customHeight="1">
      <c r="B27" s="44">
        <v>8</v>
      </c>
      <c r="C27" s="45">
        <v>538</v>
      </c>
      <c r="D27" s="46">
        <v>138.5</v>
      </c>
      <c r="E27" s="44">
        <f>C27*D27</f>
        <v>74513</v>
      </c>
      <c r="F27" s="45">
        <f>F26+E27</f>
        <v>2359109</v>
      </c>
      <c r="G27" s="47">
        <f>F27/E32</f>
        <v>0.9878560870311669</v>
      </c>
      <c r="H27" s="48" t="s">
        <v>20</v>
      </c>
      <c r="I27" s="58"/>
    </row>
    <row r="28" spans="2:17" ht="15.75" customHeight="1">
      <c r="B28" s="44">
        <v>6</v>
      </c>
      <c r="C28" s="45">
        <v>365</v>
      </c>
      <c r="D28" s="46">
        <v>40.5</v>
      </c>
      <c r="E28" s="44">
        <f>C28*D28</f>
        <v>14782.5</v>
      </c>
      <c r="F28" s="45">
        <f>F27+E28</f>
        <v>2373891.5</v>
      </c>
      <c r="G28" s="47">
        <f>F28/E32</f>
        <v>0.99404612852841789</v>
      </c>
      <c r="H28" s="48" t="s">
        <v>20</v>
      </c>
      <c r="I28" s="58"/>
    </row>
    <row r="29" spans="2:17" ht="15.75" customHeight="1">
      <c r="B29" s="44">
        <v>2</v>
      </c>
      <c r="C29" s="45">
        <v>200</v>
      </c>
      <c r="D29" s="46">
        <v>40</v>
      </c>
      <c r="E29" s="44">
        <f>C29*D29</f>
        <v>8000</v>
      </c>
      <c r="F29" s="45">
        <f>F28+E29</f>
        <v>2381891.5</v>
      </c>
      <c r="G29" s="47">
        <f>F29/E32</f>
        <v>0.99739605797052899</v>
      </c>
      <c r="H29" s="48" t="s">
        <v>20</v>
      </c>
      <c r="I29" s="58"/>
    </row>
    <row r="30" spans="2:17" ht="15.75" customHeight="1">
      <c r="B30" s="44">
        <v>4</v>
      </c>
      <c r="C30" s="45">
        <v>235</v>
      </c>
      <c r="D30" s="46">
        <v>17.5</v>
      </c>
      <c r="E30" s="44">
        <f>C30*D30</f>
        <v>4112.5</v>
      </c>
      <c r="F30" s="45">
        <f>F29+E30</f>
        <v>2386004</v>
      </c>
      <c r="G30" s="47">
        <f>F30/E32</f>
        <v>0.9991181310743642</v>
      </c>
      <c r="H30" s="48" t="s">
        <v>20</v>
      </c>
      <c r="I30" s="58"/>
    </row>
    <row r="31" spans="2:17" ht="15.75" customHeight="1">
      <c r="B31" s="44">
        <v>7</v>
      </c>
      <c r="C31" s="44">
        <v>405</v>
      </c>
      <c r="D31" s="49">
        <v>5.2</v>
      </c>
      <c r="E31" s="44">
        <f>C31*D31</f>
        <v>2106</v>
      </c>
      <c r="F31" s="52">
        <f>F30+E31</f>
        <v>2388110</v>
      </c>
      <c r="G31" s="47">
        <f>F31/E32</f>
        <v>1</v>
      </c>
      <c r="H31" s="48" t="s">
        <v>20</v>
      </c>
      <c r="I31" s="59"/>
    </row>
    <row r="32" spans="2:17" ht="15.75" customHeight="1">
      <c r="B32" s="44" t="s">
        <v>40</v>
      </c>
      <c r="C32" s="50"/>
      <c r="D32" s="50"/>
      <c r="E32" s="52">
        <f>SUM(E22:E31)</f>
        <v>2388110</v>
      </c>
      <c r="F32" s="50"/>
      <c r="G32" s="50"/>
      <c r="H32" s="50"/>
      <c r="I32" s="51"/>
    </row>
    <row r="33" spans="2:9" ht="15.75" customHeight="1">
      <c r="B33" s="51"/>
      <c r="C33" s="51"/>
      <c r="D33" s="51"/>
      <c r="E33" s="51"/>
      <c r="F33" s="51"/>
      <c r="G33" s="51"/>
      <c r="H33" s="51"/>
      <c r="I33" s="51"/>
    </row>
    <row r="34" spans="2:9" ht="15.75" customHeight="1">
      <c r="B34" s="51"/>
      <c r="C34" s="51"/>
      <c r="D34" s="51"/>
      <c r="E34" s="51"/>
      <c r="F34" s="51"/>
      <c r="G34" s="51"/>
      <c r="H34" s="51"/>
      <c r="I34" s="51"/>
    </row>
    <row r="35" spans="2:9" ht="15.75" customHeight="1">
      <c r="B35" s="51"/>
      <c r="C35" s="51"/>
      <c r="D35" s="51"/>
      <c r="E35" s="51"/>
      <c r="F35" s="51"/>
      <c r="G35" s="51"/>
      <c r="H35" s="51"/>
      <c r="I35" s="51"/>
    </row>
  </sheetData>
  <mergeCells count="2">
    <mergeCell ref="I22:I23"/>
    <mergeCell ref="I24:I25"/>
  </mergeCells>
  <conditionalFormatting sqref="H22:H31">
    <cfRule type="cellIs" dxfId="3" priority="1" operator="equal">
      <formula>"C"</formula>
    </cfRule>
    <cfRule type="cellIs" dxfId="2" priority="2" operator="equal">
      <formula>"A"</formula>
    </cfRule>
    <cfRule type="cellIs" dxfId="1" priority="3" operator="equal">
      <formula>"B"</formula>
    </cfRule>
    <cfRule type="cellIs" dxfId="0" priority="4" operator="equal">
      <formula>"A"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8:K54"/>
  <sheetViews>
    <sheetView workbookViewId="0">
      <selection activeCell="B54" sqref="B54"/>
    </sheetView>
  </sheetViews>
  <sheetFormatPr baseColWidth="10" defaultColWidth="12.6640625" defaultRowHeight="15.75" customHeight="1"/>
  <sheetData>
    <row r="18" spans="2:8">
      <c r="C18" s="71" t="s">
        <v>41</v>
      </c>
      <c r="D18" s="71" t="s">
        <v>42</v>
      </c>
      <c r="E18" s="71" t="s">
        <v>43</v>
      </c>
      <c r="F18" s="18"/>
      <c r="G18" s="72" t="s">
        <v>44</v>
      </c>
      <c r="H18" s="72" t="s">
        <v>45</v>
      </c>
    </row>
    <row r="19" spans="2:8">
      <c r="C19" s="19" t="s">
        <v>46</v>
      </c>
      <c r="D19" s="20" t="s">
        <v>47</v>
      </c>
      <c r="E19" s="20">
        <f>30+19</f>
        <v>49</v>
      </c>
      <c r="F19" s="18"/>
      <c r="G19" s="19" t="s">
        <v>48</v>
      </c>
      <c r="H19" s="19">
        <v>5</v>
      </c>
    </row>
    <row r="20" spans="2:8">
      <c r="C20" s="19" t="s">
        <v>49</v>
      </c>
      <c r="D20" s="20" t="s">
        <v>50</v>
      </c>
      <c r="E20" s="20">
        <v>5000</v>
      </c>
      <c r="F20" s="18"/>
      <c r="G20" s="19" t="s">
        <v>51</v>
      </c>
      <c r="H20" s="19">
        <f>H19*0.97</f>
        <v>4.8499999999999996</v>
      </c>
    </row>
    <row r="21" spans="2:8">
      <c r="C21" s="19" t="s">
        <v>52</v>
      </c>
      <c r="D21" s="20" t="s">
        <v>53</v>
      </c>
      <c r="E21" s="20">
        <v>0.2</v>
      </c>
      <c r="F21" s="18"/>
      <c r="G21" s="19" t="s">
        <v>54</v>
      </c>
      <c r="H21" s="19">
        <f>H19*0.95</f>
        <v>4.75</v>
      </c>
    </row>
    <row r="28" spans="2:8">
      <c r="C28" s="73" t="s">
        <v>55</v>
      </c>
      <c r="D28" s="73">
        <f>SQRT((2*$E$20*$E$19)/($E$21*H19))</f>
        <v>700</v>
      </c>
      <c r="E28" s="73">
        <v>700</v>
      </c>
      <c r="F28" s="73" t="s">
        <v>56</v>
      </c>
    </row>
    <row r="29" spans="2:8">
      <c r="C29" s="73" t="s">
        <v>57</v>
      </c>
      <c r="D29" s="73">
        <f>SQRT((2*$E$20*$E$19)/($E$21*H20))</f>
        <v>710.74231559353336</v>
      </c>
      <c r="E29" s="73">
        <v>1000</v>
      </c>
      <c r="F29" s="73" t="s">
        <v>58</v>
      </c>
    </row>
    <row r="30" spans="2:8">
      <c r="C30" s="73" t="s">
        <v>59</v>
      </c>
      <c r="D30" s="73">
        <f>SQRT((2*$E$20*$E$19)/($E$21*H21))</f>
        <v>718.1848464596078</v>
      </c>
      <c r="E30" s="73">
        <v>2500</v>
      </c>
      <c r="F30" s="73" t="s">
        <v>58</v>
      </c>
    </row>
    <row r="32" spans="2:8">
      <c r="B32" s="18"/>
      <c r="C32" s="18"/>
      <c r="D32" s="18"/>
      <c r="E32" s="18"/>
      <c r="F32" s="18"/>
      <c r="G32" s="18"/>
      <c r="H32" s="18"/>
    </row>
    <row r="36" spans="3:9">
      <c r="C36" s="73" t="s">
        <v>60</v>
      </c>
      <c r="D36" s="73">
        <f>$E$20*H19+($E$20/E28)*$E$19+(E28/2)*$E$21*H19</f>
        <v>25700</v>
      </c>
      <c r="F36" s="7" t="s">
        <v>61</v>
      </c>
      <c r="G36" s="7">
        <f>I49*$E$21</f>
        <v>1</v>
      </c>
    </row>
    <row r="37" spans="3:9">
      <c r="C37" s="73" t="s">
        <v>62</v>
      </c>
      <c r="D37" s="73">
        <f>$E$20*H20+($E$20/E29)*$E$19+(E29/2)*$E$21*H20</f>
        <v>24980</v>
      </c>
      <c r="G37" s="7">
        <f>I50*$E$21</f>
        <v>0.97</v>
      </c>
    </row>
    <row r="38" spans="3:9">
      <c r="C38" s="73" t="s">
        <v>63</v>
      </c>
      <c r="D38" s="73">
        <f>$E$20*H21+($E$20/E30)*$E$19+(E30/2)*$E$21*H21</f>
        <v>25035.5</v>
      </c>
      <c r="G38" s="7">
        <f>I51*$E$21</f>
        <v>0.95000000000000007</v>
      </c>
    </row>
    <row r="46" spans="3:9" ht="11.4" customHeight="1"/>
    <row r="47" spans="3:9" ht="24" customHeight="1"/>
    <row r="48" spans="3:9" ht="32.4" customHeight="1">
      <c r="C48" s="77" t="s">
        <v>64</v>
      </c>
      <c r="D48" s="77" t="s">
        <v>65</v>
      </c>
      <c r="E48" s="77" t="s">
        <v>52</v>
      </c>
      <c r="F48" s="77" t="s">
        <v>66</v>
      </c>
      <c r="G48" s="77" t="s">
        <v>67</v>
      </c>
      <c r="H48" s="77" t="s">
        <v>68</v>
      </c>
      <c r="I48" s="77" t="s">
        <v>69</v>
      </c>
    </row>
    <row r="49" spans="2:11">
      <c r="C49" s="5" t="s">
        <v>70</v>
      </c>
      <c r="D49" s="5">
        <f>($E$19*$E$20)/H49</f>
        <v>350</v>
      </c>
      <c r="E49" s="5">
        <f>(G36*E28)/2</f>
        <v>350</v>
      </c>
      <c r="F49" s="5">
        <f>$E$20*I49</f>
        <v>25000</v>
      </c>
      <c r="G49" s="5">
        <f t="shared" ref="G49:G51" si="0">SUM(D49:F49)</f>
        <v>25700</v>
      </c>
      <c r="H49" s="5">
        <f>E28</f>
        <v>700</v>
      </c>
      <c r="I49" s="5">
        <f>H19</f>
        <v>5</v>
      </c>
    </row>
    <row r="50" spans="2:11">
      <c r="C50" s="5" t="s">
        <v>71</v>
      </c>
      <c r="D50" s="5">
        <f>($E$19*$E$20)/H50</f>
        <v>245</v>
      </c>
      <c r="E50" s="5">
        <f>(G37*E29)/2</f>
        <v>485</v>
      </c>
      <c r="F50" s="5">
        <f>$E$20*I50</f>
        <v>24250</v>
      </c>
      <c r="G50" s="78">
        <f t="shared" si="0"/>
        <v>24980</v>
      </c>
      <c r="H50" s="5">
        <f>E29</f>
        <v>1000</v>
      </c>
      <c r="I50" s="5">
        <f>H20</f>
        <v>4.8499999999999996</v>
      </c>
    </row>
    <row r="51" spans="2:11">
      <c r="C51" s="5" t="s">
        <v>72</v>
      </c>
      <c r="D51" s="5">
        <f>($E$19*$E$20)/H51</f>
        <v>98</v>
      </c>
      <c r="E51" s="5">
        <f>(G38*E30)/2</f>
        <v>1187.5</v>
      </c>
      <c r="F51" s="5">
        <f>$E$20*I51</f>
        <v>23750</v>
      </c>
      <c r="G51" s="5">
        <f t="shared" si="0"/>
        <v>25035.5</v>
      </c>
      <c r="H51" s="5">
        <f>E30</f>
        <v>2500</v>
      </c>
      <c r="I51" s="5">
        <f>H21</f>
        <v>4.75</v>
      </c>
    </row>
    <row r="54" spans="2:11">
      <c r="B54" s="74" t="s">
        <v>73</v>
      </c>
      <c r="C54" s="75" t="s">
        <v>74</v>
      </c>
      <c r="D54" s="75"/>
      <c r="E54" s="75"/>
      <c r="F54" s="75"/>
      <c r="G54" s="75"/>
      <c r="H54" s="75"/>
      <c r="I54" s="75"/>
      <c r="J54" s="75"/>
      <c r="K54" s="7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G46"/>
  <sheetViews>
    <sheetView topLeftCell="A34" workbookViewId="0">
      <selection activeCell="G13" sqref="G13"/>
    </sheetView>
  </sheetViews>
  <sheetFormatPr baseColWidth="10" defaultColWidth="12.6640625" defaultRowHeight="15.75" customHeight="1"/>
  <cols>
    <col min="1" max="1" width="14.44140625" customWidth="1"/>
    <col min="2" max="2" width="13" customWidth="1"/>
    <col min="7" max="7" width="13.88671875" customWidth="1"/>
  </cols>
  <sheetData>
    <row r="2" spans="3:5"/>
    <row r="3" spans="3:5"/>
    <row r="4" spans="3:5"/>
    <row r="5" spans="3:5"/>
    <row r="6" spans="3:5"/>
    <row r="12" spans="3:5"/>
    <row r="14" spans="3:5">
      <c r="C14" s="84" t="s">
        <v>75</v>
      </c>
      <c r="D14" s="85">
        <v>8000</v>
      </c>
      <c r="E14" s="7" t="s">
        <v>76</v>
      </c>
    </row>
    <row r="15" spans="3:5" ht="15.75" customHeight="1">
      <c r="C15" s="84" t="s">
        <v>77</v>
      </c>
      <c r="D15" s="85">
        <v>12000</v>
      </c>
      <c r="E15" s="7" t="s">
        <v>78</v>
      </c>
    </row>
    <row r="16" spans="3:5" ht="15.75" customHeight="1">
      <c r="C16" s="84" t="s">
        <v>79</v>
      </c>
      <c r="D16" s="85">
        <v>10</v>
      </c>
      <c r="E16" s="7" t="s">
        <v>80</v>
      </c>
    </row>
    <row r="17" spans="1:7">
      <c r="C17" s="84" t="s">
        <v>81</v>
      </c>
      <c r="D17" s="85">
        <v>0.3</v>
      </c>
      <c r="E17" s="7" t="s">
        <v>82</v>
      </c>
    </row>
    <row r="18" spans="1:7" ht="15.75" customHeight="1">
      <c r="C18" s="84" t="s">
        <v>83</v>
      </c>
      <c r="D18" s="85">
        <v>1.1000000000000001</v>
      </c>
      <c r="E18" s="7" t="s">
        <v>84</v>
      </c>
    </row>
    <row r="19" spans="1:7"/>
    <row r="21" spans="1:7" ht="15.75" customHeight="1">
      <c r="A21" s="79" t="s">
        <v>85</v>
      </c>
      <c r="B21" s="80"/>
    </row>
    <row r="23" spans="1:7">
      <c r="C23" s="7" t="s">
        <v>86</v>
      </c>
      <c r="F23" s="81">
        <f>SQRT((2*8000*12000)/0.3)*SQRT((0.3+1.1)/1.1)</f>
        <v>28540.242720507034</v>
      </c>
      <c r="G23" s="82" t="s">
        <v>87</v>
      </c>
    </row>
    <row r="25" spans="1:7"/>
    <row r="26" spans="1:7">
      <c r="A26" s="79" t="s">
        <v>88</v>
      </c>
      <c r="B26" s="80"/>
    </row>
    <row r="28" spans="1:7" ht="15.75" customHeight="1">
      <c r="C28" s="7" t="s">
        <v>89</v>
      </c>
      <c r="F28" s="81">
        <f>SQRT((2*8000*0.3*12000)/((0.3+1.1)*1.1))</f>
        <v>6115.7662972515063</v>
      </c>
      <c r="G28" s="82" t="s">
        <v>87</v>
      </c>
    </row>
    <row r="30" spans="1:7"/>
    <row r="32" spans="1:7" ht="15.75" customHeight="1">
      <c r="A32" s="79" t="s">
        <v>90</v>
      </c>
      <c r="B32" s="80"/>
    </row>
    <row r="34" spans="1:7">
      <c r="A34" s="7" t="s">
        <v>91</v>
      </c>
    </row>
    <row r="35" spans="1:7" ht="15.75" customHeight="1">
      <c r="C35" s="7" t="s">
        <v>92</v>
      </c>
      <c r="F35" s="22">
        <f>SQRT((2*8000*1.1*12000)/((0.3+1.1)*0.3))</f>
        <v>22424.476423255524</v>
      </c>
    </row>
    <row r="37" spans="1:7"/>
    <row r="39" spans="1:7" ht="15.75" customHeight="1">
      <c r="D39" s="83">
        <f>(((F35^2)*D17)/(2*F23))+(((F28^2)*D18)/(2*F23))+((D15*D14)/F23)+D16*D14</f>
        <v>86727.342926976649</v>
      </c>
      <c r="E39" s="82" t="s">
        <v>93</v>
      </c>
    </row>
    <row r="43" spans="1:7" ht="15.75" customHeight="1">
      <c r="A43" s="79" t="s">
        <v>94</v>
      </c>
      <c r="B43" s="80"/>
      <c r="C43" s="80"/>
    </row>
    <row r="46" spans="1:7" ht="15.75" customHeight="1">
      <c r="C46" s="7" t="s">
        <v>95</v>
      </c>
      <c r="F46" s="81">
        <f>SQRT((2*1.1*12000)/(8000*(1.1+0.3)*0.3))</f>
        <v>2.8030595529069404</v>
      </c>
      <c r="G46" s="82" t="s">
        <v>96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3:I42"/>
  <sheetViews>
    <sheetView topLeftCell="A10" workbookViewId="0">
      <selection activeCell="F20" sqref="F20"/>
    </sheetView>
  </sheetViews>
  <sheetFormatPr baseColWidth="10" defaultColWidth="12.6640625" defaultRowHeight="15.75" customHeight="1"/>
  <cols>
    <col min="1" max="1" width="16" customWidth="1"/>
    <col min="2" max="2" width="22.88671875" customWidth="1"/>
  </cols>
  <sheetData>
    <row r="13" spans="1:9">
      <c r="A13" s="23" t="s">
        <v>97</v>
      </c>
      <c r="B13" s="23"/>
      <c r="C13" s="23"/>
      <c r="F13" s="21" t="s">
        <v>98</v>
      </c>
    </row>
    <row r="14" spans="1:9">
      <c r="A14" s="94" t="s">
        <v>99</v>
      </c>
      <c r="B14" s="23" t="s">
        <v>100</v>
      </c>
      <c r="C14" s="23">
        <f>700*24</f>
        <v>16800</v>
      </c>
      <c r="D14" s="21" t="s">
        <v>101</v>
      </c>
      <c r="F14" s="21" t="s">
        <v>102</v>
      </c>
      <c r="I14" s="24">
        <f>B16+B17</f>
        <v>550</v>
      </c>
    </row>
    <row r="15" spans="1:9">
      <c r="A15" s="94" t="s">
        <v>103</v>
      </c>
      <c r="B15" s="23">
        <v>0.6</v>
      </c>
      <c r="C15" s="25" t="s">
        <v>104</v>
      </c>
    </row>
    <row r="16" spans="1:9">
      <c r="A16" s="94" t="s">
        <v>65</v>
      </c>
      <c r="B16" s="23">
        <v>350</v>
      </c>
      <c r="C16" s="23"/>
    </row>
    <row r="17" spans="1:3">
      <c r="A17" s="94" t="s">
        <v>105</v>
      </c>
      <c r="B17" s="23">
        <v>200</v>
      </c>
      <c r="C17" s="23"/>
    </row>
    <row r="18" spans="1:3">
      <c r="A18" s="94" t="s">
        <v>106</v>
      </c>
      <c r="B18" s="23">
        <v>10</v>
      </c>
      <c r="C18" s="23"/>
    </row>
    <row r="21" spans="1:3" ht="15.75" customHeight="1">
      <c r="A21" s="88" t="s">
        <v>164</v>
      </c>
      <c r="B21" s="87"/>
    </row>
    <row r="23" spans="1:3" ht="13.2">
      <c r="B23" s="21" t="s">
        <v>107</v>
      </c>
      <c r="C23" s="89">
        <f>SQRT((2*C14*I14)/B15)</f>
        <v>5549.7747702046436</v>
      </c>
    </row>
    <row r="26" spans="1:3" ht="15.75" customHeight="1">
      <c r="A26" s="88" t="s">
        <v>165</v>
      </c>
      <c r="B26" s="87"/>
      <c r="C26" s="86"/>
    </row>
    <row r="27" spans="1:3" ht="13.2">
      <c r="A27" s="7"/>
    </row>
    <row r="28" spans="1:3" ht="13.2">
      <c r="B28" s="21" t="s">
        <v>108</v>
      </c>
      <c r="C28" s="89">
        <f>C14/C23</f>
        <v>3.027149874657078</v>
      </c>
    </row>
    <row r="32" spans="1:3" ht="15">
      <c r="A32" s="88" t="s">
        <v>166</v>
      </c>
      <c r="B32" s="87"/>
      <c r="C32" s="86"/>
    </row>
    <row r="34" spans="2:4" ht="13.2">
      <c r="B34" s="21" t="s">
        <v>109</v>
      </c>
      <c r="C34" s="90">
        <f>((C14/C23)*I14)+((C23/2)*B15)+(C14*B18)</f>
        <v>171329.86486212278</v>
      </c>
    </row>
    <row r="37" spans="2:4" ht="13.2"/>
    <row r="38" spans="2:4" ht="15.75" customHeight="1">
      <c r="B38" s="21" t="s">
        <v>110</v>
      </c>
    </row>
    <row r="39" spans="2:4" ht="13.2"/>
    <row r="40" spans="2:4" ht="13.2">
      <c r="B40" s="91" t="s">
        <v>111</v>
      </c>
      <c r="C40" s="92">
        <f>C23</f>
        <v>5549.7747702046436</v>
      </c>
      <c r="D40" s="21" t="s">
        <v>112</v>
      </c>
    </row>
    <row r="41" spans="2:4" ht="13.2">
      <c r="B41" s="91" t="s">
        <v>113</v>
      </c>
      <c r="C41" s="92">
        <f>C28</f>
        <v>3.027149874657078</v>
      </c>
    </row>
    <row r="42" spans="2:4" ht="15.75" customHeight="1">
      <c r="B42" s="91" t="s">
        <v>114</v>
      </c>
      <c r="C42" s="93">
        <f>C34</f>
        <v>171329.86486212278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8"/>
  <sheetViews>
    <sheetView topLeftCell="A10" workbookViewId="0">
      <selection activeCell="H26" sqref="H26"/>
    </sheetView>
  </sheetViews>
  <sheetFormatPr baseColWidth="10" defaultColWidth="12.6640625" defaultRowHeight="15.75" customHeight="1"/>
  <cols>
    <col min="1" max="1" width="13.88671875" customWidth="1"/>
    <col min="3" max="3" width="24.109375" customWidth="1"/>
    <col min="8" max="8" width="20.44140625" customWidth="1"/>
  </cols>
  <sheetData>
    <row r="1" spans="1:6">
      <c r="A1" s="95"/>
      <c r="B1" s="96"/>
      <c r="C1" s="96"/>
      <c r="D1" s="96"/>
      <c r="E1" s="96"/>
      <c r="F1" s="96"/>
    </row>
    <row r="2" spans="1:6">
      <c r="A2" s="96"/>
      <c r="B2" s="96"/>
      <c r="C2" s="96"/>
      <c r="D2" s="96"/>
      <c r="E2" s="96"/>
      <c r="F2" s="96"/>
    </row>
    <row r="3" spans="1:6">
      <c r="A3" s="96"/>
      <c r="B3" s="96"/>
      <c r="C3" s="96"/>
      <c r="D3" s="96"/>
      <c r="E3" s="96"/>
      <c r="F3" s="96"/>
    </row>
    <row r="4" spans="1:6">
      <c r="A4" s="96"/>
      <c r="B4" s="96"/>
      <c r="C4" s="96"/>
      <c r="D4" s="96"/>
      <c r="E4" s="96"/>
      <c r="F4" s="96"/>
    </row>
    <row r="5" spans="1:6">
      <c r="A5" s="96"/>
      <c r="B5" s="96"/>
      <c r="C5" s="96"/>
      <c r="D5" s="96"/>
      <c r="E5" s="96"/>
      <c r="F5" s="96"/>
    </row>
    <row r="6" spans="1:6">
      <c r="A6" s="96"/>
      <c r="B6" s="96"/>
      <c r="C6" s="96"/>
      <c r="D6" s="96"/>
      <c r="E6" s="96"/>
      <c r="F6" s="96"/>
    </row>
    <row r="7" spans="1:6">
      <c r="A7" s="96"/>
      <c r="B7" s="96"/>
      <c r="C7" s="96"/>
      <c r="D7" s="96"/>
      <c r="E7" s="96"/>
      <c r="F7" s="96"/>
    </row>
    <row r="8" spans="1:6">
      <c r="A8" s="7"/>
      <c r="B8" s="7"/>
      <c r="C8" s="7"/>
      <c r="D8" s="7"/>
      <c r="E8" s="7"/>
      <c r="F8" s="7"/>
    </row>
    <row r="9" spans="1:6"/>
    <row r="10" spans="1:6"/>
    <row r="11" spans="1:6"/>
    <row r="12" spans="1:6">
      <c r="B12" s="7" t="s">
        <v>115</v>
      </c>
      <c r="C12" s="7" t="s">
        <v>116</v>
      </c>
      <c r="D12" s="7" t="s">
        <v>50</v>
      </c>
      <c r="E12" s="7">
        <v>2000</v>
      </c>
      <c r="F12" s="7" t="s">
        <v>117</v>
      </c>
    </row>
    <row r="13" spans="1:6">
      <c r="B13" s="7" t="s">
        <v>76</v>
      </c>
      <c r="C13" s="7" t="s">
        <v>118</v>
      </c>
      <c r="D13" s="7" t="s">
        <v>119</v>
      </c>
      <c r="E13" s="7">
        <v>8</v>
      </c>
      <c r="F13" s="7" t="s">
        <v>120</v>
      </c>
    </row>
    <row r="14" spans="1:6">
      <c r="C14" s="7" t="s">
        <v>121</v>
      </c>
      <c r="D14" s="7" t="s">
        <v>122</v>
      </c>
      <c r="E14" s="7">
        <v>12</v>
      </c>
      <c r="F14" s="7" t="s">
        <v>120</v>
      </c>
    </row>
    <row r="15" spans="1:6">
      <c r="B15" s="7" t="s">
        <v>61</v>
      </c>
      <c r="C15" s="7" t="s">
        <v>123</v>
      </c>
      <c r="D15" s="7" t="s">
        <v>124</v>
      </c>
      <c r="E15" s="7">
        <f>0.12*35</f>
        <v>4.2</v>
      </c>
      <c r="F15" s="7" t="s">
        <v>125</v>
      </c>
    </row>
    <row r="16" spans="1:6">
      <c r="A16" s="7"/>
      <c r="C16" s="7" t="s">
        <v>126</v>
      </c>
      <c r="D16" s="7" t="s">
        <v>20</v>
      </c>
      <c r="E16" s="7">
        <v>35</v>
      </c>
    </row>
    <row r="17" spans="2:8" ht="15.75" customHeight="1">
      <c r="B17" s="7" t="s">
        <v>127</v>
      </c>
      <c r="C17" s="7" t="s">
        <v>128</v>
      </c>
      <c r="D17" s="7" t="s">
        <v>129</v>
      </c>
      <c r="E17" s="7">
        <v>20</v>
      </c>
    </row>
    <row r="18" spans="2:8" ht="15.75" customHeight="1">
      <c r="B18" s="7" t="s">
        <v>130</v>
      </c>
      <c r="C18" s="7" t="s">
        <v>131</v>
      </c>
      <c r="D18" s="7" t="s">
        <v>132</v>
      </c>
      <c r="E18" s="7">
        <v>3</v>
      </c>
      <c r="F18" s="7" t="s">
        <v>133</v>
      </c>
    </row>
    <row r="22" spans="2:8" ht="15.75" customHeight="1">
      <c r="B22" s="5" t="s">
        <v>134</v>
      </c>
      <c r="C22" s="5">
        <f>SQRT(2*E12*12*E17/E15)</f>
        <v>478.09144373375744</v>
      </c>
      <c r="D22" s="7"/>
      <c r="E22" s="7"/>
      <c r="F22" s="7"/>
      <c r="G22" s="98"/>
      <c r="H22" s="98"/>
    </row>
    <row r="23" spans="2:8" ht="15.75" customHeight="1">
      <c r="B23" s="97" t="s">
        <v>135</v>
      </c>
      <c r="C23" s="97">
        <f>C22/E13</f>
        <v>59.761430466719681</v>
      </c>
      <c r="D23" s="7" t="s">
        <v>136</v>
      </c>
      <c r="E23" s="7"/>
      <c r="F23" s="7"/>
      <c r="G23" s="98" t="s">
        <v>137</v>
      </c>
      <c r="H23" s="98"/>
    </row>
    <row r="24" spans="2:8" ht="15.75" customHeight="1">
      <c r="B24" s="5" t="s">
        <v>138</v>
      </c>
      <c r="C24" s="5">
        <v>30</v>
      </c>
      <c r="D24" s="7" t="s">
        <v>139</v>
      </c>
      <c r="E24" s="7"/>
      <c r="F24" s="7"/>
      <c r="G24" s="100" t="s">
        <v>16</v>
      </c>
      <c r="H24" s="100">
        <f>C23</f>
        <v>59.761430466719681</v>
      </c>
    </row>
    <row r="25" spans="2:8" ht="15.75" customHeight="1">
      <c r="B25" s="97" t="s">
        <v>140</v>
      </c>
      <c r="C25" s="97">
        <f>E12/C22</f>
        <v>4.1833001326703778</v>
      </c>
      <c r="D25" s="7" t="s">
        <v>141</v>
      </c>
      <c r="E25" s="7"/>
      <c r="F25" s="7"/>
      <c r="G25" s="99" t="s">
        <v>18</v>
      </c>
      <c r="H25" s="99">
        <f>C24</f>
        <v>30</v>
      </c>
    </row>
    <row r="26" spans="2:8" ht="15.75" customHeight="1">
      <c r="B26" s="5" t="s">
        <v>53</v>
      </c>
      <c r="C26" s="5">
        <f>C22/2</f>
        <v>239.04572186687872</v>
      </c>
      <c r="D26" s="7"/>
      <c r="E26" s="7"/>
      <c r="F26" s="7"/>
      <c r="G26" s="97" t="s">
        <v>20</v>
      </c>
      <c r="H26" s="97">
        <f t="shared" ref="H24:H26" si="0">C25</f>
        <v>4.1833001326703778</v>
      </c>
    </row>
    <row r="27" spans="2:8" ht="15.75" customHeight="1">
      <c r="B27" s="5" t="s">
        <v>142</v>
      </c>
      <c r="C27" s="5">
        <f>E12/C22*E17</f>
        <v>83.66600265340756</v>
      </c>
      <c r="D27" s="7"/>
      <c r="E27" s="7"/>
      <c r="F27" s="7"/>
      <c r="G27" s="97" t="s">
        <v>50</v>
      </c>
      <c r="H27" s="97">
        <f>C28</f>
        <v>322.71172452028628</v>
      </c>
    </row>
    <row r="28" spans="2:8" ht="15.75" customHeight="1">
      <c r="B28" s="5" t="s">
        <v>143</v>
      </c>
      <c r="C28" s="5">
        <f>C26+C27+0</f>
        <v>322.71172452028628</v>
      </c>
      <c r="D28" s="7" t="s">
        <v>144</v>
      </c>
      <c r="E28" s="7"/>
      <c r="F28" s="7"/>
      <c r="G28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7:H39"/>
  <sheetViews>
    <sheetView tabSelected="1" topLeftCell="A13" workbookViewId="0">
      <selection activeCell="J11" sqref="J11"/>
    </sheetView>
  </sheetViews>
  <sheetFormatPr baseColWidth="10" defaultColWidth="12.6640625" defaultRowHeight="15.75" customHeight="1"/>
  <sheetData>
    <row r="7" spans="2:4"/>
    <row r="8" spans="2:4"/>
    <row r="10" spans="2:4"/>
    <row r="11" spans="2:4"/>
    <row r="12" spans="2:4">
      <c r="B12" s="7" t="s">
        <v>145</v>
      </c>
      <c r="C12" s="7">
        <v>240</v>
      </c>
      <c r="D12" s="7" t="s">
        <v>133</v>
      </c>
    </row>
    <row r="13" spans="2:4" ht="15.75" customHeight="1">
      <c r="C13" s="7">
        <f>C12/7</f>
        <v>34.285714285714285</v>
      </c>
      <c r="D13" s="7" t="s">
        <v>146</v>
      </c>
    </row>
    <row r="18" spans="2:7">
      <c r="B18" s="26" t="s">
        <v>147</v>
      </c>
      <c r="C18" s="5" t="s">
        <v>76</v>
      </c>
      <c r="D18" s="5">
        <v>50</v>
      </c>
      <c r="E18" s="5" t="s">
        <v>148</v>
      </c>
      <c r="F18" s="101">
        <f>D18*C12</f>
        <v>12000</v>
      </c>
      <c r="G18" s="101" t="s">
        <v>149</v>
      </c>
    </row>
    <row r="19" spans="2:7">
      <c r="B19" s="26" t="s">
        <v>150</v>
      </c>
      <c r="C19" s="5" t="s">
        <v>78</v>
      </c>
      <c r="D19" s="5">
        <v>25</v>
      </c>
      <c r="E19" s="5" t="s">
        <v>151</v>
      </c>
      <c r="F19" s="101">
        <v>25</v>
      </c>
      <c r="G19" s="101" t="s">
        <v>151</v>
      </c>
    </row>
    <row r="20" spans="2:7" ht="15.75" customHeight="1">
      <c r="B20" s="26" t="s">
        <v>152</v>
      </c>
      <c r="C20" s="5" t="s">
        <v>82</v>
      </c>
      <c r="D20" s="5">
        <v>0.7</v>
      </c>
      <c r="E20" s="5" t="s">
        <v>153</v>
      </c>
      <c r="F20" s="101">
        <f>D20*C13</f>
        <v>23.999999999999996</v>
      </c>
      <c r="G20" s="101" t="s">
        <v>154</v>
      </c>
    </row>
    <row r="26" spans="2:7">
      <c r="F26" s="7" t="s">
        <v>155</v>
      </c>
    </row>
    <row r="27" spans="2:7">
      <c r="B27" s="102" t="s">
        <v>107</v>
      </c>
      <c r="C27" s="7">
        <f>SQRT((2*F18*F19)/(F20))</f>
        <v>158.11388300841898</v>
      </c>
      <c r="D27" s="7" t="s">
        <v>156</v>
      </c>
      <c r="F27" s="7">
        <f>F18/C27</f>
        <v>75.894663844041091</v>
      </c>
    </row>
    <row r="29" spans="2:7"/>
    <row r="30" spans="2:7"/>
    <row r="31" spans="2:7"/>
    <row r="34" spans="2:8" ht="15.75" customHeight="1">
      <c r="B34" s="102" t="s">
        <v>157</v>
      </c>
      <c r="C34" s="7">
        <f>SQRT((2*F19)/(F18*F20))</f>
        <v>1.3176156917368249E-2</v>
      </c>
      <c r="D34" s="7" t="s">
        <v>158</v>
      </c>
      <c r="E34" s="7">
        <f>C35-3</f>
        <v>0.16227766016837952</v>
      </c>
      <c r="F34" s="7" t="s">
        <v>133</v>
      </c>
      <c r="G34" s="7">
        <f>E35-3</f>
        <v>0.89466384404110855</v>
      </c>
      <c r="H34" s="7" t="s">
        <v>159</v>
      </c>
    </row>
    <row r="35" spans="2:8" ht="15.75" customHeight="1">
      <c r="C35" s="7">
        <f>C34*C12</f>
        <v>3.1622776601683795</v>
      </c>
      <c r="D35" s="7" t="s">
        <v>133</v>
      </c>
      <c r="E35" s="7">
        <f>E34*24</f>
        <v>3.8946638440411085</v>
      </c>
      <c r="F35" s="7" t="s">
        <v>159</v>
      </c>
      <c r="G35" s="7">
        <f>G34*60</f>
        <v>53.679830642466513</v>
      </c>
      <c r="H35" s="7" t="s">
        <v>160</v>
      </c>
    </row>
    <row r="37" spans="2:8" ht="15.75" customHeight="1">
      <c r="B37" s="103" t="s">
        <v>73</v>
      </c>
      <c r="C37" s="104" t="s">
        <v>161</v>
      </c>
      <c r="D37" s="104"/>
      <c r="E37" s="104"/>
      <c r="F37" s="104"/>
      <c r="G37" s="104"/>
      <c r="H37" s="104"/>
    </row>
    <row r="38" spans="2:8" ht="15.75" customHeight="1">
      <c r="B38" s="104"/>
      <c r="C38" s="104" t="s">
        <v>162</v>
      </c>
      <c r="D38" s="104"/>
      <c r="E38" s="104"/>
      <c r="F38" s="104"/>
      <c r="G38" s="104"/>
      <c r="H38" s="104"/>
    </row>
    <row r="39" spans="2:8" ht="15.75" customHeight="1">
      <c r="B39" s="104"/>
      <c r="C39" s="104" t="s">
        <v>163</v>
      </c>
      <c r="D39" s="104"/>
      <c r="E39" s="104"/>
      <c r="F39" s="104"/>
      <c r="G39" s="104"/>
      <c r="H39" s="10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Problema 1</vt:lpstr>
      <vt:lpstr>Problema 2</vt:lpstr>
      <vt:lpstr>Problema 3</vt:lpstr>
      <vt:lpstr>Problema4</vt:lpstr>
      <vt:lpstr>Problema 5</vt:lpstr>
      <vt:lpstr>Problema 6</vt:lpstr>
      <vt:lpstr>Problema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Madeline Odalis Juarez Olivares</cp:lastModifiedBy>
  <dcterms:modified xsi:type="dcterms:W3CDTF">2024-12-20T15:52:33Z</dcterms:modified>
</cp:coreProperties>
</file>