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UVa\Mis estudios\Comparativa webs\2023-11\"/>
    </mc:Choice>
  </mc:AlternateContent>
  <xr:revisionPtr revIDLastSave="0" documentId="13_ncr:1_{78D5A862-E7A5-4454-86D8-D903662F07A6}" xr6:coauthVersionLast="47" xr6:coauthVersionMax="47" xr10:uidLastSave="{00000000-0000-0000-0000-000000000000}"/>
  <bookViews>
    <workbookView xWindow="-19320" yWindow="570" windowWidth="19440" windowHeight="15000" activeTab="2" xr2:uid="{00000000-000D-0000-FFFF-FFFF00000000}"/>
  </bookViews>
  <sheets>
    <sheet name="Comp. puntuación media" sheetId="2" r:id="rId1"/>
    <sheet name="Comp. cumplimiento criterios" sheetId="1" r:id="rId2"/>
    <sheet name="Comp. cumplimiento nivel ad." sheetId="5" r:id="rId3"/>
    <sheet name="Cumplimiento indicadores GrPRI" sheetId="4" state="hidden" r:id="rId4"/>
    <sheet name="Cumplimiento indicadores GrPUB" sheetId="3" state="hidden" r:id="rId5"/>
  </sheets>
  <externalReferences>
    <externalReference r:id="rId6"/>
    <externalReference r:id="rId7"/>
  </externalReferences>
  <definedNames>
    <definedName name="_xlnm._FilterDatabase" localSheetId="1" hidden="1">'Comp. cumplimiento criterios'!$A$27:$O$47</definedName>
    <definedName name="_xlchart.v1.0" hidden="1">'Comp. puntuación media'!$D$2</definedName>
    <definedName name="_xlchart.v1.1" hidden="1">'Comp. puntuación media'!$D$3:$D$66</definedName>
    <definedName name="_xlchart.v1.2" hidden="1">'Comp. puntuación media'!$H$2</definedName>
    <definedName name="_xlchart.v1.3" hidden="1">'Comp. puntuación media'!$H$3:$H$66</definedName>
    <definedName name="_xlchart.v1.4" hidden="1">'Comp. puntuación media'!$D$2</definedName>
    <definedName name="_xlchart.v1.5" hidden="1">'Comp. puntuación media'!$D$3:$D$66</definedName>
    <definedName name="_xlchart.v1.6" hidden="1">'Comp. puntuación media'!$H$2</definedName>
    <definedName name="_xlchart.v1.7" hidden="1">'Comp. puntuación media'!$H$3:$H$66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2" i="5"/>
  <c r="B2" i="5"/>
  <c r="B3" i="5"/>
  <c r="B4" i="5"/>
  <c r="A4" i="5"/>
  <c r="A3" i="5"/>
  <c r="A2" i="5"/>
  <c r="A29" i="1" l="1"/>
  <c r="B29" i="1"/>
  <c r="C29" i="1"/>
  <c r="G29" i="1"/>
  <c r="K29" i="1"/>
  <c r="A30" i="1"/>
  <c r="B30" i="1"/>
  <c r="C30" i="1"/>
  <c r="E30" i="1"/>
  <c r="G30" i="1"/>
  <c r="I30" i="1"/>
  <c r="K30" i="1"/>
  <c r="A31" i="1"/>
  <c r="B31" i="1"/>
  <c r="C31" i="1"/>
  <c r="E31" i="1"/>
  <c r="I31" i="1"/>
  <c r="A32" i="1"/>
  <c r="B32" i="1"/>
  <c r="C32" i="1"/>
  <c r="E32" i="1"/>
  <c r="G32" i="1"/>
  <c r="I32" i="1"/>
  <c r="K32" i="1"/>
  <c r="A33" i="1"/>
  <c r="B33" i="1"/>
  <c r="C33" i="1"/>
  <c r="E33" i="1"/>
  <c r="G33" i="1"/>
  <c r="I33" i="1"/>
  <c r="K33" i="1"/>
  <c r="A34" i="1"/>
  <c r="B34" i="1"/>
  <c r="C34" i="1"/>
  <c r="E34" i="1"/>
  <c r="I34" i="1"/>
  <c r="A35" i="1"/>
  <c r="B35" i="1"/>
  <c r="C35" i="1"/>
  <c r="E35" i="1"/>
  <c r="G35" i="1"/>
  <c r="I35" i="1"/>
  <c r="K35" i="1"/>
  <c r="A36" i="1"/>
  <c r="B36" i="1"/>
  <c r="C36" i="1"/>
  <c r="E36" i="1"/>
  <c r="I36" i="1"/>
  <c r="A37" i="1"/>
  <c r="B37" i="1"/>
  <c r="C37" i="1"/>
  <c r="I37" i="1"/>
  <c r="A38" i="1"/>
  <c r="B38" i="1"/>
  <c r="C38" i="1"/>
  <c r="E38" i="1"/>
  <c r="G38" i="1"/>
  <c r="I38" i="1"/>
  <c r="K38" i="1"/>
  <c r="A39" i="1"/>
  <c r="B39" i="1"/>
  <c r="C39" i="1"/>
  <c r="E39" i="1"/>
  <c r="I39" i="1"/>
  <c r="K39" i="1"/>
  <c r="A40" i="1"/>
  <c r="B40" i="1"/>
  <c r="C40" i="1"/>
  <c r="E40" i="1"/>
  <c r="G40" i="1"/>
  <c r="I40" i="1"/>
  <c r="K40" i="1"/>
  <c r="A41" i="1"/>
  <c r="B41" i="1"/>
  <c r="C41" i="1"/>
  <c r="E41" i="1"/>
  <c r="G41" i="1"/>
  <c r="I41" i="1"/>
  <c r="K41" i="1"/>
  <c r="A42" i="1"/>
  <c r="B42" i="1"/>
  <c r="C42" i="1"/>
  <c r="E42" i="1"/>
  <c r="I42" i="1"/>
  <c r="A43" i="1"/>
  <c r="B43" i="1"/>
  <c r="C43" i="1"/>
  <c r="E43" i="1"/>
  <c r="G43" i="1"/>
  <c r="I43" i="1"/>
  <c r="K43" i="1"/>
  <c r="A44" i="1"/>
  <c r="B44" i="1"/>
  <c r="C44" i="1"/>
  <c r="E44" i="1"/>
  <c r="G44" i="1"/>
  <c r="I44" i="1"/>
  <c r="K44" i="1"/>
  <c r="A45" i="1"/>
  <c r="B45" i="1"/>
  <c r="C45" i="1"/>
  <c r="E45" i="1"/>
  <c r="G45" i="1"/>
  <c r="I45" i="1"/>
  <c r="K45" i="1"/>
  <c r="A46" i="1"/>
  <c r="B46" i="1"/>
  <c r="C46" i="1"/>
  <c r="E46" i="1"/>
  <c r="G46" i="1"/>
  <c r="I46" i="1"/>
  <c r="K46" i="1"/>
  <c r="A47" i="1"/>
  <c r="B47" i="1"/>
  <c r="C47" i="1"/>
  <c r="E47" i="1"/>
  <c r="I47" i="1"/>
  <c r="K47" i="1"/>
  <c r="B28" i="1"/>
  <c r="C28" i="1"/>
  <c r="E28" i="1"/>
  <c r="I28" i="1"/>
  <c r="K28" i="1"/>
  <c r="A28" i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B3" i="4"/>
  <c r="C3" i="4"/>
  <c r="D3" i="4"/>
  <c r="E3" i="4"/>
  <c r="F3" i="4"/>
  <c r="G3" i="4"/>
  <c r="H3" i="4"/>
  <c r="I3" i="4"/>
  <c r="I67" i="4" s="1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B15" i="4"/>
  <c r="C15" i="4"/>
  <c r="D15" i="4"/>
  <c r="E15" i="4"/>
  <c r="F15" i="4"/>
  <c r="G15" i="4"/>
  <c r="H15" i="4"/>
  <c r="I15" i="4"/>
  <c r="J15" i="4"/>
  <c r="J70" i="4" s="1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O69" i="4" s="1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T68" i="4" s="1"/>
  <c r="U50" i="4"/>
  <c r="V50" i="4"/>
  <c r="W50" i="4"/>
  <c r="X50" i="4"/>
  <c r="Y50" i="4"/>
  <c r="Z50" i="4"/>
  <c r="AA50" i="4"/>
  <c r="AB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2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C27" i="3"/>
  <c r="D27" i="3"/>
  <c r="E27" i="3"/>
  <c r="F27" i="3"/>
  <c r="G27" i="3"/>
  <c r="H27" i="3"/>
  <c r="I27" i="3"/>
  <c r="J27" i="3"/>
  <c r="K27" i="3"/>
  <c r="K68" i="3" s="1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Q70" i="3" s="1"/>
  <c r="R28" i="3"/>
  <c r="S28" i="3"/>
  <c r="T28" i="3"/>
  <c r="U28" i="3"/>
  <c r="V28" i="3"/>
  <c r="W28" i="3"/>
  <c r="X28" i="3"/>
  <c r="Y28" i="3"/>
  <c r="Z28" i="3"/>
  <c r="AA28" i="3"/>
  <c r="AB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T70" i="3" s="1"/>
  <c r="U29" i="3"/>
  <c r="V29" i="3"/>
  <c r="W29" i="3"/>
  <c r="X29" i="3"/>
  <c r="Y29" i="3"/>
  <c r="Z29" i="3"/>
  <c r="AA29" i="3"/>
  <c r="AB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C37" i="3"/>
  <c r="D37" i="3"/>
  <c r="E37" i="3"/>
  <c r="F37" i="3"/>
  <c r="G37" i="3"/>
  <c r="G69" i="3" s="1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W69" i="3" s="1"/>
  <c r="X37" i="3"/>
  <c r="Y37" i="3"/>
  <c r="Z37" i="3"/>
  <c r="AA37" i="3"/>
  <c r="AB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C40" i="3"/>
  <c r="D40" i="3"/>
  <c r="E40" i="3"/>
  <c r="F40" i="3"/>
  <c r="G40" i="3"/>
  <c r="H40" i="3"/>
  <c r="I40" i="3"/>
  <c r="I69" i="3" s="1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O69" i="3" s="1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C57" i="3"/>
  <c r="D57" i="3"/>
  <c r="E57" i="3"/>
  <c r="F57" i="3"/>
  <c r="G57" i="3"/>
  <c r="H57" i="3"/>
  <c r="I57" i="3"/>
  <c r="J57" i="3"/>
  <c r="K57" i="3"/>
  <c r="L57" i="3"/>
  <c r="L68" i="3" s="1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R70" i="3" s="1"/>
  <c r="S62" i="3"/>
  <c r="T62" i="3"/>
  <c r="U62" i="3"/>
  <c r="V62" i="3"/>
  <c r="W62" i="3"/>
  <c r="X62" i="3"/>
  <c r="Y62" i="3"/>
  <c r="Z62" i="3"/>
  <c r="AA62" i="3"/>
  <c r="AB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C64" i="3"/>
  <c r="D64" i="3"/>
  <c r="E64" i="3"/>
  <c r="F64" i="3"/>
  <c r="G64" i="3"/>
  <c r="H64" i="3"/>
  <c r="I64" i="3"/>
  <c r="J64" i="3"/>
  <c r="K64" i="3"/>
  <c r="L64" i="3"/>
  <c r="M64" i="3"/>
  <c r="N64" i="3"/>
  <c r="N68" i="3" s="1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2" i="3"/>
  <c r="I67" i="3"/>
  <c r="S67" i="3"/>
  <c r="D70" i="3"/>
  <c r="K3" i="2"/>
  <c r="K4" i="2"/>
  <c r="K2" i="2"/>
  <c r="M3" i="2"/>
  <c r="M4" i="2"/>
  <c r="M2" i="2"/>
  <c r="D68" i="4" l="1"/>
  <c r="L69" i="4"/>
  <c r="W67" i="4"/>
  <c r="G67" i="4"/>
  <c r="R68" i="4"/>
  <c r="M69" i="4"/>
  <c r="H67" i="4"/>
  <c r="S68" i="4"/>
  <c r="N69" i="4"/>
  <c r="I70" i="4"/>
  <c r="T67" i="4"/>
  <c r="D67" i="4"/>
  <c r="O68" i="4"/>
  <c r="Z67" i="4"/>
  <c r="J69" i="4"/>
  <c r="U67" i="4"/>
  <c r="E67" i="4"/>
  <c r="P68" i="4"/>
  <c r="K69" i="4"/>
  <c r="V67" i="4"/>
  <c r="F67" i="4"/>
  <c r="Q68" i="4"/>
  <c r="Q67" i="3"/>
  <c r="Z67" i="3"/>
  <c r="J69" i="3"/>
  <c r="T67" i="3"/>
  <c r="D67" i="3"/>
  <c r="N69" i="3"/>
  <c r="H70" i="3"/>
  <c r="R68" i="3"/>
  <c r="J70" i="3"/>
  <c r="L69" i="3"/>
  <c r="V70" i="3"/>
  <c r="F70" i="3"/>
  <c r="P68" i="3"/>
  <c r="I70" i="3"/>
  <c r="I71" i="3" s="1"/>
  <c r="I72" i="3" s="1"/>
  <c r="I68" i="3"/>
  <c r="S68" i="3"/>
  <c r="M69" i="3"/>
  <c r="W70" i="3"/>
  <c r="G70" i="3"/>
  <c r="Q68" i="3"/>
  <c r="K69" i="3"/>
  <c r="U67" i="3"/>
  <c r="E70" i="3"/>
  <c r="O68" i="3"/>
  <c r="U70" i="3"/>
  <c r="J67" i="4"/>
  <c r="E68" i="4"/>
  <c r="U68" i="4"/>
  <c r="P69" i="4"/>
  <c r="K70" i="4"/>
  <c r="K67" i="4"/>
  <c r="F68" i="4"/>
  <c r="V68" i="4"/>
  <c r="Q69" i="4"/>
  <c r="L70" i="4"/>
  <c r="L67" i="4"/>
  <c r="G68" i="4"/>
  <c r="W68" i="4"/>
  <c r="R69" i="4"/>
  <c r="M70" i="4"/>
  <c r="M67" i="4"/>
  <c r="H68" i="4"/>
  <c r="Z68" i="4"/>
  <c r="S69" i="4"/>
  <c r="N70" i="4"/>
  <c r="N67" i="4"/>
  <c r="I68" i="4"/>
  <c r="D69" i="4"/>
  <c r="T69" i="4"/>
  <c r="O70" i="4"/>
  <c r="O67" i="4"/>
  <c r="J68" i="4"/>
  <c r="E69" i="4"/>
  <c r="U69" i="4"/>
  <c r="P70" i="4"/>
  <c r="P67" i="4"/>
  <c r="K68" i="4"/>
  <c r="F69" i="4"/>
  <c r="V69" i="4"/>
  <c r="Q70" i="4"/>
  <c r="Q67" i="4"/>
  <c r="L68" i="4"/>
  <c r="G69" i="4"/>
  <c r="W69" i="4"/>
  <c r="R70" i="4"/>
  <c r="R67" i="4"/>
  <c r="M68" i="4"/>
  <c r="H69" i="4"/>
  <c r="Z69" i="4"/>
  <c r="S70" i="4"/>
  <c r="S67" i="4"/>
  <c r="N68" i="4"/>
  <c r="I69" i="4"/>
  <c r="D70" i="4"/>
  <c r="T70" i="4"/>
  <c r="E70" i="4"/>
  <c r="U70" i="4"/>
  <c r="F70" i="4"/>
  <c r="V70" i="4"/>
  <c r="G70" i="4"/>
  <c r="W70" i="4"/>
  <c r="H70" i="4"/>
  <c r="AA67" i="4"/>
  <c r="AA69" i="4"/>
  <c r="AA68" i="4"/>
  <c r="S70" i="3"/>
  <c r="Z69" i="3"/>
  <c r="H69" i="3"/>
  <c r="M68" i="3"/>
  <c r="R67" i="3"/>
  <c r="P70" i="3"/>
  <c r="J68" i="3"/>
  <c r="O67" i="3"/>
  <c r="D69" i="3"/>
  <c r="D71" i="3" s="1"/>
  <c r="N67" i="3"/>
  <c r="N70" i="3"/>
  <c r="H68" i="3"/>
  <c r="M67" i="3"/>
  <c r="F69" i="3"/>
  <c r="O70" i="3"/>
  <c r="G68" i="3"/>
  <c r="L67" i="3"/>
  <c r="P67" i="3"/>
  <c r="U69" i="3"/>
  <c r="T69" i="3"/>
  <c r="S69" i="3"/>
  <c r="M70" i="3"/>
  <c r="W68" i="3"/>
  <c r="L70" i="3"/>
  <c r="Q69" i="3"/>
  <c r="Q71" i="3" s="1"/>
  <c r="Q72" i="3" s="1"/>
  <c r="V68" i="3"/>
  <c r="F68" i="3"/>
  <c r="K67" i="3"/>
  <c r="V69" i="3"/>
  <c r="E69" i="3"/>
  <c r="Z68" i="3"/>
  <c r="Z71" i="3" s="1"/>
  <c r="R69" i="3"/>
  <c r="K70" i="3"/>
  <c r="P69" i="3"/>
  <c r="U68" i="3"/>
  <c r="E68" i="3"/>
  <c r="J67" i="3"/>
  <c r="J71" i="3" s="1"/>
  <c r="J72" i="3" s="1"/>
  <c r="H67" i="3"/>
  <c r="W67" i="3"/>
  <c r="W71" i="3" s="1"/>
  <c r="W72" i="3" s="1"/>
  <c r="G67" i="3"/>
  <c r="G71" i="3" s="1"/>
  <c r="G72" i="3" s="1"/>
  <c r="T68" i="3"/>
  <c r="V67" i="3"/>
  <c r="F67" i="3"/>
  <c r="D68" i="3"/>
  <c r="E67" i="3"/>
  <c r="AA67" i="3"/>
  <c r="AA68" i="3"/>
  <c r="AA69" i="3"/>
  <c r="Z70" i="3"/>
  <c r="E71" i="4" l="1"/>
  <c r="E72" i="4" s="1"/>
  <c r="D71" i="4"/>
  <c r="D72" i="4" s="1"/>
  <c r="V71" i="4"/>
  <c r="V72" i="4" s="1"/>
  <c r="I71" i="4"/>
  <c r="Z72" i="4"/>
  <c r="J71" i="4"/>
  <c r="D72" i="3"/>
  <c r="D3" i="1"/>
  <c r="D19" i="1"/>
  <c r="D8" i="1"/>
  <c r="D16" i="1"/>
  <c r="D9" i="1"/>
  <c r="D7" i="1"/>
  <c r="D13" i="1"/>
  <c r="D4" i="1"/>
  <c r="D21" i="1"/>
  <c r="D12" i="1"/>
  <c r="D20" i="1"/>
  <c r="D10" i="1"/>
  <c r="D17" i="1"/>
  <c r="D11" i="1"/>
  <c r="D18" i="1"/>
  <c r="D14" i="1"/>
  <c r="D6" i="1"/>
  <c r="D15" i="1"/>
  <c r="D22" i="1"/>
  <c r="D5" i="1"/>
  <c r="S71" i="3"/>
  <c r="S72" i="3" s="1"/>
  <c r="G3" i="1"/>
  <c r="G28" i="1" s="1"/>
  <c r="G14" i="1"/>
  <c r="G39" i="1" s="1"/>
  <c r="Z72" i="3"/>
  <c r="G12" i="1"/>
  <c r="G37" i="1" s="1"/>
  <c r="G6" i="1"/>
  <c r="G31" i="1" s="1"/>
  <c r="G17" i="1"/>
  <c r="G42" i="1" s="1"/>
  <c r="G9" i="1"/>
  <c r="G34" i="1" s="1"/>
  <c r="G22" i="1"/>
  <c r="G47" i="1" s="1"/>
  <c r="G11" i="1"/>
  <c r="G36" i="1" s="1"/>
  <c r="AA72" i="4"/>
  <c r="L71" i="4"/>
  <c r="L72" i="4" s="1"/>
  <c r="O71" i="4"/>
  <c r="O72" i="4" s="1"/>
  <c r="H71" i="4"/>
  <c r="W71" i="4"/>
  <c r="W72" i="4" s="1"/>
  <c r="R71" i="4"/>
  <c r="R72" i="4" s="1"/>
  <c r="G71" i="4"/>
  <c r="G72" i="4" s="1"/>
  <c r="K71" i="4"/>
  <c r="N71" i="4"/>
  <c r="N72" i="4" s="1"/>
  <c r="U71" i="4"/>
  <c r="U72" i="4" s="1"/>
  <c r="Q71" i="4"/>
  <c r="Q72" i="4" s="1"/>
  <c r="F71" i="4"/>
  <c r="F72" i="4" s="1"/>
  <c r="T71" i="4"/>
  <c r="T72" i="4" s="1"/>
  <c r="Z71" i="4"/>
  <c r="M71" i="4"/>
  <c r="M72" i="4" s="1"/>
  <c r="S71" i="4"/>
  <c r="S72" i="4" s="1"/>
  <c r="P71" i="4"/>
  <c r="P72" i="4" s="1"/>
  <c r="Z70" i="4"/>
  <c r="AA70" i="4"/>
  <c r="AB67" i="4"/>
  <c r="AB69" i="4"/>
  <c r="AB68" i="4"/>
  <c r="AA71" i="4"/>
  <c r="E71" i="3"/>
  <c r="T71" i="3"/>
  <c r="T72" i="3" s="1"/>
  <c r="P71" i="3"/>
  <c r="P72" i="3" s="1"/>
  <c r="U71" i="3"/>
  <c r="U72" i="3" s="1"/>
  <c r="V71" i="3"/>
  <c r="V72" i="3" s="1"/>
  <c r="H71" i="3"/>
  <c r="H72" i="3" s="1"/>
  <c r="R71" i="3"/>
  <c r="R72" i="3" s="1"/>
  <c r="L71" i="3"/>
  <c r="L72" i="3" s="1"/>
  <c r="M71" i="3"/>
  <c r="M72" i="3" s="1"/>
  <c r="AA71" i="3"/>
  <c r="K71" i="3"/>
  <c r="K72" i="3" s="1"/>
  <c r="O71" i="3"/>
  <c r="O72" i="3" s="1"/>
  <c r="F71" i="3"/>
  <c r="N71" i="3"/>
  <c r="N72" i="3" s="1"/>
  <c r="AB69" i="3"/>
  <c r="AB67" i="3"/>
  <c r="AB68" i="3"/>
  <c r="AA72" i="3"/>
  <c r="AA70" i="3"/>
  <c r="K72" i="4" l="1"/>
  <c r="K9" i="1"/>
  <c r="K34" i="1" s="1"/>
  <c r="K6" i="1"/>
  <c r="K31" i="1" s="1"/>
  <c r="K12" i="1"/>
  <c r="K37" i="1" s="1"/>
  <c r="K17" i="1"/>
  <c r="K42" i="1" s="1"/>
  <c r="K11" i="1"/>
  <c r="K36" i="1" s="1"/>
  <c r="H72" i="4"/>
  <c r="H9" i="1"/>
  <c r="H17" i="1"/>
  <c r="H12" i="1"/>
  <c r="H21" i="1"/>
  <c r="H19" i="1"/>
  <c r="H6" i="1"/>
  <c r="L6" i="1" s="1"/>
  <c r="L31" i="1" s="1"/>
  <c r="H10" i="1"/>
  <c r="H13" i="1"/>
  <c r="H20" i="1"/>
  <c r="H7" i="1"/>
  <c r="H16" i="1"/>
  <c r="H4" i="1"/>
  <c r="H14" i="1"/>
  <c r="H8" i="1"/>
  <c r="H22" i="1"/>
  <c r="H15" i="1"/>
  <c r="H3" i="1"/>
  <c r="H5" i="1"/>
  <c r="H11" i="1"/>
  <c r="H18" i="1"/>
  <c r="J72" i="4"/>
  <c r="J13" i="1"/>
  <c r="J38" i="1" s="1"/>
  <c r="J8" i="1"/>
  <c r="J33" i="1" s="1"/>
  <c r="J16" i="1"/>
  <c r="J41" i="1" s="1"/>
  <c r="J15" i="1"/>
  <c r="J40" i="1" s="1"/>
  <c r="J12" i="1"/>
  <c r="J37" i="1" s="1"/>
  <c r="J19" i="1"/>
  <c r="J44" i="1" s="1"/>
  <c r="J14" i="1"/>
  <c r="J39" i="1" s="1"/>
  <c r="J6" i="1"/>
  <c r="J31" i="1" s="1"/>
  <c r="J22" i="1"/>
  <c r="J47" i="1" s="1"/>
  <c r="J11" i="1"/>
  <c r="J36" i="1" s="1"/>
  <c r="J21" i="1"/>
  <c r="J46" i="1" s="1"/>
  <c r="J5" i="1"/>
  <c r="J30" i="1" s="1"/>
  <c r="J10" i="1"/>
  <c r="J35" i="1" s="1"/>
  <c r="J7" i="1"/>
  <c r="J32" i="1" s="1"/>
  <c r="J17" i="1"/>
  <c r="J42" i="1" s="1"/>
  <c r="J3" i="1"/>
  <c r="J28" i="1" s="1"/>
  <c r="J18" i="1"/>
  <c r="J43" i="1" s="1"/>
  <c r="J20" i="1"/>
  <c r="J45" i="1" s="1"/>
  <c r="J4" i="1"/>
  <c r="J29" i="1" s="1"/>
  <c r="J9" i="1"/>
  <c r="J34" i="1" s="1"/>
  <c r="I72" i="4"/>
  <c r="I4" i="1"/>
  <c r="I29" i="1" s="1"/>
  <c r="D36" i="1"/>
  <c r="D45" i="1"/>
  <c r="D37" i="1"/>
  <c r="D46" i="1"/>
  <c r="D29" i="1"/>
  <c r="D43" i="1"/>
  <c r="D38" i="1"/>
  <c r="D35" i="1"/>
  <c r="AB71" i="3"/>
  <c r="E72" i="3"/>
  <c r="E12" i="1"/>
  <c r="E37" i="1" s="1"/>
  <c r="E4" i="1"/>
  <c r="E29" i="1" s="1"/>
  <c r="D32" i="1"/>
  <c r="N7" i="1"/>
  <c r="D42" i="1"/>
  <c r="D34" i="1"/>
  <c r="D30" i="1"/>
  <c r="D41" i="1"/>
  <c r="D47" i="1"/>
  <c r="D33" i="1"/>
  <c r="D44" i="1"/>
  <c r="F72" i="3"/>
  <c r="F10" i="1"/>
  <c r="F35" i="1" s="1"/>
  <c r="F8" i="1"/>
  <c r="F33" i="1" s="1"/>
  <c r="F12" i="1"/>
  <c r="F37" i="1" s="1"/>
  <c r="F7" i="1"/>
  <c r="F32" i="1" s="1"/>
  <c r="F19" i="1"/>
  <c r="F44" i="1" s="1"/>
  <c r="F13" i="1"/>
  <c r="F38" i="1" s="1"/>
  <c r="F14" i="1"/>
  <c r="F39" i="1" s="1"/>
  <c r="F22" i="1"/>
  <c r="F47" i="1" s="1"/>
  <c r="F3" i="1"/>
  <c r="F28" i="1" s="1"/>
  <c r="F15" i="1"/>
  <c r="F40" i="1" s="1"/>
  <c r="F21" i="1"/>
  <c r="F46" i="1" s="1"/>
  <c r="F5" i="1"/>
  <c r="F30" i="1" s="1"/>
  <c r="F6" i="1"/>
  <c r="F31" i="1" s="1"/>
  <c r="F18" i="1"/>
  <c r="F43" i="1" s="1"/>
  <c r="F20" i="1"/>
  <c r="F45" i="1" s="1"/>
  <c r="F4" i="1"/>
  <c r="F29" i="1" s="1"/>
  <c r="F11" i="1"/>
  <c r="F36" i="1" s="1"/>
  <c r="F9" i="1"/>
  <c r="F34" i="1" s="1"/>
  <c r="F16" i="1"/>
  <c r="F41" i="1" s="1"/>
  <c r="F17" i="1"/>
  <c r="F42" i="1" s="1"/>
  <c r="D31" i="1"/>
  <c r="N6" i="1"/>
  <c r="D28" i="1"/>
  <c r="D40" i="1"/>
  <c r="D39" i="1"/>
  <c r="AB71" i="4"/>
  <c r="AB72" i="4"/>
  <c r="AB70" i="4"/>
  <c r="AB70" i="3"/>
  <c r="AB72" i="3"/>
  <c r="O18" i="1" l="1"/>
  <c r="H43" i="1"/>
  <c r="H46" i="1"/>
  <c r="O21" i="1"/>
  <c r="H45" i="1"/>
  <c r="O20" i="1"/>
  <c r="H36" i="1"/>
  <c r="O11" i="1"/>
  <c r="H37" i="1"/>
  <c r="O12" i="1"/>
  <c r="H30" i="1"/>
  <c r="O5" i="1"/>
  <c r="H42" i="1"/>
  <c r="O17" i="1"/>
  <c r="O3" i="1"/>
  <c r="H28" i="1"/>
  <c r="H34" i="1"/>
  <c r="O9" i="1"/>
  <c r="H35" i="1"/>
  <c r="O10" i="1"/>
  <c r="O15" i="1"/>
  <c r="H40" i="1"/>
  <c r="O19" i="1"/>
  <c r="H44" i="1"/>
  <c r="O22" i="1"/>
  <c r="H47" i="1"/>
  <c r="O8" i="1"/>
  <c r="H33" i="1"/>
  <c r="O14" i="1"/>
  <c r="H39" i="1"/>
  <c r="O13" i="1"/>
  <c r="H38" i="1"/>
  <c r="O4" i="1"/>
  <c r="H29" i="1"/>
  <c r="H41" i="1"/>
  <c r="O16" i="1"/>
  <c r="H31" i="1"/>
  <c r="O6" i="1"/>
  <c r="H32" i="1"/>
  <c r="O7" i="1"/>
  <c r="N8" i="1"/>
  <c r="L7" i="1"/>
  <c r="L32" i="1" s="1"/>
  <c r="N4" i="1"/>
  <c r="L22" i="1"/>
  <c r="L47" i="1" s="1"/>
  <c r="L21" i="1"/>
  <c r="L46" i="1" s="1"/>
  <c r="N21" i="1"/>
  <c r="L16" i="1"/>
  <c r="L41" i="1" s="1"/>
  <c r="L3" i="1"/>
  <c r="L28" i="1" s="1"/>
  <c r="N16" i="1"/>
  <c r="L12" i="1"/>
  <c r="L37" i="1" s="1"/>
  <c r="L4" i="1"/>
  <c r="L29" i="1" s="1"/>
  <c r="N5" i="1"/>
  <c r="L10" i="1"/>
  <c r="L35" i="1" s="1"/>
  <c r="N12" i="1"/>
  <c r="L5" i="1"/>
  <c r="L30" i="1" s="1"/>
  <c r="N10" i="1"/>
  <c r="N20" i="1"/>
  <c r="N9" i="1"/>
  <c r="L13" i="1"/>
  <c r="L38" i="1" s="1"/>
  <c r="L20" i="1"/>
  <c r="L45" i="1" s="1"/>
  <c r="L14" i="1"/>
  <c r="L39" i="1" s="1"/>
  <c r="N19" i="1"/>
  <c r="L9" i="1"/>
  <c r="L34" i="1" s="1"/>
  <c r="N13" i="1"/>
  <c r="N3" i="1"/>
  <c r="N22" i="1"/>
  <c r="N11" i="1"/>
  <c r="L19" i="1"/>
  <c r="L44" i="1" s="1"/>
  <c r="N17" i="1"/>
  <c r="L18" i="1"/>
  <c r="L43" i="1" s="1"/>
  <c r="N14" i="1"/>
  <c r="L15" i="1"/>
  <c r="L40" i="1" s="1"/>
  <c r="N15" i="1"/>
  <c r="L8" i="1"/>
  <c r="L33" i="1" s="1"/>
  <c r="L17" i="1"/>
  <c r="L42" i="1" s="1"/>
  <c r="N18" i="1"/>
  <c r="L11" i="1"/>
  <c r="L36" i="1" s="1"/>
</calcChain>
</file>

<file path=xl/sharedStrings.xml><?xml version="1.0" encoding="utf-8"?>
<sst xmlns="http://schemas.openxmlformats.org/spreadsheetml/2006/main" count="576" uniqueCount="238">
  <si>
    <t>Criterio</t>
  </si>
  <si>
    <t>Nivel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</si>
  <si>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</si>
  <si>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</si>
  <si>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</si>
  <si>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</si>
  <si>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</si>
  <si>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</si>
  <si>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</si>
  <si>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</si>
  <si>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</si>
  <si>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</si>
  <si>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</si>
  <si>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</si>
  <si>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</si>
  <si>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</si>
  <si>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2.1</t>
  </si>
  <si>
    <t>2.2</t>
  </si>
  <si>
    <t>2.3</t>
  </si>
  <si>
    <t>2.4</t>
  </si>
  <si>
    <t>2.5</t>
  </si>
  <si>
    <t>2.6</t>
  </si>
  <si>
    <t>A</t>
  </si>
  <si>
    <t>AA</t>
  </si>
  <si>
    <t>Existencia de alternativas textuales</t>
  </si>
  <si>
    <t>Uso de encabezados</t>
  </si>
  <si>
    <t>Uso de listas</t>
  </si>
  <si>
    <t>Tablas de datos</t>
  </si>
  <si>
    <t>Agrupación estructural</t>
  </si>
  <si>
    <t>Separación de contenido y presentación</t>
  </si>
  <si>
    <t>Identificación del idioma principal</t>
  </si>
  <si>
    <t>Formularios y etiquetas</t>
  </si>
  <si>
    <t>Formularios y estructura</t>
  </si>
  <si>
    <t>Título de página y de marcos</t>
  </si>
  <si>
    <t>Enlaces descriptivos</t>
  </si>
  <si>
    <t>Cambios de contexto</t>
  </si>
  <si>
    <t>Compatibilidad</t>
  </si>
  <si>
    <t>Identificación de los cambios de idioma</t>
  </si>
  <si>
    <t>Independencia del dispositivo</t>
  </si>
  <si>
    <t>Navegación consistente</t>
  </si>
  <si>
    <t>Legibilidad y contraste</t>
  </si>
  <si>
    <t>Maquetación adaptable</t>
  </si>
  <si>
    <t>Múltiples vías de navegación</t>
  </si>
  <si>
    <t>- P</t>
  </si>
  <si>
    <t>GruPUB</t>
  </si>
  <si>
    <t>GruPRI</t>
  </si>
  <si>
    <t>Navegación con javascript accesible y control..</t>
  </si>
  <si>
    <t>Máx</t>
  </si>
  <si>
    <t>GrPUB</t>
  </si>
  <si>
    <t>GrPRI</t>
  </si>
  <si>
    <t>Media:</t>
  </si>
  <si>
    <t>Mín</t>
  </si>
  <si>
    <t>Cumplen AA</t>
  </si>
  <si>
    <t>Cumplen A</t>
  </si>
  <si>
    <t>No válido</t>
  </si>
  <si>
    <t>Archivo</t>
  </si>
  <si>
    <t>Página</t>
  </si>
  <si>
    <t>URL</t>
  </si>
  <si>
    <t>4.0 GrPUB 1-37</t>
  </si>
  <si>
    <t>Página 1</t>
  </si>
  <si>
    <t>https://mpt.gob.es/index.html</t>
  </si>
  <si>
    <t>Página 2</t>
  </si>
  <si>
    <t>https://administracion.gob.es</t>
  </si>
  <si>
    <t>Página 3</t>
  </si>
  <si>
    <t>https://administracionelectronica.gob.es/pae_Home</t>
  </si>
  <si>
    <t>Página 4</t>
  </si>
  <si>
    <t>https://bonoculturajoven.gob.es</t>
  </si>
  <si>
    <t>Página 5</t>
  </si>
  <si>
    <t>https://transparencia.gob.es</t>
  </si>
  <si>
    <t>Página 6</t>
  </si>
  <si>
    <t>https://sede.imserso.gob.es</t>
  </si>
  <si>
    <t>Página 7</t>
  </si>
  <si>
    <t>https://www.consejodetransparencia.es/ct_Home/index.html</t>
  </si>
  <si>
    <t>Página 8</t>
  </si>
  <si>
    <t>https://energia.gob.es/es-es/Paginas/index.aspx</t>
  </si>
  <si>
    <t>Página 9</t>
  </si>
  <si>
    <t>https://www.defensa.gob.es</t>
  </si>
  <si>
    <t>Página 10</t>
  </si>
  <si>
    <t>https://www.inmujeres.gob.es</t>
  </si>
  <si>
    <t>Página 11</t>
  </si>
  <si>
    <t>https://universidades.sede.gob.es</t>
  </si>
  <si>
    <t>Página 12</t>
  </si>
  <si>
    <t>https://www.universidades.gob.es</t>
  </si>
  <si>
    <t>Página 13</t>
  </si>
  <si>
    <t>https://www.aica.gob.es</t>
  </si>
  <si>
    <t>Página 14</t>
  </si>
  <si>
    <t>https://sede.administracionespublicas.gob.es</t>
  </si>
  <si>
    <t>Página 15</t>
  </si>
  <si>
    <t>https://www.sanidad.gob.es</t>
  </si>
  <si>
    <t>Página 16</t>
  </si>
  <si>
    <t>https://www.imserso.gob.es</t>
  </si>
  <si>
    <t>Página 17</t>
  </si>
  <si>
    <t>https://datos.gob.es/es/</t>
  </si>
  <si>
    <t>Página 18</t>
  </si>
  <si>
    <t>https://www.ciencia.gob.es</t>
  </si>
  <si>
    <t>Página 19</t>
  </si>
  <si>
    <t>https://pnsd.sanidad.gob.es</t>
  </si>
  <si>
    <t>Página 20</t>
  </si>
  <si>
    <t>https://www.lamoncloa.gob.es/Paginas/index.aspx</t>
  </si>
  <si>
    <t>Página 21</t>
  </si>
  <si>
    <t>https://www.culturaydeporte.gob.es/portada.html</t>
  </si>
  <si>
    <t>Página 22</t>
  </si>
  <si>
    <t>https://aneca.sede.gob.es</t>
  </si>
  <si>
    <t>Página 23</t>
  </si>
  <si>
    <t>https://www.sepe.es/HomeSepe/Personas/encontrar-trabajo/Garantia-Juvenil.html</t>
  </si>
  <si>
    <t>Página 24</t>
  </si>
  <si>
    <t>https://sede.administracion.gob.es/PAG_Sede/HomeSede.html</t>
  </si>
  <si>
    <t>Página 25</t>
  </si>
  <si>
    <t>https://cpage.mpr.gob.es</t>
  </si>
  <si>
    <t>Página 26</t>
  </si>
  <si>
    <t>https://sede.defensa.gob.es/acceda/index</t>
  </si>
  <si>
    <t>Página 27</t>
  </si>
  <si>
    <t>https://face.gob.es</t>
  </si>
  <si>
    <t>Página 28</t>
  </si>
  <si>
    <t>https://generaciond.gob.es</t>
  </si>
  <si>
    <t>Página 29</t>
  </si>
  <si>
    <t>https://carpetaciudadana.gob.es</t>
  </si>
  <si>
    <t>Página 30</t>
  </si>
  <si>
    <t>https://industria.gob.es/es-es/Paginas/Index.aspx</t>
  </si>
  <si>
    <t>Página 31</t>
  </si>
  <si>
    <t>https://ejercito.defensa.gob.es</t>
  </si>
  <si>
    <t>Página 32</t>
  </si>
  <si>
    <t>https://www.empleate.gob.es/empleo/index_nojs.html?JAVASCRIPTSTATUS=NONE</t>
  </si>
  <si>
    <t>Página 33</t>
  </si>
  <si>
    <t>https://sede.ine.gob.es</t>
  </si>
  <si>
    <t>4.0 GrPUB 38-74</t>
  </si>
  <si>
    <t>https://reclutamiento.defensa.gob.es</t>
  </si>
  <si>
    <t>https://www.inclusion.gob.es/home</t>
  </si>
  <si>
    <t>https://sede.inap.gob.es</t>
  </si>
  <si>
    <t>https://www.mapa.gob.es/es/</t>
  </si>
  <si>
    <t>https://incual.educacion.gob.es</t>
  </si>
  <si>
    <t>https://www.miteco.gob.es</t>
  </si>
  <si>
    <t>https://clave.gob.es/clave_Home/clave.html</t>
  </si>
  <si>
    <t>https://www.aei.gob.es</t>
  </si>
  <si>
    <t>https://sede.dgt.gob.es/es/</t>
  </si>
  <si>
    <t>https://sede.serviciosmin.gob.es/es-es/Paginas/Index.aspx</t>
  </si>
  <si>
    <t>https://www.administraciondejusticia.gob.es</t>
  </si>
  <si>
    <t>https://www.aesan.gob.es</t>
  </si>
  <si>
    <t>https://sigpac.mapa.gob.es/fega/visor/</t>
  </si>
  <si>
    <t>https://sede.csic.gob.es</t>
  </si>
  <si>
    <t>https://www.bne.gob.es/es</t>
  </si>
  <si>
    <t>https://www.seguridadaerea.gob.es</t>
  </si>
  <si>
    <t>https://www.igualdad.gob.es</t>
  </si>
  <si>
    <t>https://www.exteriores.gob.es/es/Paginas/index.aspx</t>
  </si>
  <si>
    <t>https://sede.muface.gob.es</t>
  </si>
  <si>
    <t>https://www.sedecatastro.gob.es</t>
  </si>
  <si>
    <t>https://cultura.sede.gob.es</t>
  </si>
  <si>
    <t>https://firmaelectronica.gob.es</t>
  </si>
  <si>
    <t>https://www.mjusticia.gob.es/es</t>
  </si>
  <si>
    <t>https://ceuta.transparencialocal.gob.es</t>
  </si>
  <si>
    <t>https://sede.agenciatributaria.gob.es</t>
  </si>
  <si>
    <t>https://sedeclave.dgt.gob.es</t>
  </si>
  <si>
    <t>https://www.mdsocialesa2030.gob.es</t>
  </si>
  <si>
    <t>https://www.educacionyfp.gob.es/portada.html</t>
  </si>
  <si>
    <t>https://www.aemps.gob.es</t>
  </si>
  <si>
    <t>https://sede.sepe.gob.es/portalSede</t>
  </si>
  <si>
    <t>https://erasmusplus.gob.es</t>
  </si>
  <si>
    <t>4.0 GrPRI 1-37</t>
  </si>
  <si>
    <t>https://enjucavi.com</t>
  </si>
  <si>
    <t>https://www.disolbcn.cat/es</t>
  </si>
  <si>
    <t>https://turullsorensen.com</t>
  </si>
  <si>
    <t>https://www.laperladejavea.com</t>
  </si>
  <si>
    <t>https://toormix.com</t>
  </si>
  <si>
    <t>https://randallcoffee.com</t>
  </si>
  <si>
    <t>https://baydal.es</t>
  </si>
  <si>
    <t>https://agenciaeventosmadrid.com</t>
  </si>
  <si>
    <t>https://martimoreno.com</t>
  </si>
  <si>
    <t>https://cafeenvena.com</t>
  </si>
  <si>
    <t>https://ntcbeltec.com</t>
  </si>
  <si>
    <t>https://estrategiaurbanavlc2030.es</t>
  </si>
  <si>
    <t>https://casimirocanonico.com</t>
  </si>
  <si>
    <t>https://www.intertoro.com</t>
  </si>
  <si>
    <t>https://olivarerahinojosa.com</t>
  </si>
  <si>
    <t>https://dairemar.es</t>
  </si>
  <si>
    <t>https://www.citypisos.com</t>
  </si>
  <si>
    <t>https://soleygoita.com</t>
  </si>
  <si>
    <t>https://texlarenovables.com</t>
  </si>
  <si>
    <t>https://elvillar-bilar.eus/index.php/es/</t>
  </si>
  <si>
    <t>https://soldaduraspamplona.com</t>
  </si>
  <si>
    <t>https://todo-fiesta.com</t>
  </si>
  <si>
    <t>https://www.obbocare.com</t>
  </si>
  <si>
    <t>https://www.despiertaymira.com</t>
  </si>
  <si>
    <t>https://www.improset.es</t>
  </si>
  <si>
    <t>https://www.jamonia.com</t>
  </si>
  <si>
    <t>https://www.grupocdm.es</t>
  </si>
  <si>
    <t>https://makarthy.com</t>
  </si>
  <si>
    <t>https://paletsjmartorell.com</t>
  </si>
  <si>
    <t>https://www.ideatec.es</t>
  </si>
  <si>
    <t>https://deforhome.com</t>
  </si>
  <si>
    <t>4.0 GrPRI 38-74</t>
  </si>
  <si>
    <t>https://genomcore.com</t>
  </si>
  <si>
    <t>https://bgc.com.es/</t>
  </si>
  <si>
    <t>https://sportingclubdetenis.com</t>
  </si>
  <si>
    <t>https://inbani.com</t>
  </si>
  <si>
    <t>https://cifppolitecnicodemurcia.es</t>
  </si>
  <si>
    <t>https://yelarsan.es</t>
  </si>
  <si>
    <t>https://www.bodegasterradart.com</t>
  </si>
  <si>
    <t>https://www.edicionesdelserbal.com</t>
  </si>
  <si>
    <t>https://lilaflicka.com</t>
  </si>
  <si>
    <t>https://aspor.es</t>
  </si>
  <si>
    <t>https://www.tecnomallas.com</t>
  </si>
  <si>
    <t>https://www.diagnosisdermatologica.com</t>
  </si>
  <si>
    <t>https://epicosaludmental.com</t>
  </si>
  <si>
    <t>https://www.maill.cat</t>
  </si>
  <si>
    <t>https://asecord.es</t>
  </si>
  <si>
    <t>https://jklmotos.com</t>
  </si>
  <si>
    <t>https://www.necfe.es</t>
  </si>
  <si>
    <t>https://eloxal.es</t>
  </si>
  <si>
    <t>https://balneaburgos.es</t>
  </si>
  <si>
    <t>https://www.ovidiarader.com/ca/inici</t>
  </si>
  <si>
    <t>https://oligofastx.com</t>
  </si>
  <si>
    <t>https://almerishisha.com</t>
  </si>
  <si>
    <t>https://calsalut.com</t>
  </si>
  <si>
    <t>https://newsterpan.com</t>
  </si>
  <si>
    <t>https://www.popularlibros.com</t>
  </si>
  <si>
    <t>https://www.fisela.net</t>
  </si>
  <si>
    <t>https://politecnicoestella.educacion.navarra.es</t>
  </si>
  <si>
    <t>https://www.lamexicana.es</t>
  </si>
  <si>
    <t>https://www.anait.es</t>
  </si>
  <si>
    <t>https://iesdaroca.catedu.es</t>
  </si>
  <si>
    <t>https://www.taxi-rincon.es</t>
  </si>
  <si>
    <t>https://www.aluminiosalaez.es</t>
  </si>
  <si>
    <t>4.1 GrPRI 15</t>
  </si>
  <si>
    <t>https://naturalfire.es</t>
  </si>
  <si>
    <t>1 P</t>
  </si>
  <si>
    <t>0.5 P</t>
  </si>
  <si>
    <t>0 F</t>
  </si>
  <si>
    <t>Fallos Nivel A</t>
  </si>
  <si>
    <t>Fallos Nivel AA</t>
  </si>
  <si>
    <t>Nivel de adecuación estimado original</t>
  </si>
  <si>
    <t>Check original</t>
  </si>
  <si>
    <t>Nivel de adecuación estimado sin 1.7 y 2.1</t>
  </si>
  <si>
    <t>Totales</t>
  </si>
  <si>
    <t>Total</t>
  </si>
  <si>
    <t>¿Unanimidad?</t>
  </si>
  <si>
    <t>Diferencia GrPUB-GrPRI</t>
  </si>
  <si>
    <t>CHECK</t>
  </si>
  <si>
    <t>DIFERENCIA &gt;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</si>
</sst>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/>
      <top style="medium">
        <color indexed="64"/>
      </top>
      <bottom/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64" fontId="4" fillId="4" borderId="10" xfId="1" applyNumberFormat="1" applyFont="1" applyFill="1" applyBorder="1" applyAlignment="1">
      <alignment horizontal="right"/>
    </xf>
    <xf numFmtId="164" fontId="4" fillId="4" borderId="15" xfId="1" applyNumberFormat="1" applyFont="1" applyFill="1" applyBorder="1" applyAlignment="1">
      <alignment horizontal="right"/>
    </xf>
    <xf numFmtId="9" fontId="4" fillId="0" borderId="17" xfId="0" applyNumberFormat="1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4" fontId="4" fillId="3" borderId="5" xfId="1" applyNumberFormat="1" applyFont="1" applyFill="1" applyBorder="1" applyAlignment="1">
      <alignment horizontal="right"/>
    </xf>
    <xf numFmtId="164" fontId="4" fillId="3" borderId="1" xfId="1" applyNumberFormat="1" applyFont="1" applyFill="1" applyBorder="1" applyAlignment="1">
      <alignment horizontal="right"/>
    </xf>
    <xf numFmtId="164" fontId="4" fillId="3" borderId="6" xfId="1" applyNumberFormat="1" applyFont="1" applyFill="1" applyBorder="1" applyAlignment="1">
      <alignment horizontal="right"/>
    </xf>
    <xf numFmtId="164" fontId="4" fillId="3" borderId="16" xfId="1" applyNumberFormat="1" applyFont="1" applyFill="1" applyBorder="1" applyAlignment="1">
      <alignment horizontal="right"/>
    </xf>
    <xf numFmtId="0" fontId="4" fillId="4" borderId="2" xfId="0" applyFont="1" applyFill="1" applyBorder="1" applyAlignment="1">
      <alignment horizontal="center"/>
    </xf>
    <xf numFmtId="164" fontId="4" fillId="4" borderId="2" xfId="1" applyNumberFormat="1" applyFont="1" applyFill="1" applyBorder="1" applyAlignment="1">
      <alignment horizontal="right"/>
    </xf>
    <xf numFmtId="164" fontId="4" fillId="4" borderId="3" xfId="1" applyNumberFormat="1" applyFont="1" applyFill="1" applyBorder="1" applyAlignment="1">
      <alignment horizontal="right"/>
    </xf>
    <xf numFmtId="164" fontId="4" fillId="4" borderId="4" xfId="1" applyNumberFormat="1" applyFont="1" applyFill="1" applyBorder="1" applyAlignment="1">
      <alignment horizontal="right"/>
    </xf>
    <xf numFmtId="9" fontId="4" fillId="0" borderId="19" xfId="0" applyNumberFormat="1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64" fontId="4" fillId="3" borderId="7" xfId="1" applyNumberFormat="1" applyFont="1" applyFill="1" applyBorder="1" applyAlignment="1">
      <alignment horizontal="right"/>
    </xf>
    <xf numFmtId="164" fontId="4" fillId="3" borderId="8" xfId="1" applyNumberFormat="1" applyFont="1" applyFill="1" applyBorder="1" applyAlignment="1">
      <alignment horizontal="right"/>
    </xf>
    <xf numFmtId="164" fontId="4" fillId="3" borderId="9" xfId="1" applyNumberFormat="1" applyFont="1" applyFill="1" applyBorder="1" applyAlignment="1">
      <alignment horizontal="right"/>
    </xf>
    <xf numFmtId="164" fontId="4" fillId="3" borderId="14" xfId="1" applyNumberFormat="1" applyFont="1" applyFill="1" applyBorder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5" fillId="2" borderId="0" xfId="0" applyFont="1" applyFill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25" xfId="0" applyBorder="1"/>
    <xf numFmtId="0" fontId="0" fillId="0" borderId="30" xfId="0" applyBorder="1"/>
    <xf numFmtId="0" fontId="0" fillId="0" borderId="31" xfId="0" applyBorder="1" applyAlignment="1">
      <alignment horizont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30" xfId="0" applyFont="1" applyFill="1" applyBorder="1" applyAlignment="1">
      <alignment horizontal="center" vertical="center" wrapText="1"/>
    </xf>
    <xf numFmtId="0" fontId="5" fillId="5" borderId="33" xfId="0" applyFont="1" applyFill="1" applyBorder="1" applyAlignment="1">
      <alignment horizontal="center" vertical="center" wrapText="1"/>
    </xf>
    <xf numFmtId="0" fontId="5" fillId="5" borderId="31" xfId="0" applyFont="1" applyFill="1" applyBorder="1" applyAlignment="1">
      <alignment horizontal="center" vertical="center" wrapText="1"/>
    </xf>
    <xf numFmtId="0" fontId="5" fillId="2" borderId="0" xfId="0" applyFont="1" applyFill="1"/>
    <xf numFmtId="165" fontId="5" fillId="5" borderId="25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/>
    </xf>
    <xf numFmtId="0" fontId="5" fillId="2" borderId="0" xfId="0" applyFont="1" applyFill="1" applyAlignment="1">
      <alignment horizontal="right"/>
    </xf>
    <xf numFmtId="9" fontId="0" fillId="0" borderId="0" xfId="1" applyFont="1" applyAlignment="1">
      <alignment horizontal="center"/>
    </xf>
    <xf numFmtId="164" fontId="0" fillId="0" borderId="0" xfId="0" applyNumberFormat="1"/>
    <xf numFmtId="18" fontId="3" fillId="2" borderId="36" xfId="0" quotePrefix="1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quotePrefix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4" fontId="4" fillId="4" borderId="1" xfId="1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164" fontId="4" fillId="3" borderId="37" xfId="1" applyNumberFormat="1" applyFont="1" applyFill="1" applyBorder="1" applyAlignment="1">
      <alignment horizontal="right"/>
    </xf>
    <xf numFmtId="164" fontId="4" fillId="4" borderId="37" xfId="1" applyNumberFormat="1" applyFont="1" applyFill="1" applyBorder="1" applyAlignment="1">
      <alignment horizontal="right"/>
    </xf>
    <xf numFmtId="164" fontId="4" fillId="3" borderId="12" xfId="1" applyNumberFormat="1" applyFont="1" applyFill="1" applyBorder="1" applyAlignment="1">
      <alignment horizontal="right"/>
    </xf>
    <xf numFmtId="164" fontId="4" fillId="4" borderId="5" xfId="1" applyNumberFormat="1" applyFont="1" applyFill="1" applyBorder="1" applyAlignment="1">
      <alignment horizontal="right"/>
    </xf>
    <xf numFmtId="164" fontId="4" fillId="4" borderId="6" xfId="1" applyNumberFormat="1" applyFont="1" applyFill="1" applyBorder="1" applyAlignment="1">
      <alignment horizontal="right"/>
    </xf>
    <xf numFmtId="164" fontId="4" fillId="4" borderId="16" xfId="1" applyNumberFormat="1" applyFont="1" applyFill="1" applyBorder="1" applyAlignment="1">
      <alignment horizontal="right"/>
    </xf>
    <xf numFmtId="164" fontId="4" fillId="4" borderId="38" xfId="1" applyNumberFormat="1" applyFont="1" applyFill="1" applyBorder="1" applyAlignment="1">
      <alignment horizontal="right"/>
    </xf>
    <xf numFmtId="0" fontId="4" fillId="4" borderId="4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9" fontId="4" fillId="0" borderId="18" xfId="0" applyNumberFormat="1" applyFont="1" applyBorder="1" applyAlignment="1">
      <alignment horizontal="center"/>
    </xf>
    <xf numFmtId="9" fontId="4" fillId="0" borderId="29" xfId="0" applyNumberFormat="1" applyFont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3" fillId="2" borderId="23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0" fontId="3" fillId="2" borderId="34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3" fillId="2" borderId="19" xfId="0" applyFont="1" applyFill="1" applyBorder="1" applyAlignment="1">
      <alignment horizontal="center"/>
    </xf>
    <xf numFmtId="9" fontId="6" fillId="6" borderId="39" xfId="1" applyFont="1" applyFill="1" applyBorder="1" applyAlignment="1">
      <alignment horizontal="center"/>
    </xf>
    <xf numFmtId="9" fontId="6" fillId="7" borderId="39" xfId="1" applyFont="1" applyFill="1" applyBorder="1" applyAlignment="1">
      <alignment horizontal="center"/>
    </xf>
    <xf numFmtId="9" fontId="6" fillId="8" borderId="40" xfId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series layoutId="boxWhisker" uniqueId="{29339903-5D56-430F-A004-78C5C386311F}">
          <cx:tx>
            <cx:txData>
              <cx:f>_xlchart.v1.0</cx:f>
              <cx:v>GrPUB</cx:v>
            </cx:txData>
          </cx:tx>
          <cx:dataLabels>
            <cx:numFmt formatCode="#.##0,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9B34F58-C1DD-4090-8FD1-CB13DE3865F9}">
          <cx:tx>
            <cx:txData>
              <cx:f>_xlchart.v1.2</cx:f>
              <cx:v>GrPRI</cx:v>
            </cx:txData>
          </cx:tx>
          <cx:dataLabels>
            <cx:numFmt formatCode="#.##0,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742949</xdr:colOff>
      <xdr:row>7</xdr:row>
      <xdr:rowOff>180975</xdr:rowOff>
    </xdr:from>
    <xdr:to>
      <xdr:col>16</xdr:col>
      <xdr:colOff>85724</xdr:colOff>
      <xdr:row>21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B972FEB-FDAC-4AA8-9C93-52F68F669C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9974" y="1647825"/>
              <a:ext cx="6162675" cy="2571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Va\Mis%20estudios\Comparativa%20webs\2023-11\5.GrPUB%20estudio.xlsm" TargetMode="External"/><Relationship Id="rId1" Type="http://schemas.openxmlformats.org/officeDocument/2006/relationships/externalLinkPath" Target="5.GrPUB%20estudio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Va\Mis%20estudios\Comparativa%20webs\2023-11\5.GrPRI%20estudio.xlsm" TargetMode="External"/><Relationship Id="rId1" Type="http://schemas.openxmlformats.org/officeDocument/2006/relationships/externalLinkPath" Target="5.GrPRI%20estud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Muestra final"/>
      <sheetName val="Resumen informes sin tratar"/>
      <sheetName val="Cumplimiento indicadores"/>
      <sheetName val="Resumen final"/>
    </sheetNames>
    <sheetDataSet>
      <sheetData sheetId="0" refreshError="1"/>
      <sheetData sheetId="1" refreshError="1"/>
      <sheetData sheetId="2">
        <row r="2">
          <cell r="H2">
            <v>6.7578124999999991</v>
          </cell>
        </row>
        <row r="3">
          <cell r="H3">
            <v>9</v>
          </cell>
        </row>
        <row r="4">
          <cell r="H4">
            <v>3.2</v>
          </cell>
        </row>
      </sheetData>
      <sheetData sheetId="3">
        <row r="67">
          <cell r="X67" t="str">
            <v>Cumplen AA</v>
          </cell>
        </row>
        <row r="68">
          <cell r="X68" t="str">
            <v>Cumplen A</v>
          </cell>
        </row>
        <row r="69">
          <cell r="X69" t="str">
            <v>No válido</v>
          </cell>
        </row>
      </sheetData>
      <sheetData sheetId="4">
        <row r="5">
          <cell r="B5">
            <v>0.28125</v>
          </cell>
          <cell r="C5">
            <v>0.453125</v>
          </cell>
        </row>
        <row r="6">
          <cell r="C6">
            <v>0</v>
          </cell>
        </row>
        <row r="7">
          <cell r="C7">
            <v>0.546875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Muestra final"/>
      <sheetName val="Resumen informes sin tratar"/>
      <sheetName val="Cumplimiento indicadores"/>
      <sheetName val="Resumen final"/>
    </sheetNames>
    <sheetDataSet>
      <sheetData sheetId="0" refreshError="1"/>
      <sheetData sheetId="1" refreshError="1"/>
      <sheetData sheetId="2">
        <row r="2">
          <cell r="H2">
            <v>4.7671874999999977</v>
          </cell>
        </row>
        <row r="3">
          <cell r="H3">
            <v>7.8</v>
          </cell>
        </row>
        <row r="4">
          <cell r="H4">
            <v>2.6</v>
          </cell>
        </row>
      </sheetData>
      <sheetData sheetId="3"/>
      <sheetData sheetId="4">
        <row r="5">
          <cell r="C5">
            <v>7.8125E-2</v>
          </cell>
        </row>
        <row r="6">
          <cell r="C6">
            <v>0</v>
          </cell>
        </row>
        <row r="7">
          <cell r="C7">
            <v>0.921875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7EB2F4-CF10-4AFB-9BC0-1663A00A9A9F}" name="Tabla13" displayName="Tabla13" ref="A1:AB65" totalsRowShown="0" headerRowDxfId="63" dataDxfId="62">
  <tableColumns count="28">
    <tableColumn id="1" xr3:uid="{0D94F5CA-C162-417E-B8A0-C3AD5FF8404E}" name="Archivo">
      <calculatedColumnFormula>[2]!Tabla1[[#This Row],[Archivo]]</calculatedColumnFormula>
    </tableColumn>
    <tableColumn id="2" xr3:uid="{A199512E-E9B2-438B-BD9F-FE2BAC530271}" name="Página" dataDxfId="61">
      <calculatedColumnFormula>[2]!Tabla1[[#This Row],[Página]]</calculatedColumnFormula>
    </tableColumn>
    <tableColumn id="3" xr3:uid="{E612186C-A4C7-4376-8277-D002B1F03D43}" name="URL" dataDxfId="60">
      <calculatedColumnFormula>[2]!Tabla1[[#This Row],[URL]]</calculatedColumnFormula>
    </tableColumn>
    <tableColumn id="4" xr3:uid="{4E4195B8-8622-466E-B289-05CC5F9D6D90}" name="1.1" dataDxfId="59">
      <calculatedColumnFormula>[2]!Tabla1[[#This Row],[1.1]]</calculatedColumnFormula>
    </tableColumn>
    <tableColumn id="5" xr3:uid="{F4236017-B133-48D9-8C94-04BC4BEF1686}" name="1.2" dataDxfId="58">
      <calculatedColumnFormula>[2]!Tabla1[[#This Row],[1.2]]</calculatedColumnFormula>
    </tableColumn>
    <tableColumn id="6" xr3:uid="{90543269-9061-4145-8646-40D2A2C80BB8}" name="1.3" dataDxfId="57">
      <calculatedColumnFormula>[2]!Tabla1[[#This Row],[1.3]]</calculatedColumnFormula>
    </tableColumn>
    <tableColumn id="7" xr3:uid="{BC32E9F9-2D47-42F9-99D9-A9F7595F04B9}" name="1.4" dataDxfId="56">
      <calculatedColumnFormula>[2]!Tabla1[[#This Row],[1.4]]</calculatedColumnFormula>
    </tableColumn>
    <tableColumn id="8" xr3:uid="{547FAD5F-F711-4B67-BFF8-6D57589E5C1A}" name="1.5" dataDxfId="55">
      <calculatedColumnFormula>[2]!Tabla1[[#This Row],[1.5]]</calculatedColumnFormula>
    </tableColumn>
    <tableColumn id="9" xr3:uid="{55297228-960A-4750-83F7-E2BB1B5660F8}" name="1.6" dataDxfId="54">
      <calculatedColumnFormula>[2]!Tabla1[[#This Row],[1.6]]</calculatedColumnFormula>
    </tableColumn>
    <tableColumn id="10" xr3:uid="{305A19C3-DCC9-4E01-989E-AC9878DB37E2}" name="1.7" dataDxfId="53">
      <calculatedColumnFormula>[2]!Tabla1[[#This Row],[1.7]]</calculatedColumnFormula>
    </tableColumn>
    <tableColumn id="11" xr3:uid="{D2904DE5-0F20-493C-A471-81F824BDD714}" name="1.8" dataDxfId="52">
      <calculatedColumnFormula>[2]!Tabla1[[#This Row],[1.8]]</calculatedColumnFormula>
    </tableColumn>
    <tableColumn id="12" xr3:uid="{BF7397A3-F2B4-487A-85C0-41E5D5C7C87F}" name="1.9" dataDxfId="51">
      <calculatedColumnFormula>[2]!Tabla1[[#This Row],[1.9]]</calculatedColumnFormula>
    </tableColumn>
    <tableColumn id="13" xr3:uid="{B9930946-149B-4931-8642-0E28DB9BCDBF}" name="1.10" dataDxfId="50">
      <calculatedColumnFormula>[2]!Tabla1[[#This Row],[1.10]]</calculatedColumnFormula>
    </tableColumn>
    <tableColumn id="14" xr3:uid="{9647DCD8-0722-4B4E-BCB0-467EAFF43620}" name="1.11" dataDxfId="49">
      <calculatedColumnFormula>[2]!Tabla1[[#This Row],[1.11]]</calculatedColumnFormula>
    </tableColumn>
    <tableColumn id="15" xr3:uid="{D85451A4-74AE-40D7-B31B-FA9ED775A466}" name="1.12" dataDxfId="48">
      <calculatedColumnFormula>[2]!Tabla1[[#This Row],[1.12]]</calculatedColumnFormula>
    </tableColumn>
    <tableColumn id="16" xr3:uid="{0F7D4FA1-8073-478C-AFB9-51C464905B2F}" name="1.13" dataDxfId="47">
      <calculatedColumnFormula>[2]!Tabla1[[#This Row],[1.13]]</calculatedColumnFormula>
    </tableColumn>
    <tableColumn id="17" xr3:uid="{4746A370-A030-4C45-BAAD-5ED4FC54A105}" name="1.14" dataDxfId="46">
      <calculatedColumnFormula>[2]!Tabla1[[#This Row],[1.14]]</calculatedColumnFormula>
    </tableColumn>
    <tableColumn id="18" xr3:uid="{31DAEC9D-A498-4367-BECB-61CB20F3E21D}" name="2.1" dataDxfId="45">
      <calculatedColumnFormula>[2]!Tabla1[[#This Row],[2.1]]</calculatedColumnFormula>
    </tableColumn>
    <tableColumn id="19" xr3:uid="{430F7A52-2C52-4861-85B8-378BEC7D6C5B}" name="2.2" dataDxfId="44">
      <calculatedColumnFormula>[2]!Tabla1[[#This Row],[2.2]]</calculatedColumnFormula>
    </tableColumn>
    <tableColumn id="20" xr3:uid="{24C2FA56-7795-4D87-86CC-9218BCFF9B65}" name="2.3" dataDxfId="43">
      <calculatedColumnFormula>[2]!Tabla1[[#This Row],[2.3]]</calculatedColumnFormula>
    </tableColumn>
    <tableColumn id="21" xr3:uid="{E9C7C04C-B21B-4B05-8CD5-3E20F94939EE}" name="2.4" dataDxfId="42">
      <calculatedColumnFormula>[2]!Tabla1[[#This Row],[2.4]]</calculatedColumnFormula>
    </tableColumn>
    <tableColumn id="22" xr3:uid="{2C7E5CBB-0829-4213-949D-2A26DA9FD9E9}" name="2.5" dataDxfId="41">
      <calculatedColumnFormula>[2]!Tabla1[[#This Row],[2.5]]</calculatedColumnFormula>
    </tableColumn>
    <tableColumn id="23" xr3:uid="{E9854FCE-7F1B-4CD2-A54B-CE07F309ECE2}" name="2.6" dataDxfId="40">
      <calculatedColumnFormula>[2]!Tabla1[[#This Row],[2.6]]</calculatedColumnFormula>
    </tableColumn>
    <tableColumn id="25" xr3:uid="{99848456-4FCE-4E31-8CB8-106A4969E0C9}" name="Fallos Nivel A" dataDxfId="39">
      <calculatedColumnFormula>[2]!Tabla1[[#This Row],[Fallos Nivel A]]</calculatedColumnFormula>
    </tableColumn>
    <tableColumn id="26" xr3:uid="{72E079EB-4568-4998-9041-ACFA3E17E8AB}" name="Fallos Nivel AA" dataDxfId="38">
      <calculatedColumnFormula>[2]!Tabla1[[#This Row],[Fallos Nivel AA]]</calculatedColumnFormula>
    </tableColumn>
    <tableColumn id="24" xr3:uid="{263D1C01-7ED1-432C-B4C8-AD28A4D6DEDF}" name="Nivel de adecuación estimado original" dataDxfId="37">
      <calculatedColumnFormula>[2]!Tabla1[[#This Row],[Nivel de adecuación estimado original]]</calculatedColumnFormula>
    </tableColumn>
    <tableColumn id="27" xr3:uid="{5EAC0ADB-043F-43E0-941A-130B685FDDE6}" name="Check original" dataDxfId="36">
      <calculatedColumnFormula>[2]!Tabla1[[#This Row],[Check original]]</calculatedColumnFormula>
    </tableColumn>
    <tableColumn id="28" xr3:uid="{A1966111-D7AA-4470-B09A-9F839466C849}" name="Nivel de adecuación estimado sin 1.7 y 2.1" dataDxfId="35">
      <calculatedColumnFormula>[2]!Tabla1[[#This Row],[Nivel de adecuación estimado sin 1.7 y 2.1]]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BCF27B-9D5E-4049-A614-EE6206FA3D34}" name="Tabla1" displayName="Tabla1" ref="A1:AB65" totalsRowShown="0" headerRowDxfId="34" dataDxfId="33">
  <tableColumns count="28">
    <tableColumn id="1" xr3:uid="{507B0E87-E2D8-4600-8D6F-579173E562F6}" name="Archivo">
      <calculatedColumnFormula>[1]!Tabla1[[#This Row],[Archivo]]</calculatedColumnFormula>
    </tableColumn>
    <tableColumn id="2" xr3:uid="{736C8E56-4444-4726-857D-CB3001F18388}" name="Página" dataDxfId="32">
      <calculatedColumnFormula>[1]!Tabla1[[#This Row],[Página]]</calculatedColumnFormula>
    </tableColumn>
    <tableColumn id="3" xr3:uid="{6E471112-708D-417F-B260-177AC3A57907}" name="URL" dataDxfId="31">
      <calculatedColumnFormula>[1]!Tabla1[[#This Row],[URL]]</calculatedColumnFormula>
    </tableColumn>
    <tableColumn id="4" xr3:uid="{0DDEA28D-010B-41F2-8380-0BF7105905C4}" name="1.1" dataDxfId="30">
      <calculatedColumnFormula>[1]!Tabla1[[#This Row],[1.1]]</calculatedColumnFormula>
    </tableColumn>
    <tableColumn id="5" xr3:uid="{209CDB9B-50AA-46A9-8522-8CDF9E2B2C06}" name="1.2" dataDxfId="29">
      <calculatedColumnFormula>[1]!Tabla1[[#This Row],[1.2]]</calculatedColumnFormula>
    </tableColumn>
    <tableColumn id="6" xr3:uid="{B13E21AC-2B67-49D0-A91E-C00A27313FFA}" name="1.3" dataDxfId="28">
      <calculatedColumnFormula>[1]!Tabla1[[#This Row],[1.3]]</calculatedColumnFormula>
    </tableColumn>
    <tableColumn id="7" xr3:uid="{9CE4510D-E295-4478-9B62-1426E3CF323F}" name="1.4" dataDxfId="27">
      <calculatedColumnFormula>[1]!Tabla1[[#This Row],[1.4]]</calculatedColumnFormula>
    </tableColumn>
    <tableColumn id="8" xr3:uid="{226228B9-1F34-420A-8F52-9BB7C3D4873B}" name="1.5" dataDxfId="26">
      <calculatedColumnFormula>[1]!Tabla1[[#This Row],[1.5]]</calculatedColumnFormula>
    </tableColumn>
    <tableColumn id="9" xr3:uid="{453031E3-8618-4FB5-8895-6BEB81D066B9}" name="1.6" dataDxfId="25">
      <calculatedColumnFormula>[1]!Tabla1[[#This Row],[1.6]]</calculatedColumnFormula>
    </tableColumn>
    <tableColumn id="10" xr3:uid="{2A2E9C9E-F2DB-4799-9B3B-493C5B69ABF1}" name="1.7" dataDxfId="24">
      <calculatedColumnFormula>[1]!Tabla1[[#This Row],[1.7]]</calculatedColumnFormula>
    </tableColumn>
    <tableColumn id="11" xr3:uid="{96F8CD86-A53E-4F07-83CC-3C1BD2700941}" name="1.8" dataDxfId="23">
      <calculatedColumnFormula>[1]!Tabla1[[#This Row],[1.8]]</calculatedColumnFormula>
    </tableColumn>
    <tableColumn id="12" xr3:uid="{B5C2B36A-21C3-4A3D-89E9-2F605193B6C8}" name="1.9" dataDxfId="22">
      <calculatedColumnFormula>[1]!Tabla1[[#This Row],[1.9]]</calculatedColumnFormula>
    </tableColumn>
    <tableColumn id="13" xr3:uid="{C48DF938-25E6-4CBB-804B-A73CF28F6640}" name="1.10" dataDxfId="21">
      <calculatedColumnFormula>[1]!Tabla1[[#This Row],[1.10]]</calculatedColumnFormula>
    </tableColumn>
    <tableColumn id="14" xr3:uid="{B4133663-A159-4A7C-AAE2-9E2413ACA6F5}" name="1.11" dataDxfId="20">
      <calculatedColumnFormula>[1]!Tabla1[[#This Row],[1.11]]</calculatedColumnFormula>
    </tableColumn>
    <tableColumn id="15" xr3:uid="{C249D7ED-D47E-463D-9ABF-13F9FF51DAC9}" name="1.12" dataDxfId="19">
      <calculatedColumnFormula>[1]!Tabla1[[#This Row],[1.12]]</calculatedColumnFormula>
    </tableColumn>
    <tableColumn id="16" xr3:uid="{BA21785C-9634-42E4-B84B-B1A78E6C4A2A}" name="1.13" dataDxfId="18">
      <calculatedColumnFormula>[1]!Tabla1[[#This Row],[1.13]]</calculatedColumnFormula>
    </tableColumn>
    <tableColumn id="17" xr3:uid="{D844A18F-3655-4B20-A56C-C41225EE3664}" name="1.14" dataDxfId="17">
      <calculatedColumnFormula>[1]!Tabla1[[#This Row],[1.14]]</calculatedColumnFormula>
    </tableColumn>
    <tableColumn id="18" xr3:uid="{6E3B89B3-58FC-4A3A-8CC0-7360A50F7255}" name="2.1" dataDxfId="16">
      <calculatedColumnFormula>[1]!Tabla1[[#This Row],[2.1]]</calculatedColumnFormula>
    </tableColumn>
    <tableColumn id="19" xr3:uid="{E2C73D96-0248-4141-8DEE-E3F653CA89F4}" name="2.2" dataDxfId="15">
      <calculatedColumnFormula>[1]!Tabla1[[#This Row],[2.2]]</calculatedColumnFormula>
    </tableColumn>
    <tableColumn id="20" xr3:uid="{BEF74C10-5425-4C51-B50E-ED8D2E7FBCF1}" name="2.3" dataDxfId="14">
      <calculatedColumnFormula>[1]!Tabla1[[#This Row],[2.3]]</calculatedColumnFormula>
    </tableColumn>
    <tableColumn id="21" xr3:uid="{53695E00-9918-4AB7-8B9C-6B9B0E8FB2E6}" name="2.4" dataDxfId="13">
      <calculatedColumnFormula>[1]!Tabla1[[#This Row],[2.4]]</calculatedColumnFormula>
    </tableColumn>
    <tableColumn id="22" xr3:uid="{FB4A73DE-FE1C-4CE2-A727-5AA4EAFC2D30}" name="2.5" dataDxfId="12">
      <calculatedColumnFormula>[1]!Tabla1[[#This Row],[2.5]]</calculatedColumnFormula>
    </tableColumn>
    <tableColumn id="23" xr3:uid="{A65844B3-6DEF-49AF-B6B0-16E975DA654B}" name="2.6" dataDxfId="11">
      <calculatedColumnFormula>[1]!Tabla1[[#This Row],[2.6]]</calculatedColumnFormula>
    </tableColumn>
    <tableColumn id="25" xr3:uid="{49CD70EA-D362-4EBD-8AC5-F9E46975581C}" name="Fallos Nivel A" dataDxfId="10">
      <calculatedColumnFormula>[1]!Tabla1[[#This Row],[Fallos Nivel A]]</calculatedColumnFormula>
    </tableColumn>
    <tableColumn id="26" xr3:uid="{56676183-8A92-4841-B575-D266417318EA}" name="Fallos Nivel AA" dataDxfId="9">
      <calculatedColumnFormula>[1]!Tabla1[[#This Row],[Fallos Nivel AA]]</calculatedColumnFormula>
    </tableColumn>
    <tableColumn id="24" xr3:uid="{DB31C8E8-9F27-4D10-AFBB-CA7D9F176B05}" name="Nivel de adecuación estimado original" dataDxfId="8">
      <calculatedColumnFormula>[1]!Tabla1[[#This Row],[Nivel de adecuación estimado original]]</calculatedColumnFormula>
    </tableColumn>
    <tableColumn id="27" xr3:uid="{433C3276-FBBC-44D4-8FB6-B6C5D3D9C5A8}" name="Check original" dataDxfId="7">
      <calculatedColumnFormula>[1]!Tabla1[[#This Row],[Check original]]</calculatedColumnFormula>
    </tableColumn>
    <tableColumn id="28" xr3:uid="{0DDB8572-C33B-4EC3-B3E0-CED64C615C6C}" name="Nivel de adecuación estimado sin 1.7 y 2.1" dataDxfId="6">
      <calculatedColumnFormula>[1]!Tabla1[[#This Row],[Nivel de adecuación estimado sin 1.7 y 2.1]]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0021E-664A-4595-90E4-54DC4C7BA25A}">
  <dimension ref="A1:M66"/>
  <sheetViews>
    <sheetView topLeftCell="D1" zoomScaleNormal="100" workbookViewId="0">
      <selection activeCell="M24" sqref="M24"/>
    </sheetView>
  </sheetViews>
  <sheetFormatPr baseColWidth="10" defaultRowHeight="15" x14ac:dyDescent="0.25"/>
  <cols>
    <col min="1" max="1" width="14.7109375" bestFit="1" customWidth="1"/>
    <col min="3" max="3" width="42.7109375" customWidth="1"/>
    <col min="5" max="5" width="14" bestFit="1" customWidth="1"/>
    <col min="6" max="6" width="9.28515625" bestFit="1" customWidth="1"/>
    <col min="7" max="7" width="42.7109375" customWidth="1"/>
    <col min="8" max="8" width="11" bestFit="1" customWidth="1"/>
    <col min="9" max="9" width="11.42578125" customWidth="1"/>
    <col min="10" max="13" width="14.140625" customWidth="1"/>
  </cols>
  <sheetData>
    <row r="1" spans="1:13" ht="21" x14ac:dyDescent="0.35">
      <c r="A1" s="65" t="s">
        <v>48</v>
      </c>
      <c r="B1" s="66"/>
      <c r="C1" s="66"/>
      <c r="D1" s="66"/>
      <c r="E1" s="67" t="s">
        <v>49</v>
      </c>
      <c r="F1" s="66"/>
      <c r="G1" s="66"/>
      <c r="H1" s="68"/>
      <c r="J1" s="65" t="s">
        <v>44</v>
      </c>
      <c r="K1" s="66"/>
      <c r="L1" s="65" t="s">
        <v>45</v>
      </c>
      <c r="M1" s="66"/>
    </row>
    <row r="2" spans="1:13" ht="15.75" thickBot="1" x14ac:dyDescent="0.3">
      <c r="A2" s="29" t="s">
        <v>55</v>
      </c>
      <c r="B2" s="30" t="s">
        <v>56</v>
      </c>
      <c r="C2" s="30" t="s">
        <v>57</v>
      </c>
      <c r="D2" s="30" t="s">
        <v>48</v>
      </c>
      <c r="E2" s="31" t="s">
        <v>55</v>
      </c>
      <c r="F2" s="30" t="s">
        <v>56</v>
      </c>
      <c r="G2" s="30" t="s">
        <v>57</v>
      </c>
      <c r="H2" s="32" t="s">
        <v>49</v>
      </c>
      <c r="J2" s="29" t="s">
        <v>50</v>
      </c>
      <c r="K2" s="34">
        <f>'[1]Resumen informes sin tratar'!$H2</f>
        <v>6.7578124999999991</v>
      </c>
      <c r="L2" s="29" t="s">
        <v>50</v>
      </c>
      <c r="M2" s="34">
        <f>'[2]Resumen informes sin tratar'!$H2</f>
        <v>4.7671874999999977</v>
      </c>
    </row>
    <row r="3" spans="1:13" ht="15.75" thickBot="1" x14ac:dyDescent="0.3">
      <c r="A3" s="24" t="s">
        <v>58</v>
      </c>
      <c r="B3" t="s">
        <v>59</v>
      </c>
      <c r="C3" t="s">
        <v>60</v>
      </c>
      <c r="D3" s="25">
        <v>7.5</v>
      </c>
      <c r="E3" s="24" t="s">
        <v>157</v>
      </c>
      <c r="F3" t="s">
        <v>59</v>
      </c>
      <c r="G3" t="s">
        <v>158</v>
      </c>
      <c r="H3" s="25">
        <v>4.7</v>
      </c>
      <c r="J3" s="29" t="s">
        <v>47</v>
      </c>
      <c r="K3" s="34">
        <f>'[1]Resumen informes sin tratar'!$H3</f>
        <v>9</v>
      </c>
      <c r="L3" s="29" t="s">
        <v>47</v>
      </c>
      <c r="M3" s="34">
        <f>'[2]Resumen informes sin tratar'!$H3</f>
        <v>7.8</v>
      </c>
    </row>
    <row r="4" spans="1:13" ht="15.75" thickBot="1" x14ac:dyDescent="0.3">
      <c r="A4" s="24" t="s">
        <v>58</v>
      </c>
      <c r="B4" t="s">
        <v>61</v>
      </c>
      <c r="C4" t="s">
        <v>62</v>
      </c>
      <c r="D4" s="25">
        <v>7.9</v>
      </c>
      <c r="E4" s="24" t="s">
        <v>157</v>
      </c>
      <c r="F4" t="s">
        <v>61</v>
      </c>
      <c r="G4" t="s">
        <v>159</v>
      </c>
      <c r="H4" s="25">
        <v>5.8</v>
      </c>
      <c r="J4" s="29" t="s">
        <v>51</v>
      </c>
      <c r="K4" s="34">
        <f>'[1]Resumen informes sin tratar'!$H4</f>
        <v>3.2</v>
      </c>
      <c r="L4" s="29" t="s">
        <v>51</v>
      </c>
      <c r="M4" s="34">
        <f>'[2]Resumen informes sin tratar'!$H4</f>
        <v>2.6</v>
      </c>
    </row>
    <row r="5" spans="1:13" x14ac:dyDescent="0.25">
      <c r="A5" s="24" t="s">
        <v>58</v>
      </c>
      <c r="B5" t="s">
        <v>63</v>
      </c>
      <c r="C5" t="s">
        <v>64</v>
      </c>
      <c r="D5" s="25">
        <v>7</v>
      </c>
      <c r="E5" s="24" t="s">
        <v>157</v>
      </c>
      <c r="F5" t="s">
        <v>63</v>
      </c>
      <c r="G5" t="s">
        <v>160</v>
      </c>
      <c r="H5" s="25">
        <v>5.8</v>
      </c>
    </row>
    <row r="6" spans="1:13" x14ac:dyDescent="0.25">
      <c r="A6" s="24" t="s">
        <v>58</v>
      </c>
      <c r="B6" t="s">
        <v>65</v>
      </c>
      <c r="C6" t="s">
        <v>66</v>
      </c>
      <c r="D6" s="25">
        <v>6.5</v>
      </c>
      <c r="E6" s="24" t="s">
        <v>157</v>
      </c>
      <c r="F6" t="s">
        <v>65</v>
      </c>
      <c r="G6" t="s">
        <v>161</v>
      </c>
      <c r="H6" s="25">
        <v>5.8</v>
      </c>
    </row>
    <row r="7" spans="1:13" x14ac:dyDescent="0.25">
      <c r="A7" s="24" t="s">
        <v>58</v>
      </c>
      <c r="B7" t="s">
        <v>67</v>
      </c>
      <c r="C7" t="s">
        <v>68</v>
      </c>
      <c r="D7" s="25">
        <v>6.3</v>
      </c>
      <c r="E7" s="24" t="s">
        <v>157</v>
      </c>
      <c r="F7" t="s">
        <v>67</v>
      </c>
      <c r="G7" t="s">
        <v>162</v>
      </c>
      <c r="H7" s="25">
        <v>5.8</v>
      </c>
    </row>
    <row r="8" spans="1:13" x14ac:dyDescent="0.25">
      <c r="A8" s="24" t="s">
        <v>58</v>
      </c>
      <c r="B8" t="s">
        <v>69</v>
      </c>
      <c r="C8" t="s">
        <v>70</v>
      </c>
      <c r="D8" s="25">
        <v>8.9</v>
      </c>
      <c r="E8" s="24" t="s">
        <v>157</v>
      </c>
      <c r="F8" t="s">
        <v>69</v>
      </c>
      <c r="G8" t="s">
        <v>163</v>
      </c>
      <c r="H8" s="25">
        <v>4.2</v>
      </c>
    </row>
    <row r="9" spans="1:13" x14ac:dyDescent="0.25">
      <c r="A9" s="24" t="s">
        <v>58</v>
      </c>
      <c r="B9" t="s">
        <v>71</v>
      </c>
      <c r="C9" t="s">
        <v>72</v>
      </c>
      <c r="D9" s="25">
        <v>5.5</v>
      </c>
      <c r="E9" s="24" t="s">
        <v>157</v>
      </c>
      <c r="F9" t="s">
        <v>71</v>
      </c>
      <c r="G9" t="s">
        <v>164</v>
      </c>
      <c r="H9" s="25">
        <v>6.1</v>
      </c>
    </row>
    <row r="10" spans="1:13" x14ac:dyDescent="0.25">
      <c r="A10" s="24" t="s">
        <v>58</v>
      </c>
      <c r="B10" t="s">
        <v>73</v>
      </c>
      <c r="C10" t="s">
        <v>74</v>
      </c>
      <c r="D10" s="25">
        <v>8.9</v>
      </c>
      <c r="E10" s="24" t="s">
        <v>157</v>
      </c>
      <c r="F10" t="s">
        <v>73</v>
      </c>
      <c r="G10" t="s">
        <v>165</v>
      </c>
      <c r="H10" s="25">
        <v>3.2</v>
      </c>
    </row>
    <row r="11" spans="1:13" x14ac:dyDescent="0.25">
      <c r="A11" s="24" t="s">
        <v>58</v>
      </c>
      <c r="B11" t="s">
        <v>75</v>
      </c>
      <c r="C11" t="s">
        <v>76</v>
      </c>
      <c r="D11" s="25">
        <v>7.4</v>
      </c>
      <c r="E11" s="24" t="s">
        <v>157</v>
      </c>
      <c r="F11" t="s">
        <v>75</v>
      </c>
      <c r="G11" t="s">
        <v>166</v>
      </c>
      <c r="H11" s="25">
        <v>7.8</v>
      </c>
    </row>
    <row r="12" spans="1:13" x14ac:dyDescent="0.25">
      <c r="A12" s="24" t="s">
        <v>58</v>
      </c>
      <c r="B12" t="s">
        <v>77</v>
      </c>
      <c r="C12" t="s">
        <v>78</v>
      </c>
      <c r="D12" s="25">
        <v>6.5</v>
      </c>
      <c r="E12" s="24" t="s">
        <v>157</v>
      </c>
      <c r="F12" t="s">
        <v>77</v>
      </c>
      <c r="G12" t="s">
        <v>167</v>
      </c>
      <c r="H12" s="25">
        <v>4.2</v>
      </c>
    </row>
    <row r="13" spans="1:13" x14ac:dyDescent="0.25">
      <c r="A13" s="24" t="s">
        <v>58</v>
      </c>
      <c r="B13" t="s">
        <v>79</v>
      </c>
      <c r="C13" t="s">
        <v>80</v>
      </c>
      <c r="D13" s="25">
        <v>7.1</v>
      </c>
      <c r="E13" s="24" t="s">
        <v>157</v>
      </c>
      <c r="F13" t="s">
        <v>79</v>
      </c>
      <c r="G13" t="s">
        <v>168</v>
      </c>
      <c r="H13" s="25">
        <v>4.4000000000000004</v>
      </c>
    </row>
    <row r="14" spans="1:13" x14ac:dyDescent="0.25">
      <c r="A14" s="24" t="s">
        <v>58</v>
      </c>
      <c r="B14" t="s">
        <v>81</v>
      </c>
      <c r="C14" t="s">
        <v>82</v>
      </c>
      <c r="D14" s="25">
        <v>3.7</v>
      </c>
      <c r="E14" s="24" t="s">
        <v>157</v>
      </c>
      <c r="F14" t="s">
        <v>81</v>
      </c>
      <c r="G14" t="s">
        <v>169</v>
      </c>
      <c r="H14" s="25">
        <v>5</v>
      </c>
    </row>
    <row r="15" spans="1:13" x14ac:dyDescent="0.25">
      <c r="A15" s="24" t="s">
        <v>58</v>
      </c>
      <c r="B15" t="s">
        <v>83</v>
      </c>
      <c r="C15" t="s">
        <v>84</v>
      </c>
      <c r="D15" s="25">
        <v>5.8</v>
      </c>
      <c r="E15" s="24" t="s">
        <v>157</v>
      </c>
      <c r="F15" t="s">
        <v>83</v>
      </c>
      <c r="G15" t="s">
        <v>170</v>
      </c>
      <c r="H15" s="25">
        <v>4.2</v>
      </c>
    </row>
    <row r="16" spans="1:13" x14ac:dyDescent="0.25">
      <c r="A16" s="24" t="s">
        <v>58</v>
      </c>
      <c r="B16" t="s">
        <v>85</v>
      </c>
      <c r="C16" t="s">
        <v>86</v>
      </c>
      <c r="D16" s="25">
        <v>7.1</v>
      </c>
      <c r="E16" s="24" t="s">
        <v>157</v>
      </c>
      <c r="F16" t="s">
        <v>85</v>
      </c>
      <c r="G16" t="s">
        <v>171</v>
      </c>
      <c r="H16" s="25">
        <v>6.1</v>
      </c>
    </row>
    <row r="17" spans="1:8" x14ac:dyDescent="0.25">
      <c r="A17" s="24" t="s">
        <v>58</v>
      </c>
      <c r="B17" t="s">
        <v>87</v>
      </c>
      <c r="C17" t="s">
        <v>88</v>
      </c>
      <c r="D17" s="25">
        <v>8.4</v>
      </c>
      <c r="E17" s="24" t="s">
        <v>157</v>
      </c>
      <c r="F17" t="s">
        <v>87</v>
      </c>
      <c r="G17" t="s">
        <v>172</v>
      </c>
      <c r="H17" s="25">
        <v>7.2</v>
      </c>
    </row>
    <row r="18" spans="1:8" x14ac:dyDescent="0.25">
      <c r="A18" s="24" t="s">
        <v>58</v>
      </c>
      <c r="B18" t="s">
        <v>89</v>
      </c>
      <c r="C18" t="s">
        <v>90</v>
      </c>
      <c r="D18" s="25">
        <v>8.9</v>
      </c>
      <c r="E18" s="24" t="s">
        <v>157</v>
      </c>
      <c r="F18" t="s">
        <v>89</v>
      </c>
      <c r="G18" t="s">
        <v>173</v>
      </c>
      <c r="H18" s="25">
        <v>3.2</v>
      </c>
    </row>
    <row r="19" spans="1:8" x14ac:dyDescent="0.25">
      <c r="A19" s="24" t="s">
        <v>58</v>
      </c>
      <c r="B19" t="s">
        <v>91</v>
      </c>
      <c r="C19" t="s">
        <v>92</v>
      </c>
      <c r="D19" s="25">
        <v>7.4</v>
      </c>
      <c r="E19" s="24" t="s">
        <v>157</v>
      </c>
      <c r="F19" t="s">
        <v>91</v>
      </c>
      <c r="G19" t="s">
        <v>174</v>
      </c>
      <c r="H19" s="25">
        <v>4.7</v>
      </c>
    </row>
    <row r="20" spans="1:8" x14ac:dyDescent="0.25">
      <c r="A20" s="24" t="s">
        <v>58</v>
      </c>
      <c r="B20" t="s">
        <v>93</v>
      </c>
      <c r="C20" t="s">
        <v>94</v>
      </c>
      <c r="D20" s="25">
        <v>4.5</v>
      </c>
      <c r="E20" s="24" t="s">
        <v>157</v>
      </c>
      <c r="F20" t="s">
        <v>93</v>
      </c>
      <c r="G20" t="s">
        <v>175</v>
      </c>
      <c r="H20" s="25">
        <v>4.4000000000000004</v>
      </c>
    </row>
    <row r="21" spans="1:8" x14ac:dyDescent="0.25">
      <c r="A21" s="24" t="s">
        <v>58</v>
      </c>
      <c r="B21" t="s">
        <v>95</v>
      </c>
      <c r="C21" t="s">
        <v>96</v>
      </c>
      <c r="D21" s="25">
        <v>7.9</v>
      </c>
      <c r="E21" s="24" t="s">
        <v>157</v>
      </c>
      <c r="F21" t="s">
        <v>95</v>
      </c>
      <c r="G21" t="s">
        <v>176</v>
      </c>
      <c r="H21" s="25">
        <v>2.9</v>
      </c>
    </row>
    <row r="22" spans="1:8" x14ac:dyDescent="0.25">
      <c r="A22" s="24" t="s">
        <v>58</v>
      </c>
      <c r="B22" t="s">
        <v>97</v>
      </c>
      <c r="C22" t="s">
        <v>98</v>
      </c>
      <c r="D22" s="25">
        <v>7.9</v>
      </c>
      <c r="E22" s="24" t="s">
        <v>157</v>
      </c>
      <c r="F22" t="s">
        <v>97</v>
      </c>
      <c r="G22" t="s">
        <v>177</v>
      </c>
      <c r="H22" s="25">
        <v>5.3</v>
      </c>
    </row>
    <row r="23" spans="1:8" x14ac:dyDescent="0.25">
      <c r="A23" s="24" t="s">
        <v>58</v>
      </c>
      <c r="B23" t="s">
        <v>99</v>
      </c>
      <c r="C23" t="s">
        <v>100</v>
      </c>
      <c r="D23" s="25">
        <v>8.1</v>
      </c>
      <c r="E23" s="24" t="s">
        <v>157</v>
      </c>
      <c r="F23" t="s">
        <v>99</v>
      </c>
      <c r="G23" t="s">
        <v>178</v>
      </c>
      <c r="H23" s="25">
        <v>5</v>
      </c>
    </row>
    <row r="24" spans="1:8" x14ac:dyDescent="0.25">
      <c r="A24" s="24" t="s">
        <v>58</v>
      </c>
      <c r="B24" t="s">
        <v>101</v>
      </c>
      <c r="C24" t="s">
        <v>102</v>
      </c>
      <c r="D24" s="25">
        <v>5.3</v>
      </c>
      <c r="E24" s="24" t="s">
        <v>157</v>
      </c>
      <c r="F24" t="s">
        <v>101</v>
      </c>
      <c r="G24" t="s">
        <v>179</v>
      </c>
      <c r="H24" s="25">
        <v>5.3</v>
      </c>
    </row>
    <row r="25" spans="1:8" x14ac:dyDescent="0.25">
      <c r="A25" s="24" t="s">
        <v>58</v>
      </c>
      <c r="B25" t="s">
        <v>103</v>
      </c>
      <c r="C25" t="s">
        <v>104</v>
      </c>
      <c r="D25" s="25">
        <v>6.8</v>
      </c>
      <c r="E25" s="24" t="s">
        <v>157</v>
      </c>
      <c r="F25" t="s">
        <v>103</v>
      </c>
      <c r="G25" t="s">
        <v>180</v>
      </c>
      <c r="H25" s="25">
        <v>3.2</v>
      </c>
    </row>
    <row r="26" spans="1:8" x14ac:dyDescent="0.25">
      <c r="A26" s="24" t="s">
        <v>58</v>
      </c>
      <c r="B26" t="s">
        <v>105</v>
      </c>
      <c r="C26" t="s">
        <v>106</v>
      </c>
      <c r="D26" s="25">
        <v>7.9</v>
      </c>
      <c r="E26" s="24" t="s">
        <v>157</v>
      </c>
      <c r="F26" t="s">
        <v>105</v>
      </c>
      <c r="G26" t="s">
        <v>181</v>
      </c>
      <c r="H26" s="25">
        <v>4.2</v>
      </c>
    </row>
    <row r="27" spans="1:8" x14ac:dyDescent="0.25">
      <c r="A27" s="24" t="s">
        <v>58</v>
      </c>
      <c r="B27" t="s">
        <v>107</v>
      </c>
      <c r="C27" t="s">
        <v>108</v>
      </c>
      <c r="D27" s="25">
        <v>4.7</v>
      </c>
      <c r="E27" s="24" t="s">
        <v>157</v>
      </c>
      <c r="F27" t="s">
        <v>107</v>
      </c>
      <c r="G27" t="s">
        <v>182</v>
      </c>
      <c r="H27" s="25">
        <v>4</v>
      </c>
    </row>
    <row r="28" spans="1:8" x14ac:dyDescent="0.25">
      <c r="A28" s="24" t="s">
        <v>58</v>
      </c>
      <c r="B28" t="s">
        <v>109</v>
      </c>
      <c r="C28" t="s">
        <v>110</v>
      </c>
      <c r="D28" s="25">
        <v>8.4</v>
      </c>
      <c r="E28" s="24" t="s">
        <v>157</v>
      </c>
      <c r="F28" t="s">
        <v>109</v>
      </c>
      <c r="G28" t="s">
        <v>183</v>
      </c>
      <c r="H28" s="25">
        <v>2.6</v>
      </c>
    </row>
    <row r="29" spans="1:8" x14ac:dyDescent="0.25">
      <c r="A29" s="24" t="s">
        <v>58</v>
      </c>
      <c r="B29" t="s">
        <v>111</v>
      </c>
      <c r="C29" t="s">
        <v>112</v>
      </c>
      <c r="D29" s="25">
        <v>4.7</v>
      </c>
      <c r="E29" s="24" t="s">
        <v>157</v>
      </c>
      <c r="F29" t="s">
        <v>111</v>
      </c>
      <c r="G29" t="s">
        <v>184</v>
      </c>
      <c r="H29" s="25">
        <v>3.2</v>
      </c>
    </row>
    <row r="30" spans="1:8" x14ac:dyDescent="0.25">
      <c r="A30" s="24" t="s">
        <v>58</v>
      </c>
      <c r="B30" t="s">
        <v>113</v>
      </c>
      <c r="C30" t="s">
        <v>114</v>
      </c>
      <c r="D30" s="25">
        <v>4.7</v>
      </c>
      <c r="E30" s="24" t="s">
        <v>157</v>
      </c>
      <c r="F30" t="s">
        <v>113</v>
      </c>
      <c r="G30" t="s">
        <v>185</v>
      </c>
      <c r="H30" s="25">
        <v>3.2</v>
      </c>
    </row>
    <row r="31" spans="1:8" x14ac:dyDescent="0.25">
      <c r="A31" s="24" t="s">
        <v>58</v>
      </c>
      <c r="B31" t="s">
        <v>115</v>
      </c>
      <c r="C31" t="s">
        <v>116</v>
      </c>
      <c r="D31" s="25">
        <v>8.4</v>
      </c>
      <c r="E31" s="24" t="s">
        <v>157</v>
      </c>
      <c r="F31" t="s">
        <v>115</v>
      </c>
      <c r="G31" t="s">
        <v>186</v>
      </c>
      <c r="H31" s="25">
        <v>4.7</v>
      </c>
    </row>
    <row r="32" spans="1:8" x14ac:dyDescent="0.25">
      <c r="A32" s="24" t="s">
        <v>58</v>
      </c>
      <c r="B32" t="s">
        <v>117</v>
      </c>
      <c r="C32" t="s">
        <v>118</v>
      </c>
      <c r="D32" s="25">
        <v>8.4</v>
      </c>
      <c r="E32" s="24" t="s">
        <v>157</v>
      </c>
      <c r="F32" t="s">
        <v>117</v>
      </c>
      <c r="G32" t="s">
        <v>187</v>
      </c>
      <c r="H32" s="25">
        <v>5.3</v>
      </c>
    </row>
    <row r="33" spans="1:8" x14ac:dyDescent="0.25">
      <c r="A33" s="24" t="s">
        <v>58</v>
      </c>
      <c r="B33" t="s">
        <v>119</v>
      </c>
      <c r="C33" t="s">
        <v>120</v>
      </c>
      <c r="D33" s="25">
        <v>5.3</v>
      </c>
      <c r="E33" s="24" t="s">
        <v>157</v>
      </c>
      <c r="F33" t="s">
        <v>119</v>
      </c>
      <c r="G33" t="s">
        <v>188</v>
      </c>
      <c r="H33" s="25">
        <v>4.2</v>
      </c>
    </row>
    <row r="34" spans="1:8" x14ac:dyDescent="0.25">
      <c r="A34" s="24" t="s">
        <v>58</v>
      </c>
      <c r="B34" t="s">
        <v>121</v>
      </c>
      <c r="C34" t="s">
        <v>122</v>
      </c>
      <c r="D34" s="25">
        <v>4.7</v>
      </c>
      <c r="E34" s="24" t="s">
        <v>189</v>
      </c>
      <c r="F34" t="s">
        <v>59</v>
      </c>
      <c r="G34" t="s">
        <v>190</v>
      </c>
      <c r="H34" s="25">
        <v>4.2</v>
      </c>
    </row>
    <row r="35" spans="1:8" x14ac:dyDescent="0.25">
      <c r="A35" s="24" t="s">
        <v>58</v>
      </c>
      <c r="B35" t="s">
        <v>123</v>
      </c>
      <c r="C35" t="s">
        <v>124</v>
      </c>
      <c r="D35" s="25">
        <v>8.9</v>
      </c>
      <c r="E35" s="24" t="s">
        <v>189</v>
      </c>
      <c r="F35" t="s">
        <v>61</v>
      </c>
      <c r="G35" t="s">
        <v>191</v>
      </c>
      <c r="H35" s="25">
        <v>5</v>
      </c>
    </row>
    <row r="36" spans="1:8" x14ac:dyDescent="0.25">
      <c r="A36" s="24" t="s">
        <v>125</v>
      </c>
      <c r="B36" t="s">
        <v>59</v>
      </c>
      <c r="C36" s="22" t="s">
        <v>126</v>
      </c>
      <c r="D36" s="25">
        <v>5.9</v>
      </c>
      <c r="E36" s="24" t="s">
        <v>189</v>
      </c>
      <c r="F36" t="s">
        <v>63</v>
      </c>
      <c r="G36" s="22" t="s">
        <v>192</v>
      </c>
      <c r="H36" s="25">
        <v>3.5</v>
      </c>
    </row>
    <row r="37" spans="1:8" x14ac:dyDescent="0.25">
      <c r="A37" s="24" t="s">
        <v>125</v>
      </c>
      <c r="B37" t="s">
        <v>61</v>
      </c>
      <c r="C37" s="22" t="s">
        <v>127</v>
      </c>
      <c r="D37" s="25">
        <v>4.7</v>
      </c>
      <c r="E37" s="24" t="s">
        <v>189</v>
      </c>
      <c r="F37" t="s">
        <v>65</v>
      </c>
      <c r="G37" s="22" t="s">
        <v>193</v>
      </c>
      <c r="H37" s="25">
        <v>4.7</v>
      </c>
    </row>
    <row r="38" spans="1:8" x14ac:dyDescent="0.25">
      <c r="A38" s="24" t="s">
        <v>125</v>
      </c>
      <c r="B38" t="s">
        <v>63</v>
      </c>
      <c r="C38" s="22" t="s">
        <v>128</v>
      </c>
      <c r="D38" s="25">
        <v>7.4</v>
      </c>
      <c r="E38" s="24" t="s">
        <v>189</v>
      </c>
      <c r="F38" t="s">
        <v>67</v>
      </c>
      <c r="G38" s="22" t="s">
        <v>194</v>
      </c>
      <c r="H38" s="25">
        <v>6.1</v>
      </c>
    </row>
    <row r="39" spans="1:8" x14ac:dyDescent="0.25">
      <c r="A39" s="24" t="s">
        <v>125</v>
      </c>
      <c r="B39" t="s">
        <v>65</v>
      </c>
      <c r="C39" s="22" t="s">
        <v>129</v>
      </c>
      <c r="D39" s="25">
        <v>7.9</v>
      </c>
      <c r="E39" s="24" t="s">
        <v>189</v>
      </c>
      <c r="F39" t="s">
        <v>69</v>
      </c>
      <c r="G39" s="22" t="s">
        <v>195</v>
      </c>
      <c r="H39" s="25">
        <v>5.8</v>
      </c>
    </row>
    <row r="40" spans="1:8" x14ac:dyDescent="0.25">
      <c r="A40" s="24" t="s">
        <v>125</v>
      </c>
      <c r="B40" t="s">
        <v>67</v>
      </c>
      <c r="C40" s="22" t="s">
        <v>130</v>
      </c>
      <c r="D40" s="25">
        <v>9</v>
      </c>
      <c r="E40" s="24" t="s">
        <v>189</v>
      </c>
      <c r="F40" t="s">
        <v>71</v>
      </c>
      <c r="G40" s="22" t="s">
        <v>196</v>
      </c>
      <c r="H40" s="25">
        <v>7.6</v>
      </c>
    </row>
    <row r="41" spans="1:8" x14ac:dyDescent="0.25">
      <c r="A41" s="24" t="s">
        <v>125</v>
      </c>
      <c r="B41" t="s">
        <v>69</v>
      </c>
      <c r="C41" s="22" t="s">
        <v>131</v>
      </c>
      <c r="D41" s="25">
        <v>7.9</v>
      </c>
      <c r="E41" s="24" t="s">
        <v>189</v>
      </c>
      <c r="F41" t="s">
        <v>73</v>
      </c>
      <c r="G41" s="22" t="s">
        <v>197</v>
      </c>
      <c r="H41" s="25">
        <v>3.2</v>
      </c>
    </row>
    <row r="42" spans="1:8" x14ac:dyDescent="0.25">
      <c r="A42" s="24" t="s">
        <v>125</v>
      </c>
      <c r="B42" t="s">
        <v>71</v>
      </c>
      <c r="C42" s="22" t="s">
        <v>132</v>
      </c>
      <c r="D42" s="25">
        <v>6.8</v>
      </c>
      <c r="E42" s="24" t="s">
        <v>189</v>
      </c>
      <c r="F42" t="s">
        <v>75</v>
      </c>
      <c r="G42" s="22" t="s">
        <v>198</v>
      </c>
      <c r="H42" s="25">
        <v>4.0999999999999996</v>
      </c>
    </row>
    <row r="43" spans="1:8" x14ac:dyDescent="0.25">
      <c r="A43" s="24" t="s">
        <v>125</v>
      </c>
      <c r="B43" t="s">
        <v>73</v>
      </c>
      <c r="C43" s="22" t="s">
        <v>133</v>
      </c>
      <c r="D43" s="25">
        <v>7</v>
      </c>
      <c r="E43" s="24" t="s">
        <v>189</v>
      </c>
      <c r="F43" t="s">
        <v>77</v>
      </c>
      <c r="G43" s="22" t="s">
        <v>199</v>
      </c>
      <c r="H43" s="25">
        <v>4</v>
      </c>
    </row>
    <row r="44" spans="1:8" x14ac:dyDescent="0.25">
      <c r="A44" s="24" t="s">
        <v>125</v>
      </c>
      <c r="B44" t="s">
        <v>75</v>
      </c>
      <c r="C44" s="22" t="s">
        <v>134</v>
      </c>
      <c r="D44" s="25">
        <v>3.2</v>
      </c>
      <c r="E44" s="24" t="s">
        <v>189</v>
      </c>
      <c r="F44" t="s">
        <v>79</v>
      </c>
      <c r="G44" s="22" t="s">
        <v>200</v>
      </c>
      <c r="H44" s="25">
        <v>4.7</v>
      </c>
    </row>
    <row r="45" spans="1:8" x14ac:dyDescent="0.25">
      <c r="A45" s="24" t="s">
        <v>125</v>
      </c>
      <c r="B45" t="s">
        <v>77</v>
      </c>
      <c r="C45" s="22" t="s">
        <v>135</v>
      </c>
      <c r="D45" s="25">
        <v>6.8</v>
      </c>
      <c r="E45" s="24" t="s">
        <v>189</v>
      </c>
      <c r="F45" t="s">
        <v>81</v>
      </c>
      <c r="G45" s="22" t="s">
        <v>201</v>
      </c>
      <c r="H45" s="25">
        <v>6.1</v>
      </c>
    </row>
    <row r="46" spans="1:8" x14ac:dyDescent="0.25">
      <c r="A46" s="24" t="s">
        <v>125</v>
      </c>
      <c r="B46" t="s">
        <v>79</v>
      </c>
      <c r="C46" s="22" t="s">
        <v>136</v>
      </c>
      <c r="D46" s="25">
        <v>6.8</v>
      </c>
      <c r="E46" s="24" t="s">
        <v>189</v>
      </c>
      <c r="F46" t="s">
        <v>83</v>
      </c>
      <c r="G46" s="22" t="s">
        <v>202</v>
      </c>
      <c r="H46" s="25">
        <v>3.7</v>
      </c>
    </row>
    <row r="47" spans="1:8" x14ac:dyDescent="0.25">
      <c r="A47" s="24" t="s">
        <v>125</v>
      </c>
      <c r="B47" t="s">
        <v>81</v>
      </c>
      <c r="C47" s="22" t="s">
        <v>137</v>
      </c>
      <c r="D47" s="25">
        <v>4.7</v>
      </c>
      <c r="E47" s="24" t="s">
        <v>189</v>
      </c>
      <c r="F47" t="s">
        <v>85</v>
      </c>
      <c r="G47" s="22" t="s">
        <v>203</v>
      </c>
      <c r="H47" s="25">
        <v>4.2</v>
      </c>
    </row>
    <row r="48" spans="1:8" x14ac:dyDescent="0.25">
      <c r="A48" s="24" t="s">
        <v>125</v>
      </c>
      <c r="B48" t="s">
        <v>83</v>
      </c>
      <c r="C48" t="s">
        <v>138</v>
      </c>
      <c r="D48" s="25">
        <v>4.4000000000000004</v>
      </c>
      <c r="E48" s="24" t="s">
        <v>189</v>
      </c>
      <c r="F48" t="s">
        <v>87</v>
      </c>
      <c r="G48" t="s">
        <v>204</v>
      </c>
      <c r="H48" s="25">
        <v>4.7</v>
      </c>
    </row>
    <row r="49" spans="1:8" x14ac:dyDescent="0.25">
      <c r="A49" s="24" t="s">
        <v>125</v>
      </c>
      <c r="B49" t="s">
        <v>85</v>
      </c>
      <c r="C49" t="s">
        <v>139</v>
      </c>
      <c r="D49" s="25">
        <v>8</v>
      </c>
      <c r="E49" s="24" t="s">
        <v>189</v>
      </c>
      <c r="F49" t="s">
        <v>89</v>
      </c>
      <c r="G49" t="s">
        <v>205</v>
      </c>
      <c r="H49" s="25">
        <v>6.5</v>
      </c>
    </row>
    <row r="50" spans="1:8" x14ac:dyDescent="0.25">
      <c r="A50" s="24" t="s">
        <v>125</v>
      </c>
      <c r="B50" t="s">
        <v>87</v>
      </c>
      <c r="C50" t="s">
        <v>140</v>
      </c>
      <c r="D50" s="25">
        <v>7.9</v>
      </c>
      <c r="E50" s="24" t="s">
        <v>189</v>
      </c>
      <c r="F50" t="s">
        <v>91</v>
      </c>
      <c r="G50" t="s">
        <v>206</v>
      </c>
      <c r="H50" s="25">
        <v>4.2</v>
      </c>
    </row>
    <row r="51" spans="1:8" x14ac:dyDescent="0.25">
      <c r="A51" s="24" t="s">
        <v>125</v>
      </c>
      <c r="B51" t="s">
        <v>89</v>
      </c>
      <c r="C51" t="s">
        <v>141</v>
      </c>
      <c r="D51" s="25">
        <v>5.8</v>
      </c>
      <c r="E51" s="24" t="s">
        <v>189</v>
      </c>
      <c r="F51" t="s">
        <v>93</v>
      </c>
      <c r="G51" t="s">
        <v>207</v>
      </c>
      <c r="H51" s="25">
        <v>6.5</v>
      </c>
    </row>
    <row r="52" spans="1:8" x14ac:dyDescent="0.25">
      <c r="A52" s="24" t="s">
        <v>125</v>
      </c>
      <c r="B52" t="s">
        <v>91</v>
      </c>
      <c r="C52" t="s">
        <v>142</v>
      </c>
      <c r="D52" s="25">
        <v>6.5</v>
      </c>
      <c r="E52" s="24" t="s">
        <v>189</v>
      </c>
      <c r="F52" t="s">
        <v>95</v>
      </c>
      <c r="G52" t="s">
        <v>208</v>
      </c>
      <c r="H52" s="25">
        <v>5.3</v>
      </c>
    </row>
    <row r="53" spans="1:8" x14ac:dyDescent="0.25">
      <c r="A53" s="24" t="s">
        <v>125</v>
      </c>
      <c r="B53" t="s">
        <v>93</v>
      </c>
      <c r="C53" t="s">
        <v>143</v>
      </c>
      <c r="D53" s="25">
        <v>6.3</v>
      </c>
      <c r="E53" s="24" t="s">
        <v>189</v>
      </c>
      <c r="F53" t="s">
        <v>97</v>
      </c>
      <c r="G53" t="s">
        <v>209</v>
      </c>
      <c r="H53" s="25">
        <v>4.7</v>
      </c>
    </row>
    <row r="54" spans="1:8" x14ac:dyDescent="0.25">
      <c r="A54" s="24" t="s">
        <v>125</v>
      </c>
      <c r="B54" t="s">
        <v>95</v>
      </c>
      <c r="C54" t="s">
        <v>144</v>
      </c>
      <c r="D54" s="25">
        <v>5.6</v>
      </c>
      <c r="E54" s="24" t="s">
        <v>189</v>
      </c>
      <c r="F54" t="s">
        <v>99</v>
      </c>
      <c r="G54" t="s">
        <v>210</v>
      </c>
      <c r="H54" s="25">
        <v>5.3</v>
      </c>
    </row>
    <row r="55" spans="1:8" x14ac:dyDescent="0.25">
      <c r="A55" s="24" t="s">
        <v>125</v>
      </c>
      <c r="B55" t="s">
        <v>97</v>
      </c>
      <c r="C55" t="s">
        <v>145</v>
      </c>
      <c r="D55" s="25">
        <v>6.8</v>
      </c>
      <c r="E55" s="24" t="s">
        <v>189</v>
      </c>
      <c r="F55" t="s">
        <v>101</v>
      </c>
      <c r="G55" t="s">
        <v>211</v>
      </c>
      <c r="H55" s="25">
        <v>3.2</v>
      </c>
    </row>
    <row r="56" spans="1:8" x14ac:dyDescent="0.25">
      <c r="A56" s="24" t="s">
        <v>125</v>
      </c>
      <c r="B56" t="s">
        <v>99</v>
      </c>
      <c r="C56" t="s">
        <v>146</v>
      </c>
      <c r="D56" s="25">
        <v>7.6</v>
      </c>
      <c r="E56" s="24" t="s">
        <v>189</v>
      </c>
      <c r="F56" t="s">
        <v>103</v>
      </c>
      <c r="G56" t="s">
        <v>212</v>
      </c>
      <c r="H56" s="25">
        <v>5.3</v>
      </c>
    </row>
    <row r="57" spans="1:8" x14ac:dyDescent="0.25">
      <c r="A57" s="24" t="s">
        <v>125</v>
      </c>
      <c r="B57" t="s">
        <v>101</v>
      </c>
      <c r="C57" t="s">
        <v>147</v>
      </c>
      <c r="D57" s="25">
        <v>8.4</v>
      </c>
      <c r="E57" s="24" t="s">
        <v>189</v>
      </c>
      <c r="F57" t="s">
        <v>105</v>
      </c>
      <c r="G57" t="s">
        <v>213</v>
      </c>
      <c r="H57" s="25">
        <v>5.9</v>
      </c>
    </row>
    <row r="58" spans="1:8" x14ac:dyDescent="0.25">
      <c r="A58" s="24" t="s">
        <v>125</v>
      </c>
      <c r="B58" t="s">
        <v>103</v>
      </c>
      <c r="C58" t="s">
        <v>148</v>
      </c>
      <c r="D58" s="25">
        <v>5.3</v>
      </c>
      <c r="E58" s="24" t="s">
        <v>189</v>
      </c>
      <c r="F58" t="s">
        <v>107</v>
      </c>
      <c r="G58" t="s">
        <v>214</v>
      </c>
      <c r="H58" s="25">
        <v>2.6</v>
      </c>
    </row>
    <row r="59" spans="1:8" x14ac:dyDescent="0.25">
      <c r="A59" s="24" t="s">
        <v>125</v>
      </c>
      <c r="B59" t="s">
        <v>105</v>
      </c>
      <c r="C59" t="s">
        <v>149</v>
      </c>
      <c r="D59" s="25">
        <v>6.3</v>
      </c>
      <c r="E59" s="24" t="s">
        <v>189</v>
      </c>
      <c r="F59" t="s">
        <v>109</v>
      </c>
      <c r="G59" t="s">
        <v>215</v>
      </c>
      <c r="H59" s="25">
        <v>4.7</v>
      </c>
    </row>
    <row r="60" spans="1:8" x14ac:dyDescent="0.25">
      <c r="A60" s="24" t="s">
        <v>125</v>
      </c>
      <c r="B60" t="s">
        <v>107</v>
      </c>
      <c r="C60" t="s">
        <v>150</v>
      </c>
      <c r="D60" s="25">
        <v>8.9</v>
      </c>
      <c r="E60" s="24" t="s">
        <v>189</v>
      </c>
      <c r="F60" t="s">
        <v>111</v>
      </c>
      <c r="G60" t="s">
        <v>216</v>
      </c>
      <c r="H60" s="25">
        <v>7.5</v>
      </c>
    </row>
    <row r="61" spans="1:8" x14ac:dyDescent="0.25">
      <c r="A61" s="24" t="s">
        <v>125</v>
      </c>
      <c r="B61" t="s">
        <v>109</v>
      </c>
      <c r="C61" t="s">
        <v>151</v>
      </c>
      <c r="D61" s="25">
        <v>4.2</v>
      </c>
      <c r="E61" s="24" t="s">
        <v>189</v>
      </c>
      <c r="F61" t="s">
        <v>113</v>
      </c>
      <c r="G61" t="s">
        <v>217</v>
      </c>
      <c r="H61" s="25">
        <v>5.8</v>
      </c>
    </row>
    <row r="62" spans="1:8" x14ac:dyDescent="0.25">
      <c r="A62" s="24" t="s">
        <v>125</v>
      </c>
      <c r="B62" t="s">
        <v>111</v>
      </c>
      <c r="C62" t="s">
        <v>152</v>
      </c>
      <c r="D62" s="25">
        <v>7.4</v>
      </c>
      <c r="E62" s="24" t="s">
        <v>189</v>
      </c>
      <c r="F62" t="s">
        <v>115</v>
      </c>
      <c r="G62" t="s">
        <v>218</v>
      </c>
      <c r="H62" s="25">
        <v>3.9</v>
      </c>
    </row>
    <row r="63" spans="1:8" x14ac:dyDescent="0.25">
      <c r="A63" s="24" t="s">
        <v>125</v>
      </c>
      <c r="B63" t="s">
        <v>113</v>
      </c>
      <c r="C63" t="s">
        <v>153</v>
      </c>
      <c r="D63" s="25">
        <v>8.4</v>
      </c>
      <c r="E63" s="24" t="s">
        <v>189</v>
      </c>
      <c r="F63" t="s">
        <v>117</v>
      </c>
      <c r="G63" t="s">
        <v>219</v>
      </c>
      <c r="H63" s="25">
        <v>3.2</v>
      </c>
    </row>
    <row r="64" spans="1:8" x14ac:dyDescent="0.25">
      <c r="A64" s="24" t="s">
        <v>125</v>
      </c>
      <c r="B64" t="s">
        <v>115</v>
      </c>
      <c r="C64" t="s">
        <v>154</v>
      </c>
      <c r="D64" s="25">
        <v>5.3</v>
      </c>
      <c r="E64" s="24" t="s">
        <v>189</v>
      </c>
      <c r="F64" t="s">
        <v>119</v>
      </c>
      <c r="G64" t="s">
        <v>220</v>
      </c>
      <c r="H64" s="25">
        <v>4.0999999999999996</v>
      </c>
    </row>
    <row r="65" spans="1:8" x14ac:dyDescent="0.25">
      <c r="A65" s="24" t="s">
        <v>125</v>
      </c>
      <c r="B65" t="s">
        <v>117</v>
      </c>
      <c r="C65" t="s">
        <v>155</v>
      </c>
      <c r="D65" s="25">
        <v>8.9</v>
      </c>
      <c r="E65" s="24" t="s">
        <v>189</v>
      </c>
      <c r="F65" t="s">
        <v>121</v>
      </c>
      <c r="G65" t="s">
        <v>221</v>
      </c>
      <c r="H65" s="25">
        <v>4.7</v>
      </c>
    </row>
    <row r="66" spans="1:8" ht="15.75" thickBot="1" x14ac:dyDescent="0.3">
      <c r="A66" s="26" t="s">
        <v>125</v>
      </c>
      <c r="B66" s="27" t="s">
        <v>119</v>
      </c>
      <c r="C66" s="27" t="s">
        <v>156</v>
      </c>
      <c r="D66" s="28">
        <v>5</v>
      </c>
      <c r="E66" s="26" t="s">
        <v>222</v>
      </c>
      <c r="F66" s="27" t="s">
        <v>59</v>
      </c>
      <c r="G66" s="27" t="s">
        <v>223</v>
      </c>
      <c r="H66" s="28">
        <v>4.4000000000000004</v>
      </c>
    </row>
  </sheetData>
  <mergeCells count="4">
    <mergeCell ref="A1:D1"/>
    <mergeCell ref="E1:H1"/>
    <mergeCell ref="J1:K1"/>
    <mergeCell ref="L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47"/>
  <sheetViews>
    <sheetView zoomScaleNormal="100" workbookViewId="0">
      <selection activeCell="D1" sqref="D1:K1"/>
    </sheetView>
  </sheetViews>
  <sheetFormatPr baseColWidth="10" defaultColWidth="9.140625" defaultRowHeight="15" x14ac:dyDescent="0.25"/>
  <cols>
    <col min="1" max="1" width="3.85546875" style="1" bestFit="1" customWidth="1"/>
    <col min="2" max="2" width="5" style="1" bestFit="1" customWidth="1"/>
    <col min="3" max="3" width="45.140625" style="1" bestFit="1" customWidth="1"/>
    <col min="4" max="4" width="9" style="1" bestFit="1" customWidth="1"/>
    <col min="5" max="5" width="7.7109375" style="1" customWidth="1"/>
    <col min="6" max="6" width="8" style="1" bestFit="1" customWidth="1"/>
    <col min="7" max="7" width="7.7109375" style="1" customWidth="1"/>
    <col min="8" max="8" width="8" style="1" bestFit="1" customWidth="1"/>
    <col min="9" max="9" width="7.7109375" style="1" customWidth="1"/>
    <col min="10" max="10" width="8" bestFit="1" customWidth="1"/>
    <col min="11" max="11" width="7.7109375" customWidth="1"/>
    <col min="12" max="12" width="13.28515625" customWidth="1"/>
    <col min="13" max="14" width="10.85546875" customWidth="1"/>
  </cols>
  <sheetData>
    <row r="1" spans="1:15" ht="15.75" x14ac:dyDescent="0.25">
      <c r="A1" s="75" t="s">
        <v>1</v>
      </c>
      <c r="B1" s="76"/>
      <c r="C1" s="83" t="s">
        <v>0</v>
      </c>
      <c r="D1" s="79" t="s">
        <v>48</v>
      </c>
      <c r="E1" s="80"/>
      <c r="F1" s="80"/>
      <c r="G1" s="81"/>
      <c r="H1" s="82" t="s">
        <v>49</v>
      </c>
      <c r="I1" s="80"/>
      <c r="J1" s="80"/>
      <c r="K1" s="81"/>
      <c r="L1" s="72" t="s">
        <v>235</v>
      </c>
      <c r="N1" s="74" t="s">
        <v>236</v>
      </c>
      <c r="O1" s="74"/>
    </row>
    <row r="2" spans="1:15" ht="16.5" thickBot="1" x14ac:dyDescent="0.3">
      <c r="A2" s="77"/>
      <c r="B2" s="78"/>
      <c r="C2" s="84"/>
      <c r="D2" s="43" t="s">
        <v>224</v>
      </c>
      <c r="E2" s="44" t="s">
        <v>225</v>
      </c>
      <c r="F2" s="44" t="s">
        <v>226</v>
      </c>
      <c r="G2" s="45" t="s">
        <v>43</v>
      </c>
      <c r="H2" s="43" t="s">
        <v>224</v>
      </c>
      <c r="I2" s="44" t="s">
        <v>225</v>
      </c>
      <c r="J2" s="44" t="s">
        <v>226</v>
      </c>
      <c r="K2" s="45" t="s">
        <v>43</v>
      </c>
      <c r="L2" s="73"/>
      <c r="N2" t="s">
        <v>48</v>
      </c>
      <c r="O2" t="s">
        <v>49</v>
      </c>
    </row>
    <row r="3" spans="1:15" ht="15.75" x14ac:dyDescent="0.25">
      <c r="A3" s="11" t="s">
        <v>22</v>
      </c>
      <c r="B3" s="49" t="s">
        <v>2</v>
      </c>
      <c r="C3" s="59" t="s">
        <v>24</v>
      </c>
      <c r="D3" s="12">
        <f>COUNTIF(Tabla1[1.1],'Comp. cumplimiento criterios'!D$2)/'Cumplimiento indicadores GrPUB'!D$71</f>
        <v>0.640625</v>
      </c>
      <c r="E3" s="13"/>
      <c r="F3" s="13">
        <f>COUNTIF(Tabla1[1.1],'Comp. cumplimiento criterios'!F$2)/'Cumplimiento indicadores GrPUB'!F$71</f>
        <v>0.34375</v>
      </c>
      <c r="G3" s="14">
        <f>COUNTIF(Tabla1[1.1],'Comp. cumplimiento criterios'!G$2)/'Cumplimiento indicadores GrPUB'!G$71</f>
        <v>1.5625E-2</v>
      </c>
      <c r="H3" s="12">
        <f>COUNTIF(Tabla13[1.1],'Comp. cumplimiento criterios'!H$2)/'Cumplimiento indicadores GrPRI'!H$71</f>
        <v>0.5</v>
      </c>
      <c r="I3" s="13"/>
      <c r="J3" s="13">
        <f>COUNTIF(Tabla13[1.1],'Comp. cumplimiento criterios'!J$2)/'Cumplimiento indicadores GrPRI'!J$71</f>
        <v>0.5</v>
      </c>
      <c r="K3" s="14"/>
      <c r="L3" s="15">
        <f>(D3+E3)/SUM(D3:F3)-(H3+I3)/SUM(H3:J3)</f>
        <v>0.15079365079365081</v>
      </c>
      <c r="N3" s="42">
        <f>D3+E3+F3+G3</f>
        <v>1</v>
      </c>
      <c r="O3" s="42">
        <f>H3+I3+J3+K3</f>
        <v>1</v>
      </c>
    </row>
    <row r="4" spans="1:15" ht="15.75" x14ac:dyDescent="0.25">
      <c r="A4" s="6" t="s">
        <v>22</v>
      </c>
      <c r="B4" s="48" t="s">
        <v>3</v>
      </c>
      <c r="C4" s="60" t="s">
        <v>25</v>
      </c>
      <c r="D4" s="7">
        <f>COUNTIF(Tabla1[1.2],'Comp. cumplimiento criterios'!D$2)/'Cumplimiento indicadores GrPUB'!D$71</f>
        <v>0.625</v>
      </c>
      <c r="E4" s="8">
        <f>COUNTIF(Tabla1[1.2],'Comp. cumplimiento criterios'!E$2)/'Cumplimiento indicadores GrPUB'!E$71</f>
        <v>3.125E-2</v>
      </c>
      <c r="F4" s="8">
        <f>COUNTIF(Tabla1[1.2],'Comp. cumplimiento criterios'!F$2)/'Cumplimiento indicadores GrPUB'!F$71</f>
        <v>0.34375</v>
      </c>
      <c r="G4" s="9"/>
      <c r="H4" s="7">
        <f>COUNTIF(Tabla13[1.2],'Comp. cumplimiento criterios'!H$2)/'Cumplimiento indicadores GrPRI'!H$71</f>
        <v>9.375E-2</v>
      </c>
      <c r="I4" s="8">
        <f>COUNTIF(Tabla13[1.2],'Comp. cumplimiento criterios'!I$2)/'Cumplimiento indicadores GrPRI'!I$71</f>
        <v>3.125E-2</v>
      </c>
      <c r="J4" s="8">
        <f>COUNTIF(Tabla13[1.2],'Comp. cumplimiento criterios'!J$2)/'Cumplimiento indicadores GrPRI'!J$71</f>
        <v>0.875</v>
      </c>
      <c r="K4" s="9"/>
      <c r="L4" s="5">
        <f t="shared" ref="L4:L22" si="0">(D4+E4)/SUM(D4:F4)-(H4+I4)/SUM(H4:J4)</f>
        <v>0.53125</v>
      </c>
      <c r="N4" s="42">
        <f t="shared" ref="N4:N22" si="1">D4+E4+F4+G4</f>
        <v>1</v>
      </c>
      <c r="O4" s="42">
        <f t="shared" ref="O4:O22" si="2">H4+I4+J4+K4</f>
        <v>1</v>
      </c>
    </row>
    <row r="5" spans="1:15" ht="15.75" x14ac:dyDescent="0.25">
      <c r="A5" s="50" t="s">
        <v>22</v>
      </c>
      <c r="B5" s="46" t="s">
        <v>4</v>
      </c>
      <c r="C5" s="61" t="s">
        <v>26</v>
      </c>
      <c r="D5" s="55">
        <f>COUNTIF(Tabla1[1.3],'Comp. cumplimiento criterios'!D$2)/'Cumplimiento indicadores GrPUB'!D$71</f>
        <v>0.78125</v>
      </c>
      <c r="E5" s="47"/>
      <c r="F5" s="47">
        <f>COUNTIF(Tabla1[1.3],'Comp. cumplimiento criterios'!F$2)/'Cumplimiento indicadores GrPUB'!F$71</f>
        <v>0.21875</v>
      </c>
      <c r="G5" s="56"/>
      <c r="H5" s="55">
        <f>COUNTIF(Tabla13[1.3],'Comp. cumplimiento criterios'!H$2)/'Cumplimiento indicadores GrPRI'!H$71</f>
        <v>0.65625</v>
      </c>
      <c r="I5" s="47"/>
      <c r="J5" s="47">
        <f>COUNTIF(Tabla13[1.3],'Comp. cumplimiento criterios'!J$2)/'Cumplimiento indicadores GrPRI'!J$71</f>
        <v>0.34375</v>
      </c>
      <c r="K5" s="56"/>
      <c r="L5" s="5">
        <f t="shared" si="0"/>
        <v>0.125</v>
      </c>
      <c r="N5" s="42">
        <f t="shared" si="1"/>
        <v>1</v>
      </c>
      <c r="O5" s="42">
        <f t="shared" si="2"/>
        <v>1</v>
      </c>
    </row>
    <row r="6" spans="1:15" ht="15.75" x14ac:dyDescent="0.25">
      <c r="A6" s="6" t="s">
        <v>22</v>
      </c>
      <c r="B6" s="48" t="s">
        <v>5</v>
      </c>
      <c r="C6" s="60" t="s">
        <v>27</v>
      </c>
      <c r="D6" s="7">
        <f>COUNTIF(Tabla1[1.4],'Comp. cumplimiento criterios'!D$2)/'Cumplimiento indicadores GrPUB'!D$71</f>
        <v>0.125</v>
      </c>
      <c r="E6" s="8"/>
      <c r="F6" s="8">
        <f>COUNTIF(Tabla1[1.4],'Comp. cumplimiento criterios'!F$2)/'Cumplimiento indicadores GrPUB'!F$71</f>
        <v>4.6875E-2</v>
      </c>
      <c r="G6" s="9">
        <f>COUNTIF(Tabla1[1.4],'Comp. cumplimiento criterios'!G$2)/'Cumplimiento indicadores GrPUB'!G$71</f>
        <v>0.828125</v>
      </c>
      <c r="H6" s="7">
        <f>COUNTIF(Tabla13[1.4],'Comp. cumplimiento criterios'!H$2)/'Cumplimiento indicadores GrPRI'!H$71</f>
        <v>6.25E-2</v>
      </c>
      <c r="I6" s="8"/>
      <c r="J6" s="8">
        <f>COUNTIF(Tabla13[1.4],'Comp. cumplimiento criterios'!J$2)/'Cumplimiento indicadores GrPRI'!J$71</f>
        <v>1.5625E-2</v>
      </c>
      <c r="K6" s="9">
        <f>COUNTIF(Tabla13[1.4],'Comp. cumplimiento criterios'!K$2)/'Cumplimiento indicadores GrPRI'!K$71</f>
        <v>0.921875</v>
      </c>
      <c r="L6" s="5">
        <f t="shared" si="0"/>
        <v>-7.2727272727272751E-2</v>
      </c>
      <c r="N6" s="42">
        <f t="shared" si="1"/>
        <v>1</v>
      </c>
      <c r="O6" s="42">
        <f t="shared" si="2"/>
        <v>1</v>
      </c>
    </row>
    <row r="7" spans="1:15" ht="15.75" x14ac:dyDescent="0.25">
      <c r="A7" s="50" t="s">
        <v>22</v>
      </c>
      <c r="B7" s="46" t="s">
        <v>6</v>
      </c>
      <c r="C7" s="61" t="s">
        <v>28</v>
      </c>
      <c r="D7" s="55">
        <f>COUNTIF(Tabla1[1.5],'Comp. cumplimiento criterios'!D$2)/'Cumplimiento indicadores GrPUB'!D$71</f>
        <v>0.765625</v>
      </c>
      <c r="E7" s="47"/>
      <c r="F7" s="47">
        <f>COUNTIF(Tabla1[1.5],'Comp. cumplimiento criterios'!F$2)/'Cumplimiento indicadores GrPUB'!F$71</f>
        <v>0.234375</v>
      </c>
      <c r="G7" s="56"/>
      <c r="H7" s="55">
        <f>COUNTIF(Tabla13[1.5],'Comp. cumplimiento criterios'!H$2)/'Cumplimiento indicadores GrPRI'!H$71</f>
        <v>0.28125</v>
      </c>
      <c r="I7" s="47"/>
      <c r="J7" s="47">
        <f>COUNTIF(Tabla13[1.5],'Comp. cumplimiento criterios'!J$2)/'Cumplimiento indicadores GrPRI'!J$71</f>
        <v>0.71875</v>
      </c>
      <c r="K7" s="56"/>
      <c r="L7" s="5">
        <f t="shared" si="0"/>
        <v>0.484375</v>
      </c>
      <c r="N7" s="42">
        <f t="shared" si="1"/>
        <v>1</v>
      </c>
      <c r="O7" s="42">
        <f t="shared" si="2"/>
        <v>1</v>
      </c>
    </row>
    <row r="8" spans="1:15" ht="15.75" x14ac:dyDescent="0.25">
      <c r="A8" s="6" t="s">
        <v>22</v>
      </c>
      <c r="B8" s="48" t="s">
        <v>7</v>
      </c>
      <c r="C8" s="60" t="s">
        <v>29</v>
      </c>
      <c r="D8" s="7">
        <f>COUNTIF(Tabla1[1.6],'Comp. cumplimiento criterios'!D$2)/'Cumplimiento indicadores GrPUB'!D$71</f>
        <v>0.703125</v>
      </c>
      <c r="E8" s="8"/>
      <c r="F8" s="8">
        <f>COUNTIF(Tabla1[1.6],'Comp. cumplimiento criterios'!F$2)/'Cumplimiento indicadores GrPUB'!F$71</f>
        <v>0.296875</v>
      </c>
      <c r="G8" s="9"/>
      <c r="H8" s="7">
        <f>COUNTIF(Tabla13[1.6],'Comp. cumplimiento criterios'!H$2)/'Cumplimiento indicadores GrPRI'!H$71</f>
        <v>0.359375</v>
      </c>
      <c r="I8" s="8"/>
      <c r="J8" s="8">
        <f>COUNTIF(Tabla13[1.6],'Comp. cumplimiento criterios'!J$2)/'Cumplimiento indicadores GrPRI'!J$71</f>
        <v>0.640625</v>
      </c>
      <c r="K8" s="9"/>
      <c r="L8" s="5">
        <f t="shared" si="0"/>
        <v>0.34375</v>
      </c>
      <c r="N8" s="42">
        <f t="shared" si="1"/>
        <v>1</v>
      </c>
      <c r="O8" s="42">
        <f t="shared" si="2"/>
        <v>1</v>
      </c>
    </row>
    <row r="9" spans="1:15" ht="15.75" x14ac:dyDescent="0.25">
      <c r="A9" s="50" t="s">
        <v>22</v>
      </c>
      <c r="B9" s="46" t="s">
        <v>8</v>
      </c>
      <c r="C9" s="61" t="s">
        <v>30</v>
      </c>
      <c r="D9" s="55">
        <f>COUNTIF(Tabla1[1.7],'Comp. cumplimiento criterios'!D$2)/'Cumplimiento indicadores GrPUB'!D$71</f>
        <v>0</v>
      </c>
      <c r="E9" s="47"/>
      <c r="F9" s="47">
        <f>COUNTIF(Tabla1[1.7],'Comp. cumplimiento criterios'!F$2)/'Cumplimiento indicadores GrPUB'!F$71</f>
        <v>1</v>
      </c>
      <c r="G9" s="56">
        <f>COUNTIF(Tabla1[1.7],'Comp. cumplimiento criterios'!G$2)/'Cumplimiento indicadores GrPUB'!G$71</f>
        <v>0</v>
      </c>
      <c r="H9" s="55">
        <f>COUNTIF(Tabla13[1.7],'Comp. cumplimiento criterios'!H$2)/'Cumplimiento indicadores GrPRI'!H$71</f>
        <v>0</v>
      </c>
      <c r="I9" s="47"/>
      <c r="J9" s="47">
        <f>COUNTIF(Tabla13[1.7],'Comp. cumplimiento criterios'!J$2)/'Cumplimiento indicadores GrPRI'!J$71</f>
        <v>1</v>
      </c>
      <c r="K9" s="56">
        <f>COUNTIF(Tabla13[1.7],'Comp. cumplimiento criterios'!K$2)/'Cumplimiento indicadores GrPRI'!K$71</f>
        <v>0</v>
      </c>
      <c r="L9" s="5">
        <f t="shared" si="0"/>
        <v>0</v>
      </c>
      <c r="N9" s="42">
        <f t="shared" si="1"/>
        <v>1</v>
      </c>
      <c r="O9" s="42">
        <f t="shared" si="2"/>
        <v>1</v>
      </c>
    </row>
    <row r="10" spans="1:15" ht="15.75" x14ac:dyDescent="0.25">
      <c r="A10" s="6" t="s">
        <v>22</v>
      </c>
      <c r="B10" s="48" t="s">
        <v>9</v>
      </c>
      <c r="C10" s="60" t="s">
        <v>46</v>
      </c>
      <c r="D10" s="7">
        <f>COUNTIF(Tabla1[1.8],'Comp. cumplimiento criterios'!D$2)/'Cumplimiento indicadores GrPUB'!D$71</f>
        <v>0.875</v>
      </c>
      <c r="E10" s="8"/>
      <c r="F10" s="8">
        <f>COUNTIF(Tabla1[1.8],'Comp. cumplimiento criterios'!F$2)/'Cumplimiento indicadores GrPUB'!F$71</f>
        <v>0.125</v>
      </c>
      <c r="G10" s="9"/>
      <c r="H10" s="7">
        <f>COUNTIF(Tabla13[1.8],'Comp. cumplimiento criterios'!H$2)/'Cumplimiento indicadores GrPRI'!H$71</f>
        <v>0.875</v>
      </c>
      <c r="I10" s="8"/>
      <c r="J10" s="8">
        <f>COUNTIF(Tabla13[1.8],'Comp. cumplimiento criterios'!J$2)/'Cumplimiento indicadores GrPRI'!J$71</f>
        <v>0.125</v>
      </c>
      <c r="K10" s="9"/>
      <c r="L10" s="5">
        <f t="shared" si="0"/>
        <v>0</v>
      </c>
      <c r="N10" s="42">
        <f t="shared" si="1"/>
        <v>1</v>
      </c>
      <c r="O10" s="42">
        <f t="shared" si="2"/>
        <v>1</v>
      </c>
    </row>
    <row r="11" spans="1:15" ht="15.75" x14ac:dyDescent="0.25">
      <c r="A11" s="50" t="s">
        <v>22</v>
      </c>
      <c r="B11" s="46" t="s">
        <v>10</v>
      </c>
      <c r="C11" s="61" t="s">
        <v>31</v>
      </c>
      <c r="D11" s="55">
        <f>COUNTIF(Tabla1[1.9],'Comp. cumplimiento criterios'!D$2)/'Cumplimiento indicadores GrPUB'!D$71</f>
        <v>0.640625</v>
      </c>
      <c r="E11" s="47"/>
      <c r="F11" s="47">
        <f>COUNTIF(Tabla1[1.9],'Comp. cumplimiento criterios'!F$2)/'Cumplimiento indicadores GrPUB'!F$71</f>
        <v>0.21875</v>
      </c>
      <c r="G11" s="56">
        <f>COUNTIF(Tabla1[1.9],'Comp. cumplimiento criterios'!G$2)/'Cumplimiento indicadores GrPUB'!G$71</f>
        <v>0.140625</v>
      </c>
      <c r="H11" s="55">
        <f>COUNTIF(Tabla13[1.9],'Comp. cumplimiento criterios'!H$2)/'Cumplimiento indicadores GrPRI'!H$71</f>
        <v>0.359375</v>
      </c>
      <c r="I11" s="47"/>
      <c r="J11" s="47">
        <f>COUNTIF(Tabla13[1.9],'Comp. cumplimiento criterios'!J$2)/'Cumplimiento indicadores GrPRI'!J$71</f>
        <v>0.5</v>
      </c>
      <c r="K11" s="56">
        <f>COUNTIF(Tabla13[1.9],'Comp. cumplimiento criterios'!K$2)/'Cumplimiento indicadores GrPRI'!K$71</f>
        <v>0.140625</v>
      </c>
      <c r="L11" s="5">
        <f t="shared" si="0"/>
        <v>0.32727272727272733</v>
      </c>
      <c r="N11" s="42">
        <f t="shared" si="1"/>
        <v>1</v>
      </c>
      <c r="O11" s="42">
        <f t="shared" si="2"/>
        <v>1</v>
      </c>
    </row>
    <row r="12" spans="1:15" ht="15.75" x14ac:dyDescent="0.25">
      <c r="A12" s="6" t="s">
        <v>22</v>
      </c>
      <c r="B12" s="48" t="s">
        <v>11</v>
      </c>
      <c r="C12" s="60" t="s">
        <v>32</v>
      </c>
      <c r="D12" s="7">
        <f>COUNTIF(Tabla1[1.10],'Comp. cumplimiento criterios'!D$2)/'Cumplimiento indicadores GrPUB'!D$71</f>
        <v>0.78125</v>
      </c>
      <c r="E12" s="8">
        <f>COUNTIF(Tabla1[1.10],'Comp. cumplimiento criterios'!E$2)/'Cumplimiento indicadores GrPUB'!E$71</f>
        <v>1.5625E-2</v>
      </c>
      <c r="F12" s="8">
        <f>COUNTIF(Tabla1[1.10],'Comp. cumplimiento criterios'!F$2)/'Cumplimiento indicadores GrPUB'!F$71</f>
        <v>6.25E-2</v>
      </c>
      <c r="G12" s="9">
        <f>COUNTIF(Tabla1[1.10],'Comp. cumplimiento criterios'!G$2)/'Cumplimiento indicadores GrPUB'!G$71</f>
        <v>0.140625</v>
      </c>
      <c r="H12" s="7">
        <f>COUNTIF(Tabla13[1.10],'Comp. cumplimiento criterios'!H$2)/'Cumplimiento indicadores GrPRI'!H$71</f>
        <v>0.5625</v>
      </c>
      <c r="I12" s="8"/>
      <c r="J12" s="8">
        <f>COUNTIF(Tabla13[1.10],'Comp. cumplimiento criterios'!J$2)/'Cumplimiento indicadores GrPRI'!J$71</f>
        <v>7.8125E-2</v>
      </c>
      <c r="K12" s="9">
        <f>COUNTIF(Tabla13[1.10],'Comp. cumplimiento criterios'!K$2)/'Cumplimiento indicadores GrPRI'!K$71</f>
        <v>0.359375</v>
      </c>
      <c r="L12" s="5">
        <f t="shared" si="0"/>
        <v>4.9223946784922368E-2</v>
      </c>
      <c r="N12" s="42">
        <f t="shared" si="1"/>
        <v>1</v>
      </c>
      <c r="O12" s="42">
        <f t="shared" si="2"/>
        <v>1</v>
      </c>
    </row>
    <row r="13" spans="1:15" ht="15.75" x14ac:dyDescent="0.25">
      <c r="A13" s="50" t="s">
        <v>22</v>
      </c>
      <c r="B13" s="46" t="s">
        <v>12</v>
      </c>
      <c r="C13" s="61" t="s">
        <v>33</v>
      </c>
      <c r="D13" s="55">
        <f>COUNTIF(Tabla1[1.11],'Comp. cumplimiento criterios'!D$2)/'Cumplimiento indicadores GrPUB'!D$71</f>
        <v>0.796875</v>
      </c>
      <c r="E13" s="47"/>
      <c r="F13" s="47">
        <f>COUNTIF(Tabla1[1.11],'Comp. cumplimiento criterios'!F$2)/'Cumplimiento indicadores GrPUB'!F$71</f>
        <v>0.203125</v>
      </c>
      <c r="G13" s="56"/>
      <c r="H13" s="55">
        <f>COUNTIF(Tabla13[1.11],'Comp. cumplimiento criterios'!H$2)/'Cumplimiento indicadores GrPRI'!H$71</f>
        <v>0.734375</v>
      </c>
      <c r="I13" s="47"/>
      <c r="J13" s="47">
        <f>COUNTIF(Tabla13[1.11],'Comp. cumplimiento criterios'!J$2)/'Cumplimiento indicadores GrPRI'!J$71</f>
        <v>0.265625</v>
      </c>
      <c r="K13" s="56"/>
      <c r="L13" s="5">
        <f t="shared" si="0"/>
        <v>6.25E-2</v>
      </c>
      <c r="N13" s="42">
        <f t="shared" si="1"/>
        <v>1</v>
      </c>
      <c r="O13" s="42">
        <f t="shared" si="2"/>
        <v>1</v>
      </c>
    </row>
    <row r="14" spans="1:15" ht="15.75" x14ac:dyDescent="0.25">
      <c r="A14" s="6" t="s">
        <v>22</v>
      </c>
      <c r="B14" s="48" t="s">
        <v>13</v>
      </c>
      <c r="C14" s="60" t="s">
        <v>34</v>
      </c>
      <c r="D14" s="7">
        <f>COUNTIF(Tabla1[1.12],'Comp. cumplimiento criterios'!D$2)/'Cumplimiento indicadores GrPUB'!D$71</f>
        <v>0.390625</v>
      </c>
      <c r="E14" s="8"/>
      <c r="F14" s="8">
        <f>COUNTIF(Tabla1[1.12],'Comp. cumplimiento criterios'!F$2)/'Cumplimiento indicadores GrPUB'!F$71</f>
        <v>0.59375</v>
      </c>
      <c r="G14" s="9">
        <f>COUNTIF(Tabla1[1.12],'Comp. cumplimiento criterios'!G$2)/'Cumplimiento indicadores GrPUB'!G$71</f>
        <v>1.5625E-2</v>
      </c>
      <c r="H14" s="7">
        <f>COUNTIF(Tabla13[1.12],'Comp. cumplimiento criterios'!H$2)/'Cumplimiento indicadores GrPRI'!H$71</f>
        <v>0.125</v>
      </c>
      <c r="I14" s="8"/>
      <c r="J14" s="8">
        <f>COUNTIF(Tabla13[1.12],'Comp. cumplimiento criterios'!J$2)/'Cumplimiento indicadores GrPRI'!J$71</f>
        <v>0.875</v>
      </c>
      <c r="K14" s="9"/>
      <c r="L14" s="5">
        <f t="shared" si="0"/>
        <v>0.2718253968253968</v>
      </c>
      <c r="N14" s="42">
        <f t="shared" si="1"/>
        <v>1</v>
      </c>
      <c r="O14" s="42">
        <f t="shared" si="2"/>
        <v>1</v>
      </c>
    </row>
    <row r="15" spans="1:15" ht="15.75" x14ac:dyDescent="0.25">
      <c r="A15" s="50" t="s">
        <v>22</v>
      </c>
      <c r="B15" s="46" t="s">
        <v>14</v>
      </c>
      <c r="C15" s="61" t="s">
        <v>35</v>
      </c>
      <c r="D15" s="55">
        <f>COUNTIF(Tabla1[1.13],'Comp. cumplimiento criterios'!D$2)/'Cumplimiento indicadores GrPUB'!D$71</f>
        <v>0.984375</v>
      </c>
      <c r="E15" s="47"/>
      <c r="F15" s="47">
        <f>COUNTIF(Tabla1[1.13],'Comp. cumplimiento criterios'!F$2)/'Cumplimiento indicadores GrPUB'!F$71</f>
        <v>1.5625E-2</v>
      </c>
      <c r="G15" s="56"/>
      <c r="H15" s="55">
        <f>COUNTIF(Tabla13[1.13],'Comp. cumplimiento criterios'!H$2)/'Cumplimiento indicadores GrPRI'!H$71</f>
        <v>1</v>
      </c>
      <c r="I15" s="47"/>
      <c r="J15" s="47">
        <f>COUNTIF(Tabla13[1.13],'Comp. cumplimiento criterios'!J$2)/'Cumplimiento indicadores GrPRI'!J$71</f>
        <v>0</v>
      </c>
      <c r="K15" s="56"/>
      <c r="L15" s="5">
        <f t="shared" si="0"/>
        <v>-1.5625E-2</v>
      </c>
      <c r="N15" s="42">
        <f t="shared" si="1"/>
        <v>1</v>
      </c>
      <c r="O15" s="42">
        <f t="shared" si="2"/>
        <v>1</v>
      </c>
    </row>
    <row r="16" spans="1:15" ht="16.5" thickBot="1" x14ac:dyDescent="0.3">
      <c r="A16" s="16" t="s">
        <v>22</v>
      </c>
      <c r="B16" s="51" t="s">
        <v>15</v>
      </c>
      <c r="C16" s="62" t="s">
        <v>36</v>
      </c>
      <c r="D16" s="17">
        <f>COUNTIF(Tabla1[1.14],'Comp. cumplimiento criterios'!D$2)/'Cumplimiento indicadores GrPUB'!D$71</f>
        <v>0.515625</v>
      </c>
      <c r="E16" s="18"/>
      <c r="F16" s="18">
        <f>COUNTIF(Tabla1[1.14],'Comp. cumplimiento criterios'!F$2)/'Cumplimiento indicadores GrPUB'!F$71</f>
        <v>0.484375</v>
      </c>
      <c r="G16" s="19"/>
      <c r="H16" s="17">
        <f>COUNTIF(Tabla13[1.14],'Comp. cumplimiento criterios'!H$2)/'Cumplimiento indicadores GrPRI'!H$71</f>
        <v>0.265625</v>
      </c>
      <c r="I16" s="18"/>
      <c r="J16" s="18">
        <f>COUNTIF(Tabla13[1.14],'Comp. cumplimiento criterios'!J$2)/'Cumplimiento indicadores GrPRI'!J$71</f>
        <v>0.734375</v>
      </c>
      <c r="K16" s="19"/>
      <c r="L16" s="63">
        <f t="shared" si="0"/>
        <v>0.25</v>
      </c>
      <c r="N16" s="42">
        <f t="shared" si="1"/>
        <v>1</v>
      </c>
      <c r="O16" s="42">
        <f t="shared" si="2"/>
        <v>1</v>
      </c>
    </row>
    <row r="17" spans="1:15" ht="16.5" thickBot="1" x14ac:dyDescent="0.3">
      <c r="A17" s="11" t="s">
        <v>23</v>
      </c>
      <c r="B17" s="49" t="s">
        <v>16</v>
      </c>
      <c r="C17" s="59" t="s">
        <v>37</v>
      </c>
      <c r="D17" s="58">
        <f>COUNTIF(Tabla1[2.1],'Comp. cumplimiento criterios'!D$2)/'Cumplimiento indicadores GrPUB'!D$71</f>
        <v>0</v>
      </c>
      <c r="E17" s="3"/>
      <c r="F17" s="3">
        <f>COUNTIF(Tabla1[2.1],'Comp. cumplimiento criterios'!F$2)/'Cumplimiento indicadores GrPUB'!F$71</f>
        <v>1</v>
      </c>
      <c r="G17" s="4">
        <f>COUNTIF(Tabla1[2.1],'Comp. cumplimiento criterios'!G$2)/'Cumplimiento indicadores GrPUB'!G$71</f>
        <v>0</v>
      </c>
      <c r="H17" s="12">
        <f>COUNTIF(Tabla13[2.1],'Comp. cumplimiento criterios'!H$2)/'Cumplimiento indicadores GrPRI'!H$71</f>
        <v>3.125E-2</v>
      </c>
      <c r="I17" s="13"/>
      <c r="J17" s="13">
        <f>COUNTIF(Tabla13[2.1],'Comp. cumplimiento criterios'!J$2)/'Cumplimiento indicadores GrPRI'!J$71</f>
        <v>0.96875</v>
      </c>
      <c r="K17" s="14">
        <f>COUNTIF(Tabla13[2.1],'Comp. cumplimiento criterios'!K$2)/'Cumplimiento indicadores GrPRI'!K$71</f>
        <v>0</v>
      </c>
      <c r="L17" s="64">
        <f t="shared" si="0"/>
        <v>-3.125E-2</v>
      </c>
      <c r="N17" s="42">
        <f t="shared" si="1"/>
        <v>1</v>
      </c>
      <c r="O17" s="42">
        <f t="shared" si="2"/>
        <v>1</v>
      </c>
    </row>
    <row r="18" spans="1:15" ht="15.75" x14ac:dyDescent="0.25">
      <c r="A18" s="6" t="s">
        <v>23</v>
      </c>
      <c r="B18" s="48" t="s">
        <v>17</v>
      </c>
      <c r="C18" s="60" t="s">
        <v>40</v>
      </c>
      <c r="D18" s="52">
        <f>COUNTIF(Tabla1[2.2],'Comp. cumplimiento criterios'!D$2)/'Cumplimiento indicadores GrPUB'!D$71</f>
        <v>0.78125</v>
      </c>
      <c r="E18" s="8"/>
      <c r="F18" s="8">
        <f>COUNTIF(Tabla1[2.2],'Comp. cumplimiento criterios'!F$2)/'Cumplimiento indicadores GrPUB'!F$71</f>
        <v>0.21875</v>
      </c>
      <c r="G18" s="10"/>
      <c r="H18" s="7">
        <f>COUNTIF(Tabla13[2.2],'Comp. cumplimiento criterios'!H$2)/'Cumplimiento indicadores GrPRI'!H$71</f>
        <v>0.609375</v>
      </c>
      <c r="I18" s="8"/>
      <c r="J18" s="8">
        <f>COUNTIF(Tabla13[2.2],'Comp. cumplimiento criterios'!J$2)/'Cumplimiento indicadores GrPRI'!J$71</f>
        <v>0.390625</v>
      </c>
      <c r="K18" s="9"/>
      <c r="L18" s="15">
        <f t="shared" si="0"/>
        <v>0.171875</v>
      </c>
      <c r="N18" s="42">
        <f t="shared" si="1"/>
        <v>1</v>
      </c>
      <c r="O18" s="42">
        <f t="shared" si="2"/>
        <v>1</v>
      </c>
    </row>
    <row r="19" spans="1:15" ht="15.75" x14ac:dyDescent="0.25">
      <c r="A19" s="50" t="s">
        <v>23</v>
      </c>
      <c r="B19" s="46" t="s">
        <v>18</v>
      </c>
      <c r="C19" s="61" t="s">
        <v>41</v>
      </c>
      <c r="D19" s="53">
        <f>COUNTIF(Tabla1[2.3],'Comp. cumplimiento criterios'!D$2)/'Cumplimiento indicadores GrPUB'!D$71</f>
        <v>0.921875</v>
      </c>
      <c r="E19" s="47"/>
      <c r="F19" s="47">
        <f>COUNTIF(Tabla1[2.3],'Comp. cumplimiento criterios'!F$2)/'Cumplimiento indicadores GrPUB'!F$71</f>
        <v>7.8125E-2</v>
      </c>
      <c r="G19" s="57"/>
      <c r="H19" s="55">
        <f>COUNTIF(Tabla13[2.3],'Comp. cumplimiento criterios'!H$2)/'Cumplimiento indicadores GrPRI'!H$71</f>
        <v>0.765625</v>
      </c>
      <c r="I19" s="47"/>
      <c r="J19" s="47">
        <f>COUNTIF(Tabla13[2.3],'Comp. cumplimiento criterios'!J$2)/'Cumplimiento indicadores GrPRI'!J$71</f>
        <v>0.234375</v>
      </c>
      <c r="K19" s="56"/>
      <c r="L19" s="5">
        <f t="shared" si="0"/>
        <v>0.15625</v>
      </c>
      <c r="N19" s="42">
        <f t="shared" si="1"/>
        <v>1</v>
      </c>
      <c r="O19" s="42">
        <f t="shared" si="2"/>
        <v>1</v>
      </c>
    </row>
    <row r="20" spans="1:15" ht="15.75" x14ac:dyDescent="0.25">
      <c r="A20" s="6" t="s">
        <v>23</v>
      </c>
      <c r="B20" s="48" t="s">
        <v>19</v>
      </c>
      <c r="C20" s="60" t="s">
        <v>42</v>
      </c>
      <c r="D20" s="52">
        <f>COUNTIF(Tabla1[2.4],'Comp. cumplimiento criterios'!D$2)/'Cumplimiento indicadores GrPUB'!D$71</f>
        <v>0.828125</v>
      </c>
      <c r="E20" s="8"/>
      <c r="F20" s="8">
        <f>COUNTIF(Tabla1[2.4],'Comp. cumplimiento criterios'!F$2)/'Cumplimiento indicadores GrPUB'!F$71</f>
        <v>0.171875</v>
      </c>
      <c r="G20" s="10"/>
      <c r="H20" s="7">
        <f>COUNTIF(Tabla13[2.4],'Comp. cumplimiento criterios'!H$2)/'Cumplimiento indicadores GrPRI'!H$71</f>
        <v>0.359375</v>
      </c>
      <c r="I20" s="8"/>
      <c r="J20" s="8">
        <f>COUNTIF(Tabla13[2.4],'Comp. cumplimiento criterios'!J$2)/'Cumplimiento indicadores GrPRI'!J$71</f>
        <v>0.640625</v>
      </c>
      <c r="K20" s="9"/>
      <c r="L20" s="5">
        <f t="shared" si="0"/>
        <v>0.46875</v>
      </c>
      <c r="N20" s="42">
        <f t="shared" si="1"/>
        <v>1</v>
      </c>
      <c r="O20" s="42">
        <f t="shared" si="2"/>
        <v>1</v>
      </c>
    </row>
    <row r="21" spans="1:15" ht="15.75" x14ac:dyDescent="0.25">
      <c r="A21" s="50" t="s">
        <v>23</v>
      </c>
      <c r="B21" s="46" t="s">
        <v>20</v>
      </c>
      <c r="C21" s="61" t="s">
        <v>38</v>
      </c>
      <c r="D21" s="53">
        <f>COUNTIF(Tabla1[2.5],'Comp. cumplimiento criterios'!D$2)/'Cumplimiento indicadores GrPUB'!D$71</f>
        <v>0.75</v>
      </c>
      <c r="E21" s="47"/>
      <c r="F21" s="47">
        <f>COUNTIF(Tabla1[2.5],'Comp. cumplimiento criterios'!F$2)/'Cumplimiento indicadores GrPUB'!F$71</f>
        <v>0.25</v>
      </c>
      <c r="G21" s="57"/>
      <c r="H21" s="55">
        <f>COUNTIF(Tabla13[2.5],'Comp. cumplimiento criterios'!H$2)/'Cumplimiento indicadores GrPRI'!H$71</f>
        <v>0.3125</v>
      </c>
      <c r="I21" s="47"/>
      <c r="J21" s="47">
        <f>COUNTIF(Tabla13[2.5],'Comp. cumplimiento criterios'!J$2)/'Cumplimiento indicadores GrPRI'!J$71</f>
        <v>0.6875</v>
      </c>
      <c r="K21" s="56"/>
      <c r="L21" s="5">
        <f t="shared" si="0"/>
        <v>0.4375</v>
      </c>
      <c r="N21" s="42">
        <f t="shared" si="1"/>
        <v>1</v>
      </c>
      <c r="O21" s="42">
        <f t="shared" si="2"/>
        <v>1</v>
      </c>
    </row>
    <row r="22" spans="1:15" ht="16.5" thickBot="1" x14ac:dyDescent="0.3">
      <c r="A22" s="16" t="s">
        <v>23</v>
      </c>
      <c r="B22" s="51" t="s">
        <v>21</v>
      </c>
      <c r="C22" s="62" t="s">
        <v>39</v>
      </c>
      <c r="D22" s="54">
        <f>COUNTIF(Tabla1[2.6],'Comp. cumplimiento criterios'!D$2)/'Cumplimiento indicadores GrPUB'!D$71</f>
        <v>0.84375</v>
      </c>
      <c r="E22" s="18"/>
      <c r="F22" s="18">
        <f>COUNTIF(Tabla1[2.6],'Comp. cumplimiento criterios'!F$2)/'Cumplimiento indicadores GrPUB'!F$71</f>
        <v>0.140625</v>
      </c>
      <c r="G22" s="20">
        <f>COUNTIF(Tabla1[2.6],'Comp. cumplimiento criterios'!G$2)/'Cumplimiento indicadores GrPUB'!G$71</f>
        <v>1.5625E-2</v>
      </c>
      <c r="H22" s="17">
        <f>COUNTIF(Tabla13[2.6],'Comp. cumplimiento criterios'!H$2)/'Cumplimiento indicadores GrPRI'!H$71</f>
        <v>0.875</v>
      </c>
      <c r="I22" s="18"/>
      <c r="J22" s="18">
        <f>COUNTIF(Tabla13[2.6],'Comp. cumplimiento criterios'!J$2)/'Cumplimiento indicadores GrPRI'!J$71</f>
        <v>0.125</v>
      </c>
      <c r="K22" s="19"/>
      <c r="L22" s="63">
        <f t="shared" si="0"/>
        <v>-1.7857142857142905E-2</v>
      </c>
      <c r="N22" s="42">
        <f t="shared" si="1"/>
        <v>1</v>
      </c>
      <c r="O22" s="42">
        <f t="shared" si="2"/>
        <v>1</v>
      </c>
    </row>
    <row r="23" spans="1:15" x14ac:dyDescent="0.25">
      <c r="L23" s="2"/>
      <c r="M23" s="2"/>
    </row>
    <row r="24" spans="1:15" ht="15.75" thickBot="1" x14ac:dyDescent="0.3"/>
    <row r="25" spans="1:15" ht="15" customHeight="1" thickBot="1" x14ac:dyDescent="0.3">
      <c r="A25" s="69" t="s">
        <v>237</v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1"/>
    </row>
    <row r="26" spans="1:15" ht="15.75" customHeight="1" x14ac:dyDescent="0.25">
      <c r="A26" s="75" t="s">
        <v>1</v>
      </c>
      <c r="B26" s="76"/>
      <c r="C26" s="83" t="s">
        <v>0</v>
      </c>
      <c r="D26" s="79" t="s">
        <v>48</v>
      </c>
      <c r="E26" s="80"/>
      <c r="F26" s="80"/>
      <c r="G26" s="81"/>
      <c r="H26" s="82" t="s">
        <v>49</v>
      </c>
      <c r="I26" s="80"/>
      <c r="J26" s="80"/>
      <c r="K26" s="81"/>
      <c r="L26" s="72" t="s">
        <v>235</v>
      </c>
    </row>
    <row r="27" spans="1:15" ht="15.75" x14ac:dyDescent="0.25">
      <c r="A27" s="77"/>
      <c r="B27" s="78"/>
      <c r="C27" s="84"/>
      <c r="D27" s="43" t="s">
        <v>224</v>
      </c>
      <c r="E27" s="44" t="s">
        <v>225</v>
      </c>
      <c r="F27" s="44" t="s">
        <v>226</v>
      </c>
      <c r="G27" s="45" t="s">
        <v>43</v>
      </c>
      <c r="H27" s="43" t="s">
        <v>224</v>
      </c>
      <c r="I27" s="44" t="s">
        <v>225</v>
      </c>
      <c r="J27" s="44" t="s">
        <v>226</v>
      </c>
      <c r="K27" s="45" t="s">
        <v>43</v>
      </c>
      <c r="L27" s="73"/>
    </row>
    <row r="28" spans="1:15" ht="15.75" hidden="1" x14ac:dyDescent="0.25">
      <c r="A28" s="11" t="str">
        <f>A3</f>
        <v>A</v>
      </c>
      <c r="B28" s="49" t="str">
        <f t="shared" ref="B28:L28" si="3">B3</f>
        <v>1.1</v>
      </c>
      <c r="C28" s="59" t="str">
        <f t="shared" si="3"/>
        <v>Existencia de alternativas textuales</v>
      </c>
      <c r="D28" s="12">
        <f t="shared" si="3"/>
        <v>0.640625</v>
      </c>
      <c r="E28" s="13">
        <f t="shared" si="3"/>
        <v>0</v>
      </c>
      <c r="F28" s="13">
        <f t="shared" si="3"/>
        <v>0.34375</v>
      </c>
      <c r="G28" s="14">
        <f t="shared" si="3"/>
        <v>1.5625E-2</v>
      </c>
      <c r="H28" s="12">
        <f t="shared" si="3"/>
        <v>0.5</v>
      </c>
      <c r="I28" s="13">
        <f t="shared" si="3"/>
        <v>0</v>
      </c>
      <c r="J28" s="13">
        <f t="shared" si="3"/>
        <v>0.5</v>
      </c>
      <c r="K28" s="14">
        <f t="shared" si="3"/>
        <v>0</v>
      </c>
      <c r="L28" s="15">
        <f t="shared" si="3"/>
        <v>0.15079365079365081</v>
      </c>
    </row>
    <row r="29" spans="1:15" ht="15.75" x14ac:dyDescent="0.25">
      <c r="A29" s="6" t="str">
        <f t="shared" ref="A29:L29" si="4">A4</f>
        <v>A</v>
      </c>
      <c r="B29" s="48" t="str">
        <f t="shared" si="4"/>
        <v>1.2</v>
      </c>
      <c r="C29" s="60" t="str">
        <f t="shared" si="4"/>
        <v>Uso de encabezados</v>
      </c>
      <c r="D29" s="7">
        <f t="shared" si="4"/>
        <v>0.625</v>
      </c>
      <c r="E29" s="8">
        <f t="shared" si="4"/>
        <v>3.125E-2</v>
      </c>
      <c r="F29" s="8">
        <f t="shared" si="4"/>
        <v>0.34375</v>
      </c>
      <c r="G29" s="9">
        <f t="shared" si="4"/>
        <v>0</v>
      </c>
      <c r="H29" s="7">
        <f t="shared" si="4"/>
        <v>9.375E-2</v>
      </c>
      <c r="I29" s="8">
        <f t="shared" si="4"/>
        <v>3.125E-2</v>
      </c>
      <c r="J29" s="8">
        <f t="shared" si="4"/>
        <v>0.875</v>
      </c>
      <c r="K29" s="9">
        <f t="shared" si="4"/>
        <v>0</v>
      </c>
      <c r="L29" s="5">
        <f t="shared" si="4"/>
        <v>0.53125</v>
      </c>
    </row>
    <row r="30" spans="1:15" ht="15.75" hidden="1" x14ac:dyDescent="0.25">
      <c r="A30" s="50" t="str">
        <f t="shared" ref="A30:L30" si="5">A5</f>
        <v>A</v>
      </c>
      <c r="B30" s="46" t="str">
        <f t="shared" si="5"/>
        <v>1.3</v>
      </c>
      <c r="C30" s="61" t="str">
        <f t="shared" si="5"/>
        <v>Uso de listas</v>
      </c>
      <c r="D30" s="55">
        <f t="shared" si="5"/>
        <v>0.78125</v>
      </c>
      <c r="E30" s="47">
        <f t="shared" si="5"/>
        <v>0</v>
      </c>
      <c r="F30" s="47">
        <f t="shared" si="5"/>
        <v>0.21875</v>
      </c>
      <c r="G30" s="56">
        <f t="shared" si="5"/>
        <v>0</v>
      </c>
      <c r="H30" s="55">
        <f t="shared" si="5"/>
        <v>0.65625</v>
      </c>
      <c r="I30" s="47">
        <f t="shared" si="5"/>
        <v>0</v>
      </c>
      <c r="J30" s="47">
        <f t="shared" si="5"/>
        <v>0.34375</v>
      </c>
      <c r="K30" s="56">
        <f t="shared" si="5"/>
        <v>0</v>
      </c>
      <c r="L30" s="5">
        <f t="shared" si="5"/>
        <v>0.125</v>
      </c>
    </row>
    <row r="31" spans="1:15" ht="15.75" hidden="1" x14ac:dyDescent="0.25">
      <c r="A31" s="6" t="str">
        <f t="shared" ref="A31:L31" si="6">A6</f>
        <v>A</v>
      </c>
      <c r="B31" s="48" t="str">
        <f t="shared" si="6"/>
        <v>1.4</v>
      </c>
      <c r="C31" s="60" t="str">
        <f t="shared" si="6"/>
        <v>Tablas de datos</v>
      </c>
      <c r="D31" s="7">
        <f t="shared" si="6"/>
        <v>0.125</v>
      </c>
      <c r="E31" s="8">
        <f t="shared" si="6"/>
        <v>0</v>
      </c>
      <c r="F31" s="8">
        <f t="shared" si="6"/>
        <v>4.6875E-2</v>
      </c>
      <c r="G31" s="9">
        <f t="shared" si="6"/>
        <v>0.828125</v>
      </c>
      <c r="H31" s="7">
        <f t="shared" si="6"/>
        <v>6.25E-2</v>
      </c>
      <c r="I31" s="8">
        <f t="shared" si="6"/>
        <v>0</v>
      </c>
      <c r="J31" s="8">
        <f t="shared" si="6"/>
        <v>1.5625E-2</v>
      </c>
      <c r="K31" s="9">
        <f t="shared" si="6"/>
        <v>0.921875</v>
      </c>
      <c r="L31" s="5">
        <f t="shared" si="6"/>
        <v>-7.2727272727272751E-2</v>
      </c>
    </row>
    <row r="32" spans="1:15" ht="15.75" x14ac:dyDescent="0.25">
      <c r="A32" s="50" t="str">
        <f t="shared" ref="A32:L32" si="7">A7</f>
        <v>A</v>
      </c>
      <c r="B32" s="46" t="str">
        <f t="shared" si="7"/>
        <v>1.5</v>
      </c>
      <c r="C32" s="61" t="str">
        <f t="shared" si="7"/>
        <v>Agrupación estructural</v>
      </c>
      <c r="D32" s="55">
        <f t="shared" si="7"/>
        <v>0.765625</v>
      </c>
      <c r="E32" s="47">
        <f t="shared" si="7"/>
        <v>0</v>
      </c>
      <c r="F32" s="47">
        <f t="shared" si="7"/>
        <v>0.234375</v>
      </c>
      <c r="G32" s="56">
        <f t="shared" si="7"/>
        <v>0</v>
      </c>
      <c r="H32" s="55">
        <f t="shared" si="7"/>
        <v>0.28125</v>
      </c>
      <c r="I32" s="47">
        <f t="shared" si="7"/>
        <v>0</v>
      </c>
      <c r="J32" s="47">
        <f t="shared" si="7"/>
        <v>0.71875</v>
      </c>
      <c r="K32" s="56">
        <f t="shared" si="7"/>
        <v>0</v>
      </c>
      <c r="L32" s="5">
        <f t="shared" si="7"/>
        <v>0.484375</v>
      </c>
    </row>
    <row r="33" spans="1:12" ht="15.75" x14ac:dyDescent="0.25">
      <c r="A33" s="6" t="str">
        <f t="shared" ref="A33:L33" si="8">A8</f>
        <v>A</v>
      </c>
      <c r="B33" s="48" t="str">
        <f t="shared" si="8"/>
        <v>1.6</v>
      </c>
      <c r="C33" s="60" t="str">
        <f t="shared" si="8"/>
        <v>Separación de contenido y presentación</v>
      </c>
      <c r="D33" s="7">
        <f t="shared" si="8"/>
        <v>0.703125</v>
      </c>
      <c r="E33" s="8">
        <f t="shared" si="8"/>
        <v>0</v>
      </c>
      <c r="F33" s="8">
        <f t="shared" si="8"/>
        <v>0.296875</v>
      </c>
      <c r="G33" s="9">
        <f t="shared" si="8"/>
        <v>0</v>
      </c>
      <c r="H33" s="7">
        <f t="shared" si="8"/>
        <v>0.359375</v>
      </c>
      <c r="I33" s="8">
        <f t="shared" si="8"/>
        <v>0</v>
      </c>
      <c r="J33" s="8">
        <f t="shared" si="8"/>
        <v>0.640625</v>
      </c>
      <c r="K33" s="9">
        <f t="shared" si="8"/>
        <v>0</v>
      </c>
      <c r="L33" s="5">
        <f t="shared" si="8"/>
        <v>0.34375</v>
      </c>
    </row>
    <row r="34" spans="1:12" ht="15.75" hidden="1" x14ac:dyDescent="0.25">
      <c r="A34" s="50" t="str">
        <f t="shared" ref="A34:L34" si="9">A9</f>
        <v>A</v>
      </c>
      <c r="B34" s="46" t="str">
        <f t="shared" si="9"/>
        <v>1.7</v>
      </c>
      <c r="C34" s="61" t="str">
        <f t="shared" si="9"/>
        <v>Identificación del idioma principal</v>
      </c>
      <c r="D34" s="55">
        <f t="shared" si="9"/>
        <v>0</v>
      </c>
      <c r="E34" s="47">
        <f t="shared" si="9"/>
        <v>0</v>
      </c>
      <c r="F34" s="47">
        <f t="shared" si="9"/>
        <v>1</v>
      </c>
      <c r="G34" s="56">
        <f t="shared" si="9"/>
        <v>0</v>
      </c>
      <c r="H34" s="55">
        <f t="shared" si="9"/>
        <v>0</v>
      </c>
      <c r="I34" s="47">
        <f t="shared" si="9"/>
        <v>0</v>
      </c>
      <c r="J34" s="47">
        <f t="shared" si="9"/>
        <v>1</v>
      </c>
      <c r="K34" s="56">
        <f t="shared" si="9"/>
        <v>0</v>
      </c>
      <c r="L34" s="5">
        <f t="shared" si="9"/>
        <v>0</v>
      </c>
    </row>
    <row r="35" spans="1:12" ht="15.75" hidden="1" x14ac:dyDescent="0.25">
      <c r="A35" s="6" t="str">
        <f t="shared" ref="A35:L35" si="10">A10</f>
        <v>A</v>
      </c>
      <c r="B35" s="48" t="str">
        <f t="shared" si="10"/>
        <v>1.8</v>
      </c>
      <c r="C35" s="60" t="str">
        <f t="shared" si="10"/>
        <v>Navegación con javascript accesible y control..</v>
      </c>
      <c r="D35" s="7">
        <f t="shared" si="10"/>
        <v>0.875</v>
      </c>
      <c r="E35" s="8">
        <f t="shared" si="10"/>
        <v>0</v>
      </c>
      <c r="F35" s="8">
        <f t="shared" si="10"/>
        <v>0.125</v>
      </c>
      <c r="G35" s="9">
        <f t="shared" si="10"/>
        <v>0</v>
      </c>
      <c r="H35" s="7">
        <f t="shared" si="10"/>
        <v>0.875</v>
      </c>
      <c r="I35" s="8">
        <f t="shared" si="10"/>
        <v>0</v>
      </c>
      <c r="J35" s="8">
        <f t="shared" si="10"/>
        <v>0.125</v>
      </c>
      <c r="K35" s="9">
        <f t="shared" si="10"/>
        <v>0</v>
      </c>
      <c r="L35" s="5">
        <f t="shared" si="10"/>
        <v>0</v>
      </c>
    </row>
    <row r="36" spans="1:12" ht="15.75" x14ac:dyDescent="0.25">
      <c r="A36" s="50" t="str">
        <f t="shared" ref="A36:L36" si="11">A11</f>
        <v>A</v>
      </c>
      <c r="B36" s="46" t="str">
        <f t="shared" si="11"/>
        <v>1.9</v>
      </c>
      <c r="C36" s="61" t="str">
        <f t="shared" si="11"/>
        <v>Formularios y etiquetas</v>
      </c>
      <c r="D36" s="55">
        <f t="shared" si="11"/>
        <v>0.640625</v>
      </c>
      <c r="E36" s="47">
        <f t="shared" si="11"/>
        <v>0</v>
      </c>
      <c r="F36" s="47">
        <f t="shared" si="11"/>
        <v>0.21875</v>
      </c>
      <c r="G36" s="56">
        <f t="shared" si="11"/>
        <v>0.140625</v>
      </c>
      <c r="H36" s="55">
        <f t="shared" si="11"/>
        <v>0.359375</v>
      </c>
      <c r="I36" s="47">
        <f t="shared" si="11"/>
        <v>0</v>
      </c>
      <c r="J36" s="47">
        <f t="shared" si="11"/>
        <v>0.5</v>
      </c>
      <c r="K36" s="56">
        <f t="shared" si="11"/>
        <v>0.140625</v>
      </c>
      <c r="L36" s="5">
        <f t="shared" si="11"/>
        <v>0.32727272727272733</v>
      </c>
    </row>
    <row r="37" spans="1:12" ht="15.75" hidden="1" x14ac:dyDescent="0.25">
      <c r="A37" s="6" t="str">
        <f t="shared" ref="A37:L37" si="12">A12</f>
        <v>A</v>
      </c>
      <c r="B37" s="48" t="str">
        <f t="shared" si="12"/>
        <v>1.10</v>
      </c>
      <c r="C37" s="60" t="str">
        <f t="shared" si="12"/>
        <v>Formularios y estructura</v>
      </c>
      <c r="D37" s="7">
        <f t="shared" si="12"/>
        <v>0.78125</v>
      </c>
      <c r="E37" s="8">
        <f t="shared" si="12"/>
        <v>1.5625E-2</v>
      </c>
      <c r="F37" s="8">
        <f t="shared" si="12"/>
        <v>6.25E-2</v>
      </c>
      <c r="G37" s="9">
        <f t="shared" si="12"/>
        <v>0.140625</v>
      </c>
      <c r="H37" s="7">
        <f t="shared" si="12"/>
        <v>0.5625</v>
      </c>
      <c r="I37" s="8">
        <f t="shared" si="12"/>
        <v>0</v>
      </c>
      <c r="J37" s="8">
        <f t="shared" si="12"/>
        <v>7.8125E-2</v>
      </c>
      <c r="K37" s="9">
        <f t="shared" si="12"/>
        <v>0.359375</v>
      </c>
      <c r="L37" s="5">
        <f t="shared" si="12"/>
        <v>4.9223946784922368E-2</v>
      </c>
    </row>
    <row r="38" spans="1:12" ht="15.75" hidden="1" x14ac:dyDescent="0.25">
      <c r="A38" s="50" t="str">
        <f t="shared" ref="A38:L38" si="13">A13</f>
        <v>A</v>
      </c>
      <c r="B38" s="46" t="str">
        <f t="shared" si="13"/>
        <v>1.11</v>
      </c>
      <c r="C38" s="61" t="str">
        <f t="shared" si="13"/>
        <v>Título de página y de marcos</v>
      </c>
      <c r="D38" s="55">
        <f t="shared" si="13"/>
        <v>0.796875</v>
      </c>
      <c r="E38" s="47">
        <f t="shared" si="13"/>
        <v>0</v>
      </c>
      <c r="F38" s="47">
        <f t="shared" si="13"/>
        <v>0.203125</v>
      </c>
      <c r="G38" s="56">
        <f t="shared" si="13"/>
        <v>0</v>
      </c>
      <c r="H38" s="55">
        <f t="shared" si="13"/>
        <v>0.734375</v>
      </c>
      <c r="I38" s="47">
        <f t="shared" si="13"/>
        <v>0</v>
      </c>
      <c r="J38" s="47">
        <f t="shared" si="13"/>
        <v>0.265625</v>
      </c>
      <c r="K38" s="56">
        <f t="shared" si="13"/>
        <v>0</v>
      </c>
      <c r="L38" s="5">
        <f t="shared" si="13"/>
        <v>6.25E-2</v>
      </c>
    </row>
    <row r="39" spans="1:12" ht="15.75" x14ac:dyDescent="0.25">
      <c r="A39" s="6" t="str">
        <f t="shared" ref="A39:L39" si="14">A14</f>
        <v>A</v>
      </c>
      <c r="B39" s="48" t="str">
        <f t="shared" si="14"/>
        <v>1.12</v>
      </c>
      <c r="C39" s="60" t="str">
        <f t="shared" si="14"/>
        <v>Enlaces descriptivos</v>
      </c>
      <c r="D39" s="7">
        <f t="shared" si="14"/>
        <v>0.390625</v>
      </c>
      <c r="E39" s="8">
        <f t="shared" si="14"/>
        <v>0</v>
      </c>
      <c r="F39" s="8">
        <f t="shared" si="14"/>
        <v>0.59375</v>
      </c>
      <c r="G39" s="9">
        <f t="shared" si="14"/>
        <v>1.5625E-2</v>
      </c>
      <c r="H39" s="7">
        <f t="shared" si="14"/>
        <v>0.125</v>
      </c>
      <c r="I39" s="8">
        <f t="shared" si="14"/>
        <v>0</v>
      </c>
      <c r="J39" s="8">
        <f t="shared" si="14"/>
        <v>0.875</v>
      </c>
      <c r="K39" s="9">
        <f t="shared" si="14"/>
        <v>0</v>
      </c>
      <c r="L39" s="5">
        <f t="shared" si="14"/>
        <v>0.2718253968253968</v>
      </c>
    </row>
    <row r="40" spans="1:12" ht="15.75" hidden="1" x14ac:dyDescent="0.25">
      <c r="A40" s="50" t="str">
        <f t="shared" ref="A40:L40" si="15">A15</f>
        <v>A</v>
      </c>
      <c r="B40" s="46" t="str">
        <f t="shared" si="15"/>
        <v>1.13</v>
      </c>
      <c r="C40" s="61" t="str">
        <f t="shared" si="15"/>
        <v>Cambios de contexto</v>
      </c>
      <c r="D40" s="55">
        <f t="shared" si="15"/>
        <v>0.984375</v>
      </c>
      <c r="E40" s="47">
        <f t="shared" si="15"/>
        <v>0</v>
      </c>
      <c r="F40" s="47">
        <f t="shared" si="15"/>
        <v>1.5625E-2</v>
      </c>
      <c r="G40" s="56">
        <f t="shared" si="15"/>
        <v>0</v>
      </c>
      <c r="H40" s="55">
        <f t="shared" si="15"/>
        <v>1</v>
      </c>
      <c r="I40" s="47">
        <f t="shared" si="15"/>
        <v>0</v>
      </c>
      <c r="J40" s="47">
        <f t="shared" si="15"/>
        <v>0</v>
      </c>
      <c r="K40" s="56">
        <f t="shared" si="15"/>
        <v>0</v>
      </c>
      <c r="L40" s="5">
        <f t="shared" si="15"/>
        <v>-1.5625E-2</v>
      </c>
    </row>
    <row r="41" spans="1:12" ht="16.5" thickBot="1" x14ac:dyDescent="0.3">
      <c r="A41" s="16" t="str">
        <f t="shared" ref="A41:L41" si="16">A16</f>
        <v>A</v>
      </c>
      <c r="B41" s="51" t="str">
        <f t="shared" si="16"/>
        <v>1.14</v>
      </c>
      <c r="C41" s="62" t="str">
        <f t="shared" si="16"/>
        <v>Compatibilidad</v>
      </c>
      <c r="D41" s="17">
        <f t="shared" si="16"/>
        <v>0.515625</v>
      </c>
      <c r="E41" s="18">
        <f t="shared" si="16"/>
        <v>0</v>
      </c>
      <c r="F41" s="18">
        <f t="shared" si="16"/>
        <v>0.484375</v>
      </c>
      <c r="G41" s="19">
        <f t="shared" si="16"/>
        <v>0</v>
      </c>
      <c r="H41" s="17">
        <f t="shared" si="16"/>
        <v>0.265625</v>
      </c>
      <c r="I41" s="18">
        <f t="shared" si="16"/>
        <v>0</v>
      </c>
      <c r="J41" s="18">
        <f t="shared" si="16"/>
        <v>0.734375</v>
      </c>
      <c r="K41" s="19">
        <f t="shared" si="16"/>
        <v>0</v>
      </c>
      <c r="L41" s="63">
        <f t="shared" si="16"/>
        <v>0.25</v>
      </c>
    </row>
    <row r="42" spans="1:12" ht="15.75" hidden="1" x14ac:dyDescent="0.25">
      <c r="A42" s="11" t="str">
        <f t="shared" ref="A42:L42" si="17">A17</f>
        <v>AA</v>
      </c>
      <c r="B42" s="49" t="str">
        <f t="shared" si="17"/>
        <v>2.1</v>
      </c>
      <c r="C42" s="59" t="str">
        <f t="shared" si="17"/>
        <v>Identificación de los cambios de idioma</v>
      </c>
      <c r="D42" s="58">
        <f t="shared" si="17"/>
        <v>0</v>
      </c>
      <c r="E42" s="3">
        <f t="shared" si="17"/>
        <v>0</v>
      </c>
      <c r="F42" s="3">
        <f t="shared" si="17"/>
        <v>1</v>
      </c>
      <c r="G42" s="4">
        <f t="shared" si="17"/>
        <v>0</v>
      </c>
      <c r="H42" s="12">
        <f t="shared" si="17"/>
        <v>3.125E-2</v>
      </c>
      <c r="I42" s="13">
        <f t="shared" si="17"/>
        <v>0</v>
      </c>
      <c r="J42" s="13">
        <f t="shared" si="17"/>
        <v>0.96875</v>
      </c>
      <c r="K42" s="14">
        <f t="shared" si="17"/>
        <v>0</v>
      </c>
      <c r="L42" s="64">
        <f t="shared" si="17"/>
        <v>-3.125E-2</v>
      </c>
    </row>
    <row r="43" spans="1:12" ht="15.75" hidden="1" x14ac:dyDescent="0.25">
      <c r="A43" s="6" t="str">
        <f t="shared" ref="A43:L43" si="18">A18</f>
        <v>AA</v>
      </c>
      <c r="B43" s="48" t="str">
        <f t="shared" si="18"/>
        <v>2.2</v>
      </c>
      <c r="C43" s="60" t="str">
        <f t="shared" si="18"/>
        <v>Legibilidad y contraste</v>
      </c>
      <c r="D43" s="52">
        <f t="shared" si="18"/>
        <v>0.78125</v>
      </c>
      <c r="E43" s="8">
        <f t="shared" si="18"/>
        <v>0</v>
      </c>
      <c r="F43" s="8">
        <f t="shared" si="18"/>
        <v>0.21875</v>
      </c>
      <c r="G43" s="10">
        <f t="shared" si="18"/>
        <v>0</v>
      </c>
      <c r="H43" s="7">
        <f t="shared" si="18"/>
        <v>0.609375</v>
      </c>
      <c r="I43" s="8">
        <f t="shared" si="18"/>
        <v>0</v>
      </c>
      <c r="J43" s="8">
        <f t="shared" si="18"/>
        <v>0.390625</v>
      </c>
      <c r="K43" s="9">
        <f t="shared" si="18"/>
        <v>0</v>
      </c>
      <c r="L43" s="15">
        <f t="shared" si="18"/>
        <v>0.171875</v>
      </c>
    </row>
    <row r="44" spans="1:12" ht="15.75" hidden="1" x14ac:dyDescent="0.25">
      <c r="A44" s="50" t="str">
        <f t="shared" ref="A44:L44" si="19">A19</f>
        <v>AA</v>
      </c>
      <c r="B44" s="46" t="str">
        <f t="shared" si="19"/>
        <v>2.3</v>
      </c>
      <c r="C44" s="61" t="str">
        <f t="shared" si="19"/>
        <v>Maquetación adaptable</v>
      </c>
      <c r="D44" s="53">
        <f t="shared" si="19"/>
        <v>0.921875</v>
      </c>
      <c r="E44" s="47">
        <f t="shared" si="19"/>
        <v>0</v>
      </c>
      <c r="F44" s="47">
        <f t="shared" si="19"/>
        <v>7.8125E-2</v>
      </c>
      <c r="G44" s="57">
        <f t="shared" si="19"/>
        <v>0</v>
      </c>
      <c r="H44" s="55">
        <f t="shared" si="19"/>
        <v>0.765625</v>
      </c>
      <c r="I44" s="47">
        <f t="shared" si="19"/>
        <v>0</v>
      </c>
      <c r="J44" s="47">
        <f t="shared" si="19"/>
        <v>0.234375</v>
      </c>
      <c r="K44" s="56">
        <f t="shared" si="19"/>
        <v>0</v>
      </c>
      <c r="L44" s="5">
        <f t="shared" si="19"/>
        <v>0.15625</v>
      </c>
    </row>
    <row r="45" spans="1:12" ht="15.75" x14ac:dyDescent="0.25">
      <c r="A45" s="6" t="str">
        <f t="shared" ref="A45:L45" si="20">A20</f>
        <v>AA</v>
      </c>
      <c r="B45" s="48" t="str">
        <f t="shared" si="20"/>
        <v>2.4</v>
      </c>
      <c r="C45" s="60" t="str">
        <f t="shared" si="20"/>
        <v>Múltiples vías de navegación</v>
      </c>
      <c r="D45" s="52">
        <f t="shared" si="20"/>
        <v>0.828125</v>
      </c>
      <c r="E45" s="8">
        <f t="shared" si="20"/>
        <v>0</v>
      </c>
      <c r="F45" s="8">
        <f t="shared" si="20"/>
        <v>0.171875</v>
      </c>
      <c r="G45" s="10">
        <f t="shared" si="20"/>
        <v>0</v>
      </c>
      <c r="H45" s="7">
        <f t="shared" si="20"/>
        <v>0.359375</v>
      </c>
      <c r="I45" s="8">
        <f t="shared" si="20"/>
        <v>0</v>
      </c>
      <c r="J45" s="8">
        <f t="shared" si="20"/>
        <v>0.640625</v>
      </c>
      <c r="K45" s="9">
        <f t="shared" si="20"/>
        <v>0</v>
      </c>
      <c r="L45" s="5">
        <f t="shared" si="20"/>
        <v>0.46875</v>
      </c>
    </row>
    <row r="46" spans="1:12" ht="15.75" x14ac:dyDescent="0.25">
      <c r="A46" s="50" t="str">
        <f t="shared" ref="A46:L46" si="21">A21</f>
        <v>AA</v>
      </c>
      <c r="B46" s="46" t="str">
        <f t="shared" si="21"/>
        <v>2.5</v>
      </c>
      <c r="C46" s="61" t="str">
        <f t="shared" si="21"/>
        <v>Independencia del dispositivo</v>
      </c>
      <c r="D46" s="53">
        <f t="shared" si="21"/>
        <v>0.75</v>
      </c>
      <c r="E46" s="47">
        <f t="shared" si="21"/>
        <v>0</v>
      </c>
      <c r="F46" s="47">
        <f t="shared" si="21"/>
        <v>0.25</v>
      </c>
      <c r="G46" s="57">
        <f t="shared" si="21"/>
        <v>0</v>
      </c>
      <c r="H46" s="55">
        <f t="shared" si="21"/>
        <v>0.3125</v>
      </c>
      <c r="I46" s="47">
        <f t="shared" si="21"/>
        <v>0</v>
      </c>
      <c r="J46" s="47">
        <f t="shared" si="21"/>
        <v>0.6875</v>
      </c>
      <c r="K46" s="56">
        <f t="shared" si="21"/>
        <v>0</v>
      </c>
      <c r="L46" s="5">
        <f t="shared" si="21"/>
        <v>0.4375</v>
      </c>
    </row>
    <row r="47" spans="1:12" ht="16.5" hidden="1" thickBot="1" x14ac:dyDescent="0.3">
      <c r="A47" s="16" t="str">
        <f t="shared" ref="A47:L47" si="22">A22</f>
        <v>AA</v>
      </c>
      <c r="B47" s="51" t="str">
        <f t="shared" si="22"/>
        <v>2.6</v>
      </c>
      <c r="C47" s="62" t="str">
        <f t="shared" si="22"/>
        <v>Navegación consistente</v>
      </c>
      <c r="D47" s="54">
        <f t="shared" si="22"/>
        <v>0.84375</v>
      </c>
      <c r="E47" s="18">
        <f t="shared" si="22"/>
        <v>0</v>
      </c>
      <c r="F47" s="18">
        <f t="shared" si="22"/>
        <v>0.140625</v>
      </c>
      <c r="G47" s="20">
        <f t="shared" si="22"/>
        <v>1.5625E-2</v>
      </c>
      <c r="H47" s="17">
        <f t="shared" si="22"/>
        <v>0.875</v>
      </c>
      <c r="I47" s="18">
        <f t="shared" si="22"/>
        <v>0</v>
      </c>
      <c r="J47" s="18">
        <f t="shared" si="22"/>
        <v>0.125</v>
      </c>
      <c r="K47" s="19">
        <f t="shared" si="22"/>
        <v>0</v>
      </c>
      <c r="L47" s="63">
        <f t="shared" si="22"/>
        <v>-1.7857142857142905E-2</v>
      </c>
    </row>
  </sheetData>
  <autoFilter ref="A27:O47" xr:uid="{00000000-0001-0000-0000-000000000000}">
    <filterColumn colId="0" showButton="0"/>
    <filterColumn colId="11">
      <customFilters>
        <customFilter operator="greaterThanOrEqual" val="0.25"/>
      </customFilters>
    </filterColumn>
  </autoFilter>
  <mergeCells count="12">
    <mergeCell ref="A26:B27"/>
    <mergeCell ref="C26:C27"/>
    <mergeCell ref="D26:G26"/>
    <mergeCell ref="H26:K26"/>
    <mergeCell ref="L26:L27"/>
    <mergeCell ref="A25:L25"/>
    <mergeCell ref="L1:L2"/>
    <mergeCell ref="N1:O1"/>
    <mergeCell ref="A1:B2"/>
    <mergeCell ref="D1:G1"/>
    <mergeCell ref="H1:K1"/>
    <mergeCell ref="C1:C2"/>
  </mergeCells>
  <phoneticPr fontId="2" type="noConversion"/>
  <conditionalFormatting sqref="A3:L22 A28:L47">
    <cfRule type="expression" dxfId="5" priority="9">
      <formula>$L3&gt;=0.25</formula>
    </cfRule>
  </conditionalFormatting>
  <conditionalFormatting sqref="L3:L22">
    <cfRule type="colorScale" priority="13">
      <colorScale>
        <cfvo type="num" val="-1"/>
        <cfvo type="num" val="0"/>
        <cfvo type="num" val="1"/>
        <color rgb="FF63BE7B"/>
        <color rgb="FFFCFCFF"/>
        <color rgb="FFF8696B"/>
      </colorScale>
    </cfRule>
  </conditionalFormatting>
  <conditionalFormatting sqref="L28:L47">
    <cfRule type="colorScale" priority="1">
      <colorScale>
        <cfvo type="num" val="-1"/>
        <cfvo type="num" val="0"/>
        <cfvo type="num" val="1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5636-E7C5-45A6-ABC4-088EF47FE420}">
  <dimension ref="A1:C4"/>
  <sheetViews>
    <sheetView tabSelected="1" workbookViewId="0">
      <selection activeCell="D10" sqref="D10"/>
    </sheetView>
  </sheetViews>
  <sheetFormatPr baseColWidth="10" defaultRowHeight="15" x14ac:dyDescent="0.25"/>
  <cols>
    <col min="1" max="3" width="13.140625" customWidth="1"/>
  </cols>
  <sheetData>
    <row r="1" spans="1:3" ht="15.75" x14ac:dyDescent="0.25">
      <c r="A1" s="1"/>
      <c r="B1" s="86" t="s">
        <v>48</v>
      </c>
      <c r="C1" s="86" t="s">
        <v>49</v>
      </c>
    </row>
    <row r="2" spans="1:3" x14ac:dyDescent="0.25">
      <c r="A2" s="23" t="str">
        <f>'[1]Cumplimiento indicadores'!X67</f>
        <v>Cumplen AA</v>
      </c>
      <c r="B2" s="87">
        <f>'[1]Resumen final'!C5</f>
        <v>0.453125</v>
      </c>
      <c r="C2" s="87">
        <f>'[2]Resumen final'!C5</f>
        <v>7.8125E-2</v>
      </c>
    </row>
    <row r="3" spans="1:3" x14ac:dyDescent="0.25">
      <c r="A3" s="23" t="str">
        <f>'[1]Cumplimiento indicadores'!X68</f>
        <v>Cumplen A</v>
      </c>
      <c r="B3" s="88">
        <f>'[1]Resumen final'!C6</f>
        <v>0</v>
      </c>
      <c r="C3" s="88">
        <f>'[2]Resumen final'!C6</f>
        <v>0</v>
      </c>
    </row>
    <row r="4" spans="1:3" ht="15.75" thickBot="1" x14ac:dyDescent="0.3">
      <c r="A4" s="23" t="str">
        <f>'[1]Cumplimiento indicadores'!X69</f>
        <v>No válido</v>
      </c>
      <c r="B4" s="89">
        <f>'[1]Resumen final'!C7</f>
        <v>0.546875</v>
      </c>
      <c r="C4" s="89">
        <f>'[2]Resumen final'!C7</f>
        <v>0.921875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1DF8-868C-4A58-8FF7-F1BF1DC9028F}">
  <dimension ref="A1:AB72"/>
  <sheetViews>
    <sheetView workbookViewId="0">
      <pane ySplit="1" topLeftCell="A38" activePane="bottomLeft" state="frozen"/>
      <selection pane="bottomLeft" activeCell="R35" sqref="R35"/>
    </sheetView>
  </sheetViews>
  <sheetFormatPr baseColWidth="10" defaultRowHeight="15" x14ac:dyDescent="0.25"/>
  <cols>
    <col min="1" max="1" width="14" bestFit="1" customWidth="1"/>
    <col min="2" max="2" width="10.140625" style="1" bestFit="1" customWidth="1"/>
    <col min="3" max="3" width="49.28515625" bestFit="1" customWidth="1"/>
    <col min="4" max="12" width="5.7109375" style="1" customWidth="1"/>
    <col min="13" max="17" width="6.7109375" style="1" customWidth="1"/>
    <col min="18" max="23" width="5.7109375" style="1" customWidth="1"/>
    <col min="24" max="24" width="7.42578125" bestFit="1" customWidth="1"/>
    <col min="25" max="25" width="8.7109375" bestFit="1" customWidth="1"/>
    <col min="26" max="26" width="20.7109375" customWidth="1"/>
    <col min="28" max="28" width="20.7109375" customWidth="1"/>
    <col min="29" max="29" width="9.42578125" bestFit="1" customWidth="1"/>
    <col min="30" max="30" width="20.7109375" customWidth="1"/>
  </cols>
  <sheetData>
    <row r="1" spans="1:28" s="38" customFormat="1" ht="30" x14ac:dyDescent="0.25">
      <c r="A1" s="35" t="s">
        <v>55</v>
      </c>
      <c r="B1" s="21" t="s">
        <v>56</v>
      </c>
      <c r="C1" s="35" t="s">
        <v>57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8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15</v>
      </c>
      <c r="R1" s="36" t="s">
        <v>16</v>
      </c>
      <c r="S1" s="36" t="s">
        <v>17</v>
      </c>
      <c r="T1" s="36" t="s">
        <v>18</v>
      </c>
      <c r="U1" s="36" t="s">
        <v>19</v>
      </c>
      <c r="V1" s="36" t="s">
        <v>20</v>
      </c>
      <c r="W1" s="36" t="s">
        <v>21</v>
      </c>
      <c r="X1" s="37" t="s">
        <v>227</v>
      </c>
      <c r="Y1" s="37" t="s">
        <v>228</v>
      </c>
      <c r="Z1" s="21" t="s">
        <v>229</v>
      </c>
      <c r="AA1" s="37" t="s">
        <v>230</v>
      </c>
      <c r="AB1" s="21" t="s">
        <v>231</v>
      </c>
    </row>
    <row r="2" spans="1:28" x14ac:dyDescent="0.25">
      <c r="A2" t="str">
        <f>[2]!Tabla1[[#This Row],[Archivo]]</f>
        <v>4.0 GrPRI 1-37</v>
      </c>
      <c r="B2" s="1" t="str">
        <f>[2]!Tabla1[[#This Row],[Página]]</f>
        <v>Página 1</v>
      </c>
      <c r="C2" t="str">
        <f>[2]!Tabla1[[#This Row],[URL]]</f>
        <v>https://enjucavi.com</v>
      </c>
      <c r="D2" s="39" t="str">
        <f>[2]!Tabla1[[#This Row],[1.1]]</f>
        <v>1 P</v>
      </c>
      <c r="E2" s="39" t="str">
        <f>[2]!Tabla1[[#This Row],[1.2]]</f>
        <v>0 F</v>
      </c>
      <c r="F2" s="39" t="str">
        <f>[2]!Tabla1[[#This Row],[1.3]]</f>
        <v>1 P</v>
      </c>
      <c r="G2" s="39" t="str">
        <f>[2]!Tabla1[[#This Row],[1.4]]</f>
        <v>- P</v>
      </c>
      <c r="H2" s="39" t="str">
        <f>[2]!Tabla1[[#This Row],[1.5]]</f>
        <v>0 F</v>
      </c>
      <c r="I2" s="39" t="str">
        <f>[2]!Tabla1[[#This Row],[1.6]]</f>
        <v>0 F</v>
      </c>
      <c r="J2" s="39" t="str">
        <f>[2]!Tabla1[[#This Row],[1.7]]</f>
        <v>0 F</v>
      </c>
      <c r="K2" s="39" t="str">
        <f>[2]!Tabla1[[#This Row],[1.8]]</f>
        <v>1 P</v>
      </c>
      <c r="L2" s="39" t="str">
        <f>[2]!Tabla1[[#This Row],[1.9]]</f>
        <v>1 P</v>
      </c>
      <c r="M2" s="39" t="str">
        <f>[2]!Tabla1[[#This Row],[1.10]]</f>
        <v>1 P</v>
      </c>
      <c r="N2" s="39" t="str">
        <f>[2]!Tabla1[[#This Row],[1.11]]</f>
        <v>1 P</v>
      </c>
      <c r="O2" s="39" t="str">
        <f>[2]!Tabla1[[#This Row],[1.12]]</f>
        <v>0 F</v>
      </c>
      <c r="P2" s="39" t="str">
        <f>[2]!Tabla1[[#This Row],[1.13]]</f>
        <v>1 P</v>
      </c>
      <c r="Q2" s="39" t="str">
        <f>[2]!Tabla1[[#This Row],[1.14]]</f>
        <v>0 F</v>
      </c>
      <c r="R2" s="39" t="str">
        <f>[2]!Tabla1[[#This Row],[2.1]]</f>
        <v>0 F</v>
      </c>
      <c r="S2" s="39" t="str">
        <f>[2]!Tabla1[[#This Row],[2.2]]</f>
        <v>1 P</v>
      </c>
      <c r="T2" s="39" t="str">
        <f>[2]!Tabla1[[#This Row],[2.3]]</f>
        <v>1 P</v>
      </c>
      <c r="U2" s="39" t="str">
        <f>[2]!Tabla1[[#This Row],[2.4]]</f>
        <v>0 F</v>
      </c>
      <c r="V2" s="39" t="str">
        <f>[2]!Tabla1[[#This Row],[2.5]]</f>
        <v>0 F</v>
      </c>
      <c r="W2" s="39" t="str">
        <f>[2]!Tabla1[[#This Row],[2.6]]</f>
        <v>0 F</v>
      </c>
      <c r="X2">
        <f>[2]!Tabla1[[#This Row],[Fallos Nivel A]]</f>
        <v>6</v>
      </c>
      <c r="Y2">
        <f>[2]!Tabla1[[#This Row],[Fallos Nivel AA]]</f>
        <v>4</v>
      </c>
      <c r="Z2" s="1" t="str">
        <f>[2]!Tabla1[[#This Row],[Nivel de adecuación estimado original]]</f>
        <v>No Válido</v>
      </c>
      <c r="AA2" s="1" t="str">
        <f>[2]!Tabla1[[#This Row],[Check original]]</f>
        <v>No válido</v>
      </c>
      <c r="AB2" s="1" t="str">
        <f>[2]!Tabla1[[#This Row],[Nivel de adecuación estimado sin 1.7 y 2.1]]</f>
        <v>No válido</v>
      </c>
    </row>
    <row r="3" spans="1:28" x14ac:dyDescent="0.25">
      <c r="A3" t="str">
        <f>[2]!Tabla1[[#This Row],[Archivo]]</f>
        <v>4.0 GrPRI 1-37</v>
      </c>
      <c r="B3" s="1" t="str">
        <f>[2]!Tabla1[[#This Row],[Página]]</f>
        <v>Página 2</v>
      </c>
      <c r="C3" t="str">
        <f>[2]!Tabla1[[#This Row],[URL]]</f>
        <v>https://www.disolbcn.cat/es</v>
      </c>
      <c r="D3" s="39" t="str">
        <f>[2]!Tabla1[[#This Row],[1.1]]</f>
        <v>1 P</v>
      </c>
      <c r="E3" s="39" t="str">
        <f>[2]!Tabla1[[#This Row],[1.2]]</f>
        <v>0 F</v>
      </c>
      <c r="F3" s="39" t="str">
        <f>[2]!Tabla1[[#This Row],[1.3]]</f>
        <v>1 P</v>
      </c>
      <c r="G3" s="39" t="str">
        <f>[2]!Tabla1[[#This Row],[1.4]]</f>
        <v>- P</v>
      </c>
      <c r="H3" s="39" t="str">
        <f>[2]!Tabla1[[#This Row],[1.5]]</f>
        <v>0 F</v>
      </c>
      <c r="I3" s="39" t="str">
        <f>[2]!Tabla1[[#This Row],[1.6]]</f>
        <v>0 F</v>
      </c>
      <c r="J3" s="39" t="str">
        <f>[2]!Tabla1[[#This Row],[1.7]]</f>
        <v>0 F</v>
      </c>
      <c r="K3" s="39" t="str">
        <f>[2]!Tabla1[[#This Row],[1.8]]</f>
        <v>1 P</v>
      </c>
      <c r="L3" s="39" t="str">
        <f>[2]!Tabla1[[#This Row],[1.9]]</f>
        <v>0 F</v>
      </c>
      <c r="M3" s="39" t="str">
        <f>[2]!Tabla1[[#This Row],[1.10]]</f>
        <v>1 P</v>
      </c>
      <c r="N3" s="39" t="str">
        <f>[2]!Tabla1[[#This Row],[1.11]]</f>
        <v>0 F</v>
      </c>
      <c r="O3" s="39" t="str">
        <f>[2]!Tabla1[[#This Row],[1.12]]</f>
        <v>1 P</v>
      </c>
      <c r="P3" s="39" t="str">
        <f>[2]!Tabla1[[#This Row],[1.13]]</f>
        <v>1 P</v>
      </c>
      <c r="Q3" s="39" t="str">
        <f>[2]!Tabla1[[#This Row],[1.14]]</f>
        <v>0 F</v>
      </c>
      <c r="R3" s="39" t="str">
        <f>[2]!Tabla1[[#This Row],[2.1]]</f>
        <v>0 F</v>
      </c>
      <c r="S3" s="39" t="str">
        <f>[2]!Tabla1[[#This Row],[2.2]]</f>
        <v>1 P</v>
      </c>
      <c r="T3" s="39" t="str">
        <f>[2]!Tabla1[[#This Row],[2.3]]</f>
        <v>1 P</v>
      </c>
      <c r="U3" s="39" t="str">
        <f>[2]!Tabla1[[#This Row],[2.4]]</f>
        <v>1 P</v>
      </c>
      <c r="V3" s="39" t="str">
        <f>[2]!Tabla1[[#This Row],[2.5]]</f>
        <v>1 P</v>
      </c>
      <c r="W3" s="39" t="str">
        <f>[2]!Tabla1[[#This Row],[2.6]]</f>
        <v>1 P</v>
      </c>
      <c r="X3">
        <f>[2]!Tabla1[[#This Row],[Fallos Nivel A]]</f>
        <v>7</v>
      </c>
      <c r="Y3">
        <f>[2]!Tabla1[[#This Row],[Fallos Nivel AA]]</f>
        <v>1</v>
      </c>
      <c r="Z3" s="1" t="str">
        <f>[2]!Tabla1[[#This Row],[Nivel de adecuación estimado original]]</f>
        <v>No Válido</v>
      </c>
      <c r="AA3" s="1" t="str">
        <f>[2]!Tabla1[[#This Row],[Check original]]</f>
        <v>No válido</v>
      </c>
      <c r="AB3" s="1" t="str">
        <f>[2]!Tabla1[[#This Row],[Nivel de adecuación estimado sin 1.7 y 2.1]]</f>
        <v>No válido</v>
      </c>
    </row>
    <row r="4" spans="1:28" x14ac:dyDescent="0.25">
      <c r="A4" t="str">
        <f>[2]!Tabla1[[#This Row],[Archivo]]</f>
        <v>4.0 GrPRI 1-37</v>
      </c>
      <c r="B4" s="1" t="str">
        <f>[2]!Tabla1[[#This Row],[Página]]</f>
        <v>Página 3</v>
      </c>
      <c r="C4" t="str">
        <f>[2]!Tabla1[[#This Row],[URL]]</f>
        <v>https://turullsorensen.com</v>
      </c>
      <c r="D4" s="39" t="str">
        <f>[2]!Tabla1[[#This Row],[1.1]]</f>
        <v>0 F</v>
      </c>
      <c r="E4" s="39" t="str">
        <f>[2]!Tabla1[[#This Row],[1.2]]</f>
        <v>0 F</v>
      </c>
      <c r="F4" s="39" t="str">
        <f>[2]!Tabla1[[#This Row],[1.3]]</f>
        <v>1 P</v>
      </c>
      <c r="G4" s="39" t="str">
        <f>[2]!Tabla1[[#This Row],[1.4]]</f>
        <v>- P</v>
      </c>
      <c r="H4" s="39" t="str">
        <f>[2]!Tabla1[[#This Row],[1.5]]</f>
        <v>1 P</v>
      </c>
      <c r="I4" s="39" t="str">
        <f>[2]!Tabla1[[#This Row],[1.6]]</f>
        <v>1 P</v>
      </c>
      <c r="J4" s="39" t="str">
        <f>[2]!Tabla1[[#This Row],[1.7]]</f>
        <v>0 F</v>
      </c>
      <c r="K4" s="39" t="str">
        <f>[2]!Tabla1[[#This Row],[1.8]]</f>
        <v>1 P</v>
      </c>
      <c r="L4" s="39" t="str">
        <f>[2]!Tabla1[[#This Row],[1.9]]</f>
        <v>0 F</v>
      </c>
      <c r="M4" s="39" t="str">
        <f>[2]!Tabla1[[#This Row],[1.10]]</f>
        <v>1 P</v>
      </c>
      <c r="N4" s="39" t="str">
        <f>[2]!Tabla1[[#This Row],[1.11]]</f>
        <v>1 P</v>
      </c>
      <c r="O4" s="39" t="str">
        <f>[2]!Tabla1[[#This Row],[1.12]]</f>
        <v>0 F</v>
      </c>
      <c r="P4" s="39" t="str">
        <f>[2]!Tabla1[[#This Row],[1.13]]</f>
        <v>1 P</v>
      </c>
      <c r="Q4" s="39" t="str">
        <f>[2]!Tabla1[[#This Row],[1.14]]</f>
        <v>1 P</v>
      </c>
      <c r="R4" s="39" t="str">
        <f>[2]!Tabla1[[#This Row],[2.1]]</f>
        <v>0 F</v>
      </c>
      <c r="S4" s="39" t="str">
        <f>[2]!Tabla1[[#This Row],[2.2]]</f>
        <v>0 F</v>
      </c>
      <c r="T4" s="39" t="str">
        <f>[2]!Tabla1[[#This Row],[2.3]]</f>
        <v>1 P</v>
      </c>
      <c r="U4" s="39" t="str">
        <f>[2]!Tabla1[[#This Row],[2.4]]</f>
        <v>1 P</v>
      </c>
      <c r="V4" s="39" t="str">
        <f>[2]!Tabla1[[#This Row],[2.5]]</f>
        <v>0 F</v>
      </c>
      <c r="W4" s="39" t="str">
        <f>[2]!Tabla1[[#This Row],[2.6]]</f>
        <v>1 P</v>
      </c>
      <c r="X4">
        <f>[2]!Tabla1[[#This Row],[Fallos Nivel A]]</f>
        <v>5</v>
      </c>
      <c r="Y4">
        <f>[2]!Tabla1[[#This Row],[Fallos Nivel AA]]</f>
        <v>3</v>
      </c>
      <c r="Z4" s="1" t="str">
        <f>[2]!Tabla1[[#This Row],[Nivel de adecuación estimado original]]</f>
        <v>No Válido</v>
      </c>
      <c r="AA4" s="1" t="str">
        <f>[2]!Tabla1[[#This Row],[Check original]]</f>
        <v>No válido</v>
      </c>
      <c r="AB4" s="1" t="str">
        <f>[2]!Tabla1[[#This Row],[Nivel de adecuación estimado sin 1.7 y 2.1]]</f>
        <v>No válido</v>
      </c>
    </row>
    <row r="5" spans="1:28" x14ac:dyDescent="0.25">
      <c r="A5" t="str">
        <f>[2]!Tabla1[[#This Row],[Archivo]]</f>
        <v>4.0 GrPRI 1-37</v>
      </c>
      <c r="B5" s="1" t="str">
        <f>[2]!Tabla1[[#This Row],[Página]]</f>
        <v>Página 4</v>
      </c>
      <c r="C5" t="str">
        <f>[2]!Tabla1[[#This Row],[URL]]</f>
        <v>https://www.laperladejavea.com</v>
      </c>
      <c r="D5" s="39" t="str">
        <f>[2]!Tabla1[[#This Row],[1.1]]</f>
        <v>1 P</v>
      </c>
      <c r="E5" s="39" t="str">
        <f>[2]!Tabla1[[#This Row],[1.2]]</f>
        <v>0 F</v>
      </c>
      <c r="F5" s="39" t="str">
        <f>[2]!Tabla1[[#This Row],[1.3]]</f>
        <v>1 P</v>
      </c>
      <c r="G5" s="39" t="str">
        <f>[2]!Tabla1[[#This Row],[1.4]]</f>
        <v>1 P</v>
      </c>
      <c r="H5" s="39" t="str">
        <f>[2]!Tabla1[[#This Row],[1.5]]</f>
        <v>0 F</v>
      </c>
      <c r="I5" s="39" t="str">
        <f>[2]!Tabla1[[#This Row],[1.6]]</f>
        <v>1 P</v>
      </c>
      <c r="J5" s="39" t="str">
        <f>[2]!Tabla1[[#This Row],[1.7]]</f>
        <v>0 F</v>
      </c>
      <c r="K5" s="39" t="str">
        <f>[2]!Tabla1[[#This Row],[1.8]]</f>
        <v>0 F</v>
      </c>
      <c r="L5" s="39" t="str">
        <f>[2]!Tabla1[[#This Row],[1.9]]</f>
        <v>1 P</v>
      </c>
      <c r="M5" s="39" t="str">
        <f>[2]!Tabla1[[#This Row],[1.10]]</f>
        <v>- P</v>
      </c>
      <c r="N5" s="39" t="str">
        <f>[2]!Tabla1[[#This Row],[1.11]]</f>
        <v>1 P</v>
      </c>
      <c r="O5" s="39" t="str">
        <f>[2]!Tabla1[[#This Row],[1.12]]</f>
        <v>0 F</v>
      </c>
      <c r="P5" s="39" t="str">
        <f>[2]!Tabla1[[#This Row],[1.13]]</f>
        <v>1 P</v>
      </c>
      <c r="Q5" s="39" t="str">
        <f>[2]!Tabla1[[#This Row],[1.14]]</f>
        <v>0 F</v>
      </c>
      <c r="R5" s="39" t="str">
        <f>[2]!Tabla1[[#This Row],[2.1]]</f>
        <v>0 F</v>
      </c>
      <c r="S5" s="39" t="str">
        <f>[2]!Tabla1[[#This Row],[2.2]]</f>
        <v>1 P</v>
      </c>
      <c r="T5" s="39" t="str">
        <f>[2]!Tabla1[[#This Row],[2.3]]</f>
        <v>1 P</v>
      </c>
      <c r="U5" s="39" t="str">
        <f>[2]!Tabla1[[#This Row],[2.4]]</f>
        <v>0 F</v>
      </c>
      <c r="V5" s="39" t="str">
        <f>[2]!Tabla1[[#This Row],[2.5]]</f>
        <v>1 P</v>
      </c>
      <c r="W5" s="39" t="str">
        <f>[2]!Tabla1[[#This Row],[2.6]]</f>
        <v>1 P</v>
      </c>
      <c r="X5">
        <f>[2]!Tabla1[[#This Row],[Fallos Nivel A]]</f>
        <v>6</v>
      </c>
      <c r="Y5">
        <f>[2]!Tabla1[[#This Row],[Fallos Nivel AA]]</f>
        <v>2</v>
      </c>
      <c r="Z5" s="1" t="str">
        <f>[2]!Tabla1[[#This Row],[Nivel de adecuación estimado original]]</f>
        <v>No Válido</v>
      </c>
      <c r="AA5" s="1" t="str">
        <f>[2]!Tabla1[[#This Row],[Check original]]</f>
        <v>No válido</v>
      </c>
      <c r="AB5" s="1" t="str">
        <f>[2]!Tabla1[[#This Row],[Nivel de adecuación estimado sin 1.7 y 2.1]]</f>
        <v>No válido</v>
      </c>
    </row>
    <row r="6" spans="1:28" x14ac:dyDescent="0.25">
      <c r="A6" t="str">
        <f>[2]!Tabla1[[#This Row],[Archivo]]</f>
        <v>4.0 GrPRI 1-37</v>
      </c>
      <c r="B6" s="1" t="str">
        <f>[2]!Tabla1[[#This Row],[Página]]</f>
        <v>Página 5</v>
      </c>
      <c r="C6" t="str">
        <f>[2]!Tabla1[[#This Row],[URL]]</f>
        <v>https://toormix.com</v>
      </c>
      <c r="D6" s="39" t="str">
        <f>[2]!Tabla1[[#This Row],[1.1]]</f>
        <v>0 F</v>
      </c>
      <c r="E6" s="39" t="str">
        <f>[2]!Tabla1[[#This Row],[1.2]]</f>
        <v>0 F</v>
      </c>
      <c r="F6" s="39" t="str">
        <f>[2]!Tabla1[[#This Row],[1.3]]</f>
        <v>1 P</v>
      </c>
      <c r="G6" s="39" t="str">
        <f>[2]!Tabla1[[#This Row],[1.4]]</f>
        <v>- P</v>
      </c>
      <c r="H6" s="39" t="str">
        <f>[2]!Tabla1[[#This Row],[1.5]]</f>
        <v>0 F</v>
      </c>
      <c r="I6" s="39" t="str">
        <f>[2]!Tabla1[[#This Row],[1.6]]</f>
        <v>1 P</v>
      </c>
      <c r="J6" s="39" t="str">
        <f>[2]!Tabla1[[#This Row],[1.7]]</f>
        <v>0 F</v>
      </c>
      <c r="K6" s="39" t="str">
        <f>[2]!Tabla1[[#This Row],[1.8]]</f>
        <v>1 P</v>
      </c>
      <c r="L6" s="39" t="str">
        <f>[2]!Tabla1[[#This Row],[1.9]]</f>
        <v>0 F</v>
      </c>
      <c r="M6" s="39" t="str">
        <f>[2]!Tabla1[[#This Row],[1.10]]</f>
        <v>1 P</v>
      </c>
      <c r="N6" s="39" t="str">
        <f>[2]!Tabla1[[#This Row],[1.11]]</f>
        <v>1 P</v>
      </c>
      <c r="O6" s="39" t="str">
        <f>[2]!Tabla1[[#This Row],[1.12]]</f>
        <v>0 F</v>
      </c>
      <c r="P6" s="39" t="str">
        <f>[2]!Tabla1[[#This Row],[1.13]]</f>
        <v>1 P</v>
      </c>
      <c r="Q6" s="39" t="str">
        <f>[2]!Tabla1[[#This Row],[1.14]]</f>
        <v>1 P</v>
      </c>
      <c r="R6" s="39" t="str">
        <f>[2]!Tabla1[[#This Row],[2.1]]</f>
        <v>0 F</v>
      </c>
      <c r="S6" s="39" t="str">
        <f>[2]!Tabla1[[#This Row],[2.2]]</f>
        <v>1 P</v>
      </c>
      <c r="T6" s="39" t="str">
        <f>[2]!Tabla1[[#This Row],[2.3]]</f>
        <v>1 P</v>
      </c>
      <c r="U6" s="39" t="str">
        <f>[2]!Tabla1[[#This Row],[2.4]]</f>
        <v>0 F</v>
      </c>
      <c r="V6" s="39" t="str">
        <f>[2]!Tabla1[[#This Row],[2.5]]</f>
        <v>1 P</v>
      </c>
      <c r="W6" s="39" t="str">
        <f>[2]!Tabla1[[#This Row],[2.6]]</f>
        <v>1 P</v>
      </c>
      <c r="X6">
        <f>[2]!Tabla1[[#This Row],[Fallos Nivel A]]</f>
        <v>6</v>
      </c>
      <c r="Y6">
        <f>[2]!Tabla1[[#This Row],[Fallos Nivel AA]]</f>
        <v>2</v>
      </c>
      <c r="Z6" s="1" t="str">
        <f>[2]!Tabla1[[#This Row],[Nivel de adecuación estimado original]]</f>
        <v>No Válido</v>
      </c>
      <c r="AA6" s="1" t="str">
        <f>[2]!Tabla1[[#This Row],[Check original]]</f>
        <v>No válido</v>
      </c>
      <c r="AB6" s="1" t="str">
        <f>[2]!Tabla1[[#This Row],[Nivel de adecuación estimado sin 1.7 y 2.1]]</f>
        <v>No válido</v>
      </c>
    </row>
    <row r="7" spans="1:28" x14ac:dyDescent="0.25">
      <c r="A7" t="str">
        <f>[2]!Tabla1[[#This Row],[Archivo]]</f>
        <v>4.0 GrPRI 1-37</v>
      </c>
      <c r="B7" s="1" t="str">
        <f>[2]!Tabla1[[#This Row],[Página]]</f>
        <v>Página 6</v>
      </c>
      <c r="C7" t="str">
        <f>[2]!Tabla1[[#This Row],[URL]]</f>
        <v>https://randallcoffee.com</v>
      </c>
      <c r="D7" s="39" t="str">
        <f>[2]!Tabla1[[#This Row],[1.1]]</f>
        <v>1 P</v>
      </c>
      <c r="E7" s="39" t="str">
        <f>[2]!Tabla1[[#This Row],[1.2]]</f>
        <v>0 F</v>
      </c>
      <c r="F7" s="39" t="str">
        <f>[2]!Tabla1[[#This Row],[1.3]]</f>
        <v>0 F</v>
      </c>
      <c r="G7" s="39" t="str">
        <f>[2]!Tabla1[[#This Row],[1.4]]</f>
        <v>- P</v>
      </c>
      <c r="H7" s="39" t="str">
        <f>[2]!Tabla1[[#This Row],[1.5]]</f>
        <v>0 F</v>
      </c>
      <c r="I7" s="39" t="str">
        <f>[2]!Tabla1[[#This Row],[1.6]]</f>
        <v>0 F</v>
      </c>
      <c r="J7" s="39" t="str">
        <f>[2]!Tabla1[[#This Row],[1.7]]</f>
        <v>0 F</v>
      </c>
      <c r="K7" s="39" t="str">
        <f>[2]!Tabla1[[#This Row],[1.8]]</f>
        <v>1 P</v>
      </c>
      <c r="L7" s="39" t="str">
        <f>[2]!Tabla1[[#This Row],[1.9]]</f>
        <v>0 F</v>
      </c>
      <c r="M7" s="39" t="str">
        <f>[2]!Tabla1[[#This Row],[1.10]]</f>
        <v>1 P</v>
      </c>
      <c r="N7" s="39" t="str">
        <f>[2]!Tabla1[[#This Row],[1.11]]</f>
        <v>1 P</v>
      </c>
      <c r="O7" s="39" t="str">
        <f>[2]!Tabla1[[#This Row],[1.12]]</f>
        <v>0 F</v>
      </c>
      <c r="P7" s="39" t="str">
        <f>[2]!Tabla1[[#This Row],[1.13]]</f>
        <v>1 P</v>
      </c>
      <c r="Q7" s="39" t="str">
        <f>[2]!Tabla1[[#This Row],[1.14]]</f>
        <v>0 F</v>
      </c>
      <c r="R7" s="39" t="str">
        <f>[2]!Tabla1[[#This Row],[2.1]]</f>
        <v>0 F</v>
      </c>
      <c r="S7" s="39" t="str">
        <f>[2]!Tabla1[[#This Row],[2.2]]</f>
        <v>0 F</v>
      </c>
      <c r="T7" s="39" t="str">
        <f>[2]!Tabla1[[#This Row],[2.3]]</f>
        <v>1 P</v>
      </c>
      <c r="U7" s="39" t="str">
        <f>[2]!Tabla1[[#This Row],[2.4]]</f>
        <v>1 P</v>
      </c>
      <c r="V7" s="39" t="str">
        <f>[2]!Tabla1[[#This Row],[2.5]]</f>
        <v>0 F</v>
      </c>
      <c r="W7" s="39" t="str">
        <f>[2]!Tabla1[[#This Row],[2.6]]</f>
        <v>1 P</v>
      </c>
      <c r="X7">
        <f>[2]!Tabla1[[#This Row],[Fallos Nivel A]]</f>
        <v>8</v>
      </c>
      <c r="Y7">
        <f>[2]!Tabla1[[#This Row],[Fallos Nivel AA]]</f>
        <v>3</v>
      </c>
      <c r="Z7" s="1" t="str">
        <f>[2]!Tabla1[[#This Row],[Nivel de adecuación estimado original]]</f>
        <v>No Válido</v>
      </c>
      <c r="AA7" s="1" t="str">
        <f>[2]!Tabla1[[#This Row],[Check original]]</f>
        <v>No válido</v>
      </c>
      <c r="AB7" s="1" t="str">
        <f>[2]!Tabla1[[#This Row],[Nivel de adecuación estimado sin 1.7 y 2.1]]</f>
        <v>No válido</v>
      </c>
    </row>
    <row r="8" spans="1:28" x14ac:dyDescent="0.25">
      <c r="A8" t="str">
        <f>[2]!Tabla1[[#This Row],[Archivo]]</f>
        <v>4.0 GrPRI 1-37</v>
      </c>
      <c r="B8" s="1" t="str">
        <f>[2]!Tabla1[[#This Row],[Página]]</f>
        <v>Página 7</v>
      </c>
      <c r="C8" t="str">
        <f>[2]!Tabla1[[#This Row],[URL]]</f>
        <v>https://baydal.es</v>
      </c>
      <c r="D8" s="39" t="str">
        <f>[2]!Tabla1[[#This Row],[1.1]]</f>
        <v>1 P</v>
      </c>
      <c r="E8" s="39" t="str">
        <f>[2]!Tabla1[[#This Row],[1.2]]</f>
        <v>0 F</v>
      </c>
      <c r="F8" s="39" t="str">
        <f>[2]!Tabla1[[#This Row],[1.3]]</f>
        <v>1 P</v>
      </c>
      <c r="G8" s="39" t="str">
        <f>[2]!Tabla1[[#This Row],[1.4]]</f>
        <v>- P</v>
      </c>
      <c r="H8" s="39" t="str">
        <f>[2]!Tabla1[[#This Row],[1.5]]</f>
        <v>0 F</v>
      </c>
      <c r="I8" s="39" t="str">
        <f>[2]!Tabla1[[#This Row],[1.6]]</f>
        <v>1 P</v>
      </c>
      <c r="J8" s="39" t="str">
        <f>[2]!Tabla1[[#This Row],[1.7]]</f>
        <v>0 F</v>
      </c>
      <c r="K8" s="39" t="str">
        <f>[2]!Tabla1[[#This Row],[1.8]]</f>
        <v>1 P</v>
      </c>
      <c r="L8" s="39" t="str">
        <f>[2]!Tabla1[[#This Row],[1.9]]</f>
        <v>1 P</v>
      </c>
      <c r="M8" s="39" t="str">
        <f>[2]!Tabla1[[#This Row],[1.10]]</f>
        <v>- P</v>
      </c>
      <c r="N8" s="39" t="str">
        <f>[2]!Tabla1[[#This Row],[1.11]]</f>
        <v>1 P</v>
      </c>
      <c r="O8" s="39" t="str">
        <f>[2]!Tabla1[[#This Row],[1.12]]</f>
        <v>0 F</v>
      </c>
      <c r="P8" s="39" t="str">
        <f>[2]!Tabla1[[#This Row],[1.13]]</f>
        <v>1 P</v>
      </c>
      <c r="Q8" s="39" t="str">
        <f>[2]!Tabla1[[#This Row],[1.14]]</f>
        <v>1 P</v>
      </c>
      <c r="R8" s="39" t="str">
        <f>[2]!Tabla1[[#This Row],[2.1]]</f>
        <v>0 F</v>
      </c>
      <c r="S8" s="39" t="str">
        <f>[2]!Tabla1[[#This Row],[2.2]]</f>
        <v>1 P</v>
      </c>
      <c r="T8" s="39" t="str">
        <f>[2]!Tabla1[[#This Row],[2.3]]</f>
        <v>1 P</v>
      </c>
      <c r="U8" s="39" t="str">
        <f>[2]!Tabla1[[#This Row],[2.4]]</f>
        <v>0 F</v>
      </c>
      <c r="V8" s="39" t="str">
        <f>[2]!Tabla1[[#This Row],[2.5]]</f>
        <v>0 F</v>
      </c>
      <c r="W8" s="39" t="str">
        <f>[2]!Tabla1[[#This Row],[2.6]]</f>
        <v>1 P</v>
      </c>
      <c r="X8">
        <f>[2]!Tabla1[[#This Row],[Fallos Nivel A]]</f>
        <v>4</v>
      </c>
      <c r="Y8">
        <f>[2]!Tabla1[[#This Row],[Fallos Nivel AA]]</f>
        <v>3</v>
      </c>
      <c r="Z8" s="1" t="str">
        <f>[2]!Tabla1[[#This Row],[Nivel de adecuación estimado original]]</f>
        <v>No Válido</v>
      </c>
      <c r="AA8" s="1" t="str">
        <f>[2]!Tabla1[[#This Row],[Check original]]</f>
        <v>No válido</v>
      </c>
      <c r="AB8" s="1" t="str">
        <f>[2]!Tabla1[[#This Row],[Nivel de adecuación estimado sin 1.7 y 2.1]]</f>
        <v>No válido</v>
      </c>
    </row>
    <row r="9" spans="1:28" x14ac:dyDescent="0.25">
      <c r="A9" t="str">
        <f>[2]!Tabla1[[#This Row],[Archivo]]</f>
        <v>4.0 GrPRI 1-37</v>
      </c>
      <c r="B9" s="1" t="str">
        <f>[2]!Tabla1[[#This Row],[Página]]</f>
        <v>Página 8</v>
      </c>
      <c r="C9" t="str">
        <f>[2]!Tabla1[[#This Row],[URL]]</f>
        <v>https://agenciaeventosmadrid.com</v>
      </c>
      <c r="D9" s="39" t="str">
        <f>[2]!Tabla1[[#This Row],[1.1]]</f>
        <v>0 F</v>
      </c>
      <c r="E9" s="39" t="str">
        <f>[2]!Tabla1[[#This Row],[1.2]]</f>
        <v>0 F</v>
      </c>
      <c r="F9" s="39" t="str">
        <f>[2]!Tabla1[[#This Row],[1.3]]</f>
        <v>1 P</v>
      </c>
      <c r="G9" s="39" t="str">
        <f>[2]!Tabla1[[#This Row],[1.4]]</f>
        <v>- P</v>
      </c>
      <c r="H9" s="39" t="str">
        <f>[2]!Tabla1[[#This Row],[1.5]]</f>
        <v>0 F</v>
      </c>
      <c r="I9" s="39" t="str">
        <f>[2]!Tabla1[[#This Row],[1.6]]</f>
        <v>0 F</v>
      </c>
      <c r="J9" s="39" t="str">
        <f>[2]!Tabla1[[#This Row],[1.7]]</f>
        <v>0 F</v>
      </c>
      <c r="K9" s="39" t="str">
        <f>[2]!Tabla1[[#This Row],[1.8]]</f>
        <v>1 P</v>
      </c>
      <c r="L9" s="39" t="str">
        <f>[2]!Tabla1[[#This Row],[1.9]]</f>
        <v>0 F</v>
      </c>
      <c r="M9" s="39" t="str">
        <f>[2]!Tabla1[[#This Row],[1.10]]</f>
        <v>1 P</v>
      </c>
      <c r="N9" s="39" t="str">
        <f>[2]!Tabla1[[#This Row],[1.11]]</f>
        <v>1 P</v>
      </c>
      <c r="O9" s="39" t="str">
        <f>[2]!Tabla1[[#This Row],[1.12]]</f>
        <v>0 F</v>
      </c>
      <c r="P9" s="39" t="str">
        <f>[2]!Tabla1[[#This Row],[1.13]]</f>
        <v>1 P</v>
      </c>
      <c r="Q9" s="39" t="str">
        <f>[2]!Tabla1[[#This Row],[1.14]]</f>
        <v>0 F</v>
      </c>
      <c r="R9" s="39" t="str">
        <f>[2]!Tabla1[[#This Row],[2.1]]</f>
        <v>0 F</v>
      </c>
      <c r="S9" s="39" t="str">
        <f>[2]!Tabla1[[#This Row],[2.2]]</f>
        <v>0 F</v>
      </c>
      <c r="T9" s="39" t="str">
        <f>[2]!Tabla1[[#This Row],[2.3]]</f>
        <v>0 F</v>
      </c>
      <c r="U9" s="39" t="str">
        <f>[2]!Tabla1[[#This Row],[2.4]]</f>
        <v>0 F</v>
      </c>
      <c r="V9" s="39" t="str">
        <f>[2]!Tabla1[[#This Row],[2.5]]</f>
        <v>0 F</v>
      </c>
      <c r="W9" s="39" t="str">
        <f>[2]!Tabla1[[#This Row],[2.6]]</f>
        <v>1 P</v>
      </c>
      <c r="X9">
        <f>[2]!Tabla1[[#This Row],[Fallos Nivel A]]</f>
        <v>8</v>
      </c>
      <c r="Y9">
        <f>[2]!Tabla1[[#This Row],[Fallos Nivel AA]]</f>
        <v>5</v>
      </c>
      <c r="Z9" s="1" t="str">
        <f>[2]!Tabla1[[#This Row],[Nivel de adecuación estimado original]]</f>
        <v>No Válido</v>
      </c>
      <c r="AA9" s="1" t="str">
        <f>[2]!Tabla1[[#This Row],[Check original]]</f>
        <v>No válido</v>
      </c>
      <c r="AB9" s="1" t="str">
        <f>[2]!Tabla1[[#This Row],[Nivel de adecuación estimado sin 1.7 y 2.1]]</f>
        <v>No válido</v>
      </c>
    </row>
    <row r="10" spans="1:28" x14ac:dyDescent="0.25">
      <c r="A10" t="str">
        <f>[2]!Tabla1[[#This Row],[Archivo]]</f>
        <v>4.0 GrPRI 1-37</v>
      </c>
      <c r="B10" s="1" t="str">
        <f>[2]!Tabla1[[#This Row],[Página]]</f>
        <v>Página 9</v>
      </c>
      <c r="C10" t="str">
        <f>[2]!Tabla1[[#This Row],[URL]]</f>
        <v>https://martimoreno.com</v>
      </c>
      <c r="D10" s="39" t="str">
        <f>[2]!Tabla1[[#This Row],[1.1]]</f>
        <v>1 P</v>
      </c>
      <c r="E10" s="39" t="str">
        <f>[2]!Tabla1[[#This Row],[1.2]]</f>
        <v>1 P</v>
      </c>
      <c r="F10" s="39" t="str">
        <f>[2]!Tabla1[[#This Row],[1.3]]</f>
        <v>1 P</v>
      </c>
      <c r="G10" s="39" t="str">
        <f>[2]!Tabla1[[#This Row],[1.4]]</f>
        <v>- P</v>
      </c>
      <c r="H10" s="39" t="str">
        <f>[2]!Tabla1[[#This Row],[1.5]]</f>
        <v>0 F</v>
      </c>
      <c r="I10" s="39" t="str">
        <f>[2]!Tabla1[[#This Row],[1.6]]</f>
        <v>1 P</v>
      </c>
      <c r="J10" s="39" t="str">
        <f>[2]!Tabla1[[#This Row],[1.7]]</f>
        <v>0 F</v>
      </c>
      <c r="K10" s="39" t="str">
        <f>[2]!Tabla1[[#This Row],[1.8]]</f>
        <v>1 P</v>
      </c>
      <c r="L10" s="39" t="str">
        <f>[2]!Tabla1[[#This Row],[1.9]]</f>
        <v>1 P</v>
      </c>
      <c r="M10" s="39" t="str">
        <f>[2]!Tabla1[[#This Row],[1.10]]</f>
        <v>- P</v>
      </c>
      <c r="N10" s="39" t="str">
        <f>[2]!Tabla1[[#This Row],[1.11]]</f>
        <v>1 P</v>
      </c>
      <c r="O10" s="39" t="str">
        <f>[2]!Tabla1[[#This Row],[1.12]]</f>
        <v>1 P</v>
      </c>
      <c r="P10" s="39" t="str">
        <f>[2]!Tabla1[[#This Row],[1.13]]</f>
        <v>1 P</v>
      </c>
      <c r="Q10" s="39" t="str">
        <f>[2]!Tabla1[[#This Row],[1.14]]</f>
        <v>1 P</v>
      </c>
      <c r="R10" s="39" t="str">
        <f>[2]!Tabla1[[#This Row],[2.1]]</f>
        <v>0 F</v>
      </c>
      <c r="S10" s="39" t="str">
        <f>[2]!Tabla1[[#This Row],[2.2]]</f>
        <v>1 P</v>
      </c>
      <c r="T10" s="39" t="str">
        <f>[2]!Tabla1[[#This Row],[2.3]]</f>
        <v>1 P</v>
      </c>
      <c r="U10" s="39" t="str">
        <f>[2]!Tabla1[[#This Row],[2.4]]</f>
        <v>0 F</v>
      </c>
      <c r="V10" s="39" t="str">
        <f>[2]!Tabla1[[#This Row],[2.5]]</f>
        <v>1 P</v>
      </c>
      <c r="W10" s="39" t="str">
        <f>[2]!Tabla1[[#This Row],[2.6]]</f>
        <v>1 P</v>
      </c>
      <c r="X10">
        <f>[2]!Tabla1[[#This Row],[Fallos Nivel A]]</f>
        <v>2</v>
      </c>
      <c r="Y10">
        <f>[2]!Tabla1[[#This Row],[Fallos Nivel AA]]</f>
        <v>2</v>
      </c>
      <c r="Z10" s="1" t="str">
        <f>[2]!Tabla1[[#This Row],[Nivel de adecuación estimado original]]</f>
        <v>AA</v>
      </c>
      <c r="AA10" s="1" t="str">
        <f>[2]!Tabla1[[#This Row],[Check original]]</f>
        <v>AA</v>
      </c>
      <c r="AB10" s="1" t="str">
        <f>[2]!Tabla1[[#This Row],[Nivel de adecuación estimado sin 1.7 y 2.1]]</f>
        <v>AA</v>
      </c>
    </row>
    <row r="11" spans="1:28" x14ac:dyDescent="0.25">
      <c r="A11" t="str">
        <f>[2]!Tabla1[[#This Row],[Archivo]]</f>
        <v>4.0 GrPRI 1-37</v>
      </c>
      <c r="B11" s="1" t="str">
        <f>[2]!Tabla1[[#This Row],[Página]]</f>
        <v>Página 10</v>
      </c>
      <c r="C11" t="str">
        <f>[2]!Tabla1[[#This Row],[URL]]</f>
        <v>https://cafeenvena.com</v>
      </c>
      <c r="D11" s="39" t="str">
        <f>[2]!Tabla1[[#This Row],[1.1]]</f>
        <v>1 P</v>
      </c>
      <c r="E11" s="39" t="str">
        <f>[2]!Tabla1[[#This Row],[1.2]]</f>
        <v>0 F</v>
      </c>
      <c r="F11" s="39" t="str">
        <f>[2]!Tabla1[[#This Row],[1.3]]</f>
        <v>0 F</v>
      </c>
      <c r="G11" s="39" t="str">
        <f>[2]!Tabla1[[#This Row],[1.4]]</f>
        <v>- P</v>
      </c>
      <c r="H11" s="39" t="str">
        <f>[2]!Tabla1[[#This Row],[1.5]]</f>
        <v>0 F</v>
      </c>
      <c r="I11" s="39" t="str">
        <f>[2]!Tabla1[[#This Row],[1.6]]</f>
        <v>0 F</v>
      </c>
      <c r="J11" s="39" t="str">
        <f>[2]!Tabla1[[#This Row],[1.7]]</f>
        <v>0 F</v>
      </c>
      <c r="K11" s="39" t="str">
        <f>[2]!Tabla1[[#This Row],[1.8]]</f>
        <v>0 F</v>
      </c>
      <c r="L11" s="39" t="str">
        <f>[2]!Tabla1[[#This Row],[1.9]]</f>
        <v>1 P</v>
      </c>
      <c r="M11" s="39" t="str">
        <f>[2]!Tabla1[[#This Row],[1.10]]</f>
        <v>1 P</v>
      </c>
      <c r="N11" s="39" t="str">
        <f>[2]!Tabla1[[#This Row],[1.11]]</f>
        <v>1 P</v>
      </c>
      <c r="O11" s="39" t="str">
        <f>[2]!Tabla1[[#This Row],[1.12]]</f>
        <v>0 F</v>
      </c>
      <c r="P11" s="39" t="str">
        <f>[2]!Tabla1[[#This Row],[1.13]]</f>
        <v>1 P</v>
      </c>
      <c r="Q11" s="39" t="str">
        <f>[2]!Tabla1[[#This Row],[1.14]]</f>
        <v>0 F</v>
      </c>
      <c r="R11" s="39" t="str">
        <f>[2]!Tabla1[[#This Row],[2.1]]</f>
        <v>0 F</v>
      </c>
      <c r="S11" s="39" t="str">
        <f>[2]!Tabla1[[#This Row],[2.2]]</f>
        <v>0 F</v>
      </c>
      <c r="T11" s="39" t="str">
        <f>[2]!Tabla1[[#This Row],[2.3]]</f>
        <v>1 P</v>
      </c>
      <c r="U11" s="39" t="str">
        <f>[2]!Tabla1[[#This Row],[2.4]]</f>
        <v>1 P</v>
      </c>
      <c r="V11" s="39" t="str">
        <f>[2]!Tabla1[[#This Row],[2.5]]</f>
        <v>0 F</v>
      </c>
      <c r="W11" s="39" t="str">
        <f>[2]!Tabla1[[#This Row],[2.6]]</f>
        <v>1 P</v>
      </c>
      <c r="X11">
        <f>[2]!Tabla1[[#This Row],[Fallos Nivel A]]</f>
        <v>8</v>
      </c>
      <c r="Y11">
        <f>[2]!Tabla1[[#This Row],[Fallos Nivel AA]]</f>
        <v>3</v>
      </c>
      <c r="Z11" s="1" t="str">
        <f>[2]!Tabla1[[#This Row],[Nivel de adecuación estimado original]]</f>
        <v>No Válido</v>
      </c>
      <c r="AA11" s="1" t="str">
        <f>[2]!Tabla1[[#This Row],[Check original]]</f>
        <v>No válido</v>
      </c>
      <c r="AB11" s="1" t="str">
        <f>[2]!Tabla1[[#This Row],[Nivel de adecuación estimado sin 1.7 y 2.1]]</f>
        <v>No válido</v>
      </c>
    </row>
    <row r="12" spans="1:28" x14ac:dyDescent="0.25">
      <c r="A12" t="str">
        <f>[2]!Tabla1[[#This Row],[Archivo]]</f>
        <v>4.0 GrPRI 1-37</v>
      </c>
      <c r="B12" s="1" t="str">
        <f>[2]!Tabla1[[#This Row],[Página]]</f>
        <v>Página 11</v>
      </c>
      <c r="C12" t="str">
        <f>[2]!Tabla1[[#This Row],[URL]]</f>
        <v>https://ntcbeltec.com</v>
      </c>
      <c r="D12" s="39" t="str">
        <f>[2]!Tabla1[[#This Row],[1.1]]</f>
        <v>1 P</v>
      </c>
      <c r="E12" s="39" t="str">
        <f>[2]!Tabla1[[#This Row],[1.2]]</f>
        <v>0 F</v>
      </c>
      <c r="F12" s="39" t="str">
        <f>[2]!Tabla1[[#This Row],[1.3]]</f>
        <v>1 P</v>
      </c>
      <c r="G12" s="39" t="str">
        <f>[2]!Tabla1[[#This Row],[1.4]]</f>
        <v>- P</v>
      </c>
      <c r="H12" s="39" t="str">
        <f>[2]!Tabla1[[#This Row],[1.5]]</f>
        <v>0 F</v>
      </c>
      <c r="I12" s="39" t="str">
        <f>[2]!Tabla1[[#This Row],[1.6]]</f>
        <v>0 F</v>
      </c>
      <c r="J12" s="39" t="str">
        <f>[2]!Tabla1[[#This Row],[1.7]]</f>
        <v>0 F</v>
      </c>
      <c r="K12" s="39" t="str">
        <f>[2]!Tabla1[[#This Row],[1.8]]</f>
        <v>0 F</v>
      </c>
      <c r="L12" s="39" t="str">
        <f>[2]!Tabla1[[#This Row],[1.9]]</f>
        <v>1 P</v>
      </c>
      <c r="M12" s="39" t="str">
        <f>[2]!Tabla1[[#This Row],[1.10]]</f>
        <v>- P</v>
      </c>
      <c r="N12" s="39" t="str">
        <f>[2]!Tabla1[[#This Row],[1.11]]</f>
        <v>0 F</v>
      </c>
      <c r="O12" s="39" t="str">
        <f>[2]!Tabla1[[#This Row],[1.12]]</f>
        <v>0 F</v>
      </c>
      <c r="P12" s="39" t="str">
        <f>[2]!Tabla1[[#This Row],[1.13]]</f>
        <v>1 P</v>
      </c>
      <c r="Q12" s="39" t="str">
        <f>[2]!Tabla1[[#This Row],[1.14]]</f>
        <v>0 F</v>
      </c>
      <c r="R12" s="39" t="str">
        <f>[2]!Tabla1[[#This Row],[2.1]]</f>
        <v>0 F</v>
      </c>
      <c r="S12" s="39" t="str">
        <f>[2]!Tabla1[[#This Row],[2.2]]</f>
        <v>1 P</v>
      </c>
      <c r="T12" s="39" t="str">
        <f>[2]!Tabla1[[#This Row],[2.3]]</f>
        <v>1 P</v>
      </c>
      <c r="U12" s="39" t="str">
        <f>[2]!Tabla1[[#This Row],[2.4]]</f>
        <v>0 F</v>
      </c>
      <c r="V12" s="39" t="str">
        <f>[2]!Tabla1[[#This Row],[2.5]]</f>
        <v>1 P</v>
      </c>
      <c r="W12" s="39" t="str">
        <f>[2]!Tabla1[[#This Row],[2.6]]</f>
        <v>1 P</v>
      </c>
      <c r="X12">
        <f>[2]!Tabla1[[#This Row],[Fallos Nivel A]]</f>
        <v>8</v>
      </c>
      <c r="Y12">
        <f>[2]!Tabla1[[#This Row],[Fallos Nivel AA]]</f>
        <v>2</v>
      </c>
      <c r="Z12" s="1" t="str">
        <f>[2]!Tabla1[[#This Row],[Nivel de adecuación estimado original]]</f>
        <v>No Válido</v>
      </c>
      <c r="AA12" s="1" t="str">
        <f>[2]!Tabla1[[#This Row],[Check original]]</f>
        <v>No válido</v>
      </c>
      <c r="AB12" s="1" t="str">
        <f>[2]!Tabla1[[#This Row],[Nivel de adecuación estimado sin 1.7 y 2.1]]</f>
        <v>No válido</v>
      </c>
    </row>
    <row r="13" spans="1:28" x14ac:dyDescent="0.25">
      <c r="A13" t="str">
        <f>[2]!Tabla1[[#This Row],[Archivo]]</f>
        <v>4.0 GrPRI 1-37</v>
      </c>
      <c r="B13" s="1" t="str">
        <f>[2]!Tabla1[[#This Row],[Página]]</f>
        <v>Página 12</v>
      </c>
      <c r="C13" t="str">
        <f>[2]!Tabla1[[#This Row],[URL]]</f>
        <v>https://estrategiaurbanavlc2030.es</v>
      </c>
      <c r="D13" s="39" t="str">
        <f>[2]!Tabla1[[#This Row],[1.1]]</f>
        <v>0 F</v>
      </c>
      <c r="E13" s="39" t="str">
        <f>[2]!Tabla1[[#This Row],[1.2]]</f>
        <v>0 F</v>
      </c>
      <c r="F13" s="39" t="str">
        <f>[2]!Tabla1[[#This Row],[1.3]]</f>
        <v>1 P</v>
      </c>
      <c r="G13" s="39" t="str">
        <f>[2]!Tabla1[[#This Row],[1.4]]</f>
        <v>- P</v>
      </c>
      <c r="H13" s="39" t="str">
        <f>[2]!Tabla1[[#This Row],[1.5]]</f>
        <v>1 P</v>
      </c>
      <c r="I13" s="39" t="str">
        <f>[2]!Tabla1[[#This Row],[1.6]]</f>
        <v>0 F</v>
      </c>
      <c r="J13" s="39" t="str">
        <f>[2]!Tabla1[[#This Row],[1.7]]</f>
        <v>0 F</v>
      </c>
      <c r="K13" s="39" t="str">
        <f>[2]!Tabla1[[#This Row],[1.8]]</f>
        <v>1 P</v>
      </c>
      <c r="L13" s="39" t="str">
        <f>[2]!Tabla1[[#This Row],[1.9]]</f>
        <v>1 P</v>
      </c>
      <c r="M13" s="39" t="str">
        <f>[2]!Tabla1[[#This Row],[1.10]]</f>
        <v>- P</v>
      </c>
      <c r="N13" s="39" t="str">
        <f>[2]!Tabla1[[#This Row],[1.11]]</f>
        <v>1 P</v>
      </c>
      <c r="O13" s="39" t="str">
        <f>[2]!Tabla1[[#This Row],[1.12]]</f>
        <v>0 F</v>
      </c>
      <c r="P13" s="39" t="str">
        <f>[2]!Tabla1[[#This Row],[1.13]]</f>
        <v>1 P</v>
      </c>
      <c r="Q13" s="39" t="str">
        <f>[2]!Tabla1[[#This Row],[1.14]]</f>
        <v>1 P</v>
      </c>
      <c r="R13" s="39" t="str">
        <f>[2]!Tabla1[[#This Row],[2.1]]</f>
        <v>0 F</v>
      </c>
      <c r="S13" s="39" t="str">
        <f>[2]!Tabla1[[#This Row],[2.2]]</f>
        <v>1 P</v>
      </c>
      <c r="T13" s="39" t="str">
        <f>[2]!Tabla1[[#This Row],[2.3]]</f>
        <v>0 F</v>
      </c>
      <c r="U13" s="39" t="str">
        <f>[2]!Tabla1[[#This Row],[2.4]]</f>
        <v>0 F</v>
      </c>
      <c r="V13" s="39" t="str">
        <f>[2]!Tabla1[[#This Row],[2.5]]</f>
        <v>0 F</v>
      </c>
      <c r="W13" s="39" t="str">
        <f>[2]!Tabla1[[#This Row],[2.6]]</f>
        <v>1 P</v>
      </c>
      <c r="X13">
        <f>[2]!Tabla1[[#This Row],[Fallos Nivel A]]</f>
        <v>5</v>
      </c>
      <c r="Y13">
        <f>[2]!Tabla1[[#This Row],[Fallos Nivel AA]]</f>
        <v>4</v>
      </c>
      <c r="Z13" s="1" t="str">
        <f>[2]!Tabla1[[#This Row],[Nivel de adecuación estimado original]]</f>
        <v>No Válido</v>
      </c>
      <c r="AA13" s="1" t="str">
        <f>[2]!Tabla1[[#This Row],[Check original]]</f>
        <v>No válido</v>
      </c>
      <c r="AB13" s="1" t="str">
        <f>[2]!Tabla1[[#This Row],[Nivel de adecuación estimado sin 1.7 y 2.1]]</f>
        <v>No válido</v>
      </c>
    </row>
    <row r="14" spans="1:28" x14ac:dyDescent="0.25">
      <c r="A14" t="str">
        <f>[2]!Tabla1[[#This Row],[Archivo]]</f>
        <v>4.0 GrPRI 1-37</v>
      </c>
      <c r="B14" s="1" t="str">
        <f>[2]!Tabla1[[#This Row],[Página]]</f>
        <v>Página 13</v>
      </c>
      <c r="C14" t="str">
        <f>[2]!Tabla1[[#This Row],[URL]]</f>
        <v>https://casimirocanonico.com</v>
      </c>
      <c r="D14" s="39" t="str">
        <f>[2]!Tabla1[[#This Row],[1.1]]</f>
        <v>0 F</v>
      </c>
      <c r="E14" s="39" t="str">
        <f>[2]!Tabla1[[#This Row],[1.2]]</f>
        <v>0 F</v>
      </c>
      <c r="F14" s="39" t="str">
        <f>[2]!Tabla1[[#This Row],[1.3]]</f>
        <v>0 F</v>
      </c>
      <c r="G14" s="39" t="str">
        <f>[2]!Tabla1[[#This Row],[1.4]]</f>
        <v>- P</v>
      </c>
      <c r="H14" s="39" t="str">
        <f>[2]!Tabla1[[#This Row],[1.5]]</f>
        <v>0 F</v>
      </c>
      <c r="I14" s="39" t="str">
        <f>[2]!Tabla1[[#This Row],[1.6]]</f>
        <v>0 F</v>
      </c>
      <c r="J14" s="39" t="str">
        <f>[2]!Tabla1[[#This Row],[1.7]]</f>
        <v>0 F</v>
      </c>
      <c r="K14" s="39" t="str">
        <f>[2]!Tabla1[[#This Row],[1.8]]</f>
        <v>1 P</v>
      </c>
      <c r="L14" s="39" t="str">
        <f>[2]!Tabla1[[#This Row],[1.9]]</f>
        <v>1 P</v>
      </c>
      <c r="M14" s="39" t="str">
        <f>[2]!Tabla1[[#This Row],[1.10]]</f>
        <v>1 P</v>
      </c>
      <c r="N14" s="39" t="str">
        <f>[2]!Tabla1[[#This Row],[1.11]]</f>
        <v>1 P</v>
      </c>
      <c r="O14" s="39" t="str">
        <f>[2]!Tabla1[[#This Row],[1.12]]</f>
        <v>1 P</v>
      </c>
      <c r="P14" s="39" t="str">
        <f>[2]!Tabla1[[#This Row],[1.13]]</f>
        <v>1 P</v>
      </c>
      <c r="Q14" s="39" t="str">
        <f>[2]!Tabla1[[#This Row],[1.14]]</f>
        <v>0 F</v>
      </c>
      <c r="R14" s="39" t="str">
        <f>[2]!Tabla1[[#This Row],[2.1]]</f>
        <v>0 F</v>
      </c>
      <c r="S14" s="39" t="str">
        <f>[2]!Tabla1[[#This Row],[2.2]]</f>
        <v>1 P</v>
      </c>
      <c r="T14" s="39" t="str">
        <f>[2]!Tabla1[[#This Row],[2.3]]</f>
        <v>0 F</v>
      </c>
      <c r="U14" s="39" t="str">
        <f>[2]!Tabla1[[#This Row],[2.4]]</f>
        <v>0 F</v>
      </c>
      <c r="V14" s="39" t="str">
        <f>[2]!Tabla1[[#This Row],[2.5]]</f>
        <v>0 F</v>
      </c>
      <c r="W14" s="39" t="str">
        <f>[2]!Tabla1[[#This Row],[2.6]]</f>
        <v>1 P</v>
      </c>
      <c r="X14">
        <f>[2]!Tabla1[[#This Row],[Fallos Nivel A]]</f>
        <v>7</v>
      </c>
      <c r="Y14">
        <f>[2]!Tabla1[[#This Row],[Fallos Nivel AA]]</f>
        <v>4</v>
      </c>
      <c r="Z14" s="1" t="str">
        <f>[2]!Tabla1[[#This Row],[Nivel de adecuación estimado original]]</f>
        <v>No Válido</v>
      </c>
      <c r="AA14" s="1" t="str">
        <f>[2]!Tabla1[[#This Row],[Check original]]</f>
        <v>No válido</v>
      </c>
      <c r="AB14" s="1" t="str">
        <f>[2]!Tabla1[[#This Row],[Nivel de adecuación estimado sin 1.7 y 2.1]]</f>
        <v>No válido</v>
      </c>
    </row>
    <row r="15" spans="1:28" x14ac:dyDescent="0.25">
      <c r="A15" t="str">
        <f>[2]!Tabla1[[#This Row],[Archivo]]</f>
        <v>4.0 GrPRI 1-37</v>
      </c>
      <c r="B15" s="1" t="str">
        <f>[2]!Tabla1[[#This Row],[Página]]</f>
        <v>Página 14</v>
      </c>
      <c r="C15" t="str">
        <f>[2]!Tabla1[[#This Row],[URL]]</f>
        <v>https://www.intertoro.com</v>
      </c>
      <c r="D15" s="39" t="str">
        <f>[2]!Tabla1[[#This Row],[1.1]]</f>
        <v>1 P</v>
      </c>
      <c r="E15" s="39" t="str">
        <f>[2]!Tabla1[[#This Row],[1.2]]</f>
        <v>0 F</v>
      </c>
      <c r="F15" s="39" t="str">
        <f>[2]!Tabla1[[#This Row],[1.3]]</f>
        <v>1 P</v>
      </c>
      <c r="G15" s="39" t="str">
        <f>[2]!Tabla1[[#This Row],[1.4]]</f>
        <v>- P</v>
      </c>
      <c r="H15" s="39" t="str">
        <f>[2]!Tabla1[[#This Row],[1.5]]</f>
        <v>0 F</v>
      </c>
      <c r="I15" s="39" t="str">
        <f>[2]!Tabla1[[#This Row],[1.6]]</f>
        <v>1 P</v>
      </c>
      <c r="J15" s="39" t="str">
        <f>[2]!Tabla1[[#This Row],[1.7]]</f>
        <v>0 F</v>
      </c>
      <c r="K15" s="39" t="str">
        <f>[2]!Tabla1[[#This Row],[1.8]]</f>
        <v>1 P</v>
      </c>
      <c r="L15" s="39" t="str">
        <f>[2]!Tabla1[[#This Row],[1.9]]</f>
        <v>1 P</v>
      </c>
      <c r="M15" s="39" t="str">
        <f>[2]!Tabla1[[#This Row],[1.10]]</f>
        <v>- P</v>
      </c>
      <c r="N15" s="39" t="str">
        <f>[2]!Tabla1[[#This Row],[1.11]]</f>
        <v>1 P</v>
      </c>
      <c r="O15" s="39" t="str">
        <f>[2]!Tabla1[[#This Row],[1.12]]</f>
        <v>0 F</v>
      </c>
      <c r="P15" s="39" t="str">
        <f>[2]!Tabla1[[#This Row],[1.13]]</f>
        <v>1 P</v>
      </c>
      <c r="Q15" s="39" t="str">
        <f>[2]!Tabla1[[#This Row],[1.14]]</f>
        <v>0 F</v>
      </c>
      <c r="R15" s="39" t="str">
        <f>[2]!Tabla1[[#This Row],[2.1]]</f>
        <v>0 F</v>
      </c>
      <c r="S15" s="39" t="str">
        <f>[2]!Tabla1[[#This Row],[2.2]]</f>
        <v>1 P</v>
      </c>
      <c r="T15" s="39" t="str">
        <f>[2]!Tabla1[[#This Row],[2.3]]</f>
        <v>1 P</v>
      </c>
      <c r="U15" s="39" t="str">
        <f>[2]!Tabla1[[#This Row],[2.4]]</f>
        <v>0 F</v>
      </c>
      <c r="V15" s="39" t="str">
        <f>[2]!Tabla1[[#This Row],[2.5]]</f>
        <v>1 P</v>
      </c>
      <c r="W15" s="39" t="str">
        <f>[2]!Tabla1[[#This Row],[2.6]]</f>
        <v>1 P</v>
      </c>
      <c r="X15">
        <f>[2]!Tabla1[[#This Row],[Fallos Nivel A]]</f>
        <v>5</v>
      </c>
      <c r="Y15">
        <f>[2]!Tabla1[[#This Row],[Fallos Nivel AA]]</f>
        <v>2</v>
      </c>
      <c r="Z15" s="1" t="str">
        <f>[2]!Tabla1[[#This Row],[Nivel de adecuación estimado original]]</f>
        <v>No Válido</v>
      </c>
      <c r="AA15" s="1" t="str">
        <f>[2]!Tabla1[[#This Row],[Check original]]</f>
        <v>No válido</v>
      </c>
      <c r="AB15" s="1" t="str">
        <f>[2]!Tabla1[[#This Row],[Nivel de adecuación estimado sin 1.7 y 2.1]]</f>
        <v>No válido</v>
      </c>
    </row>
    <row r="16" spans="1:28" x14ac:dyDescent="0.25">
      <c r="A16" t="str">
        <f>[2]!Tabla1[[#This Row],[Archivo]]</f>
        <v>4.0 GrPRI 1-37</v>
      </c>
      <c r="B16" s="1" t="str">
        <f>[2]!Tabla1[[#This Row],[Página]]</f>
        <v>Página 15</v>
      </c>
      <c r="C16" t="str">
        <f>[2]!Tabla1[[#This Row],[URL]]</f>
        <v>https://olivarerahinojosa.com</v>
      </c>
      <c r="D16" s="39" t="str">
        <f>[2]!Tabla1[[#This Row],[1.1]]</f>
        <v>1 P</v>
      </c>
      <c r="E16" s="39" t="str">
        <f>[2]!Tabla1[[#This Row],[1.2]]</f>
        <v>1 P</v>
      </c>
      <c r="F16" s="39" t="str">
        <f>[2]!Tabla1[[#This Row],[1.3]]</f>
        <v>1 P</v>
      </c>
      <c r="G16" s="39" t="str">
        <f>[2]!Tabla1[[#This Row],[1.4]]</f>
        <v>- P</v>
      </c>
      <c r="H16" s="39" t="str">
        <f>[2]!Tabla1[[#This Row],[1.5]]</f>
        <v>0 F</v>
      </c>
      <c r="I16" s="39" t="str">
        <f>[2]!Tabla1[[#This Row],[1.6]]</f>
        <v>1 P</v>
      </c>
      <c r="J16" s="39" t="str">
        <f>[2]!Tabla1[[#This Row],[1.7]]</f>
        <v>0 F</v>
      </c>
      <c r="K16" s="39" t="str">
        <f>[2]!Tabla1[[#This Row],[1.8]]</f>
        <v>1 P</v>
      </c>
      <c r="L16" s="39" t="str">
        <f>[2]!Tabla1[[#This Row],[1.9]]</f>
        <v>1 P</v>
      </c>
      <c r="M16" s="39" t="str">
        <f>[2]!Tabla1[[#This Row],[1.10]]</f>
        <v>- P</v>
      </c>
      <c r="N16" s="39" t="str">
        <f>[2]!Tabla1[[#This Row],[1.11]]</f>
        <v>1 P</v>
      </c>
      <c r="O16" s="39" t="str">
        <f>[2]!Tabla1[[#This Row],[1.12]]</f>
        <v>1 P</v>
      </c>
      <c r="P16" s="39" t="str">
        <f>[2]!Tabla1[[#This Row],[1.13]]</f>
        <v>1 P</v>
      </c>
      <c r="Q16" s="39" t="str">
        <f>[2]!Tabla1[[#This Row],[1.14]]</f>
        <v>1 P</v>
      </c>
      <c r="R16" s="39" t="str">
        <f>[2]!Tabla1[[#This Row],[2.1]]</f>
        <v>0 F</v>
      </c>
      <c r="S16" s="39" t="str">
        <f>[2]!Tabla1[[#This Row],[2.2]]</f>
        <v>1 P</v>
      </c>
      <c r="T16" s="39" t="str">
        <f>[2]!Tabla1[[#This Row],[2.3]]</f>
        <v>1 P</v>
      </c>
      <c r="U16" s="39" t="str">
        <f>[2]!Tabla1[[#This Row],[2.4]]</f>
        <v>0 F</v>
      </c>
      <c r="V16" s="39" t="str">
        <f>[2]!Tabla1[[#This Row],[2.5]]</f>
        <v>0 F</v>
      </c>
      <c r="W16" s="39" t="str">
        <f>[2]!Tabla1[[#This Row],[2.6]]</f>
        <v>1 P</v>
      </c>
      <c r="X16">
        <f>[2]!Tabla1[[#This Row],[Fallos Nivel A]]</f>
        <v>2</v>
      </c>
      <c r="Y16">
        <f>[2]!Tabla1[[#This Row],[Fallos Nivel AA]]</f>
        <v>3</v>
      </c>
      <c r="Z16" s="1" t="str">
        <f>[2]!Tabla1[[#This Row],[Nivel de adecuación estimado original]]</f>
        <v>A</v>
      </c>
      <c r="AA16" s="1" t="str">
        <f>[2]!Tabla1[[#This Row],[Check original]]</f>
        <v>A</v>
      </c>
      <c r="AB16" s="1" t="str">
        <f>[2]!Tabla1[[#This Row],[Nivel de adecuación estimado sin 1.7 y 2.1]]</f>
        <v>AA</v>
      </c>
    </row>
    <row r="17" spans="1:28" x14ac:dyDescent="0.25">
      <c r="A17" t="str">
        <f>[2]!Tabla1[[#This Row],[Archivo]]</f>
        <v>4.0 GrPRI 1-37</v>
      </c>
      <c r="B17" s="1" t="str">
        <f>[2]!Tabla1[[#This Row],[Página]]</f>
        <v>Página 16</v>
      </c>
      <c r="C17" t="str">
        <f>[2]!Tabla1[[#This Row],[URL]]</f>
        <v>https://dairemar.es</v>
      </c>
      <c r="D17" s="39" t="str">
        <f>[2]!Tabla1[[#This Row],[1.1]]</f>
        <v>0 F</v>
      </c>
      <c r="E17" s="39" t="str">
        <f>[2]!Tabla1[[#This Row],[1.2]]</f>
        <v>0 F</v>
      </c>
      <c r="F17" s="39" t="str">
        <f>[2]!Tabla1[[#This Row],[1.3]]</f>
        <v>1 P</v>
      </c>
      <c r="G17" s="39" t="str">
        <f>[2]!Tabla1[[#This Row],[1.4]]</f>
        <v>- P</v>
      </c>
      <c r="H17" s="39" t="str">
        <f>[2]!Tabla1[[#This Row],[1.5]]</f>
        <v>0 F</v>
      </c>
      <c r="I17" s="39" t="str">
        <f>[2]!Tabla1[[#This Row],[1.6]]</f>
        <v>0 F</v>
      </c>
      <c r="J17" s="39" t="str">
        <f>[2]!Tabla1[[#This Row],[1.7]]</f>
        <v>0 F</v>
      </c>
      <c r="K17" s="39" t="str">
        <f>[2]!Tabla1[[#This Row],[1.8]]</f>
        <v>1 P</v>
      </c>
      <c r="L17" s="39" t="str">
        <f>[2]!Tabla1[[#This Row],[1.9]]</f>
        <v>0 F</v>
      </c>
      <c r="M17" s="39" t="str">
        <f>[2]!Tabla1[[#This Row],[1.10]]</f>
        <v>1 P</v>
      </c>
      <c r="N17" s="39" t="str">
        <f>[2]!Tabla1[[#This Row],[1.11]]</f>
        <v>1 P</v>
      </c>
      <c r="O17" s="39" t="str">
        <f>[2]!Tabla1[[#This Row],[1.12]]</f>
        <v>0 F</v>
      </c>
      <c r="P17" s="39" t="str">
        <f>[2]!Tabla1[[#This Row],[1.13]]</f>
        <v>1 P</v>
      </c>
      <c r="Q17" s="39" t="str">
        <f>[2]!Tabla1[[#This Row],[1.14]]</f>
        <v>0 F</v>
      </c>
      <c r="R17" s="39" t="str">
        <f>[2]!Tabla1[[#This Row],[2.1]]</f>
        <v>0 F</v>
      </c>
      <c r="S17" s="39" t="str">
        <f>[2]!Tabla1[[#This Row],[2.2]]</f>
        <v>0 F</v>
      </c>
      <c r="T17" s="39" t="str">
        <f>[2]!Tabla1[[#This Row],[2.3]]</f>
        <v>1 P</v>
      </c>
      <c r="U17" s="39" t="str">
        <f>[2]!Tabla1[[#This Row],[2.4]]</f>
        <v>0 F</v>
      </c>
      <c r="V17" s="39" t="str">
        <f>[2]!Tabla1[[#This Row],[2.5]]</f>
        <v>0 F</v>
      </c>
      <c r="W17" s="39" t="str">
        <f>[2]!Tabla1[[#This Row],[2.6]]</f>
        <v>0 F</v>
      </c>
      <c r="X17">
        <f>[2]!Tabla1[[#This Row],[Fallos Nivel A]]</f>
        <v>8</v>
      </c>
      <c r="Y17">
        <f>[2]!Tabla1[[#This Row],[Fallos Nivel AA]]</f>
        <v>5</v>
      </c>
      <c r="Z17" s="1" t="str">
        <f>[2]!Tabla1[[#This Row],[Nivel de adecuación estimado original]]</f>
        <v>No Válido</v>
      </c>
      <c r="AA17" s="1" t="str">
        <f>[2]!Tabla1[[#This Row],[Check original]]</f>
        <v>No válido</v>
      </c>
      <c r="AB17" s="1" t="str">
        <f>[2]!Tabla1[[#This Row],[Nivel de adecuación estimado sin 1.7 y 2.1]]</f>
        <v>No válido</v>
      </c>
    </row>
    <row r="18" spans="1:28" x14ac:dyDescent="0.25">
      <c r="A18" t="str">
        <f>[2]!Tabla1[[#This Row],[Archivo]]</f>
        <v>4.0 GrPRI 1-37</v>
      </c>
      <c r="B18" s="1" t="str">
        <f>[2]!Tabla1[[#This Row],[Página]]</f>
        <v>Página 17</v>
      </c>
      <c r="C18" t="str">
        <f>[2]!Tabla1[[#This Row],[URL]]</f>
        <v>https://www.citypisos.com</v>
      </c>
      <c r="D18" s="39" t="str">
        <f>[2]!Tabla1[[#This Row],[1.1]]</f>
        <v>1 P</v>
      </c>
      <c r="E18" s="39" t="str">
        <f>[2]!Tabla1[[#This Row],[1.2]]</f>
        <v>0 F</v>
      </c>
      <c r="F18" s="39" t="str">
        <f>[2]!Tabla1[[#This Row],[1.3]]</f>
        <v>0 F</v>
      </c>
      <c r="G18" s="39" t="str">
        <f>[2]!Tabla1[[#This Row],[1.4]]</f>
        <v>- P</v>
      </c>
      <c r="H18" s="39" t="str">
        <f>[2]!Tabla1[[#This Row],[1.5]]</f>
        <v>1 P</v>
      </c>
      <c r="I18" s="39" t="str">
        <f>[2]!Tabla1[[#This Row],[1.6]]</f>
        <v>1 P</v>
      </c>
      <c r="J18" s="39" t="str">
        <f>[2]!Tabla1[[#This Row],[1.7]]</f>
        <v>0 F</v>
      </c>
      <c r="K18" s="39" t="str">
        <f>[2]!Tabla1[[#This Row],[1.8]]</f>
        <v>1 P</v>
      </c>
      <c r="L18" s="39" t="str">
        <f>[2]!Tabla1[[#This Row],[1.9]]</f>
        <v>0 F</v>
      </c>
      <c r="M18" s="39" t="str">
        <f>[2]!Tabla1[[#This Row],[1.10]]</f>
        <v>0 F</v>
      </c>
      <c r="N18" s="39" t="str">
        <f>[2]!Tabla1[[#This Row],[1.11]]</f>
        <v>1 P</v>
      </c>
      <c r="O18" s="39" t="str">
        <f>[2]!Tabla1[[#This Row],[1.12]]</f>
        <v>0 F</v>
      </c>
      <c r="P18" s="39" t="str">
        <f>[2]!Tabla1[[#This Row],[1.13]]</f>
        <v>1 P</v>
      </c>
      <c r="Q18" s="39" t="str">
        <f>[2]!Tabla1[[#This Row],[1.14]]</f>
        <v>0 F</v>
      </c>
      <c r="R18" s="39" t="str">
        <f>[2]!Tabla1[[#This Row],[2.1]]</f>
        <v>0 F</v>
      </c>
      <c r="S18" s="39" t="str">
        <f>[2]!Tabla1[[#This Row],[2.2]]</f>
        <v>0 F</v>
      </c>
      <c r="T18" s="39" t="str">
        <f>[2]!Tabla1[[#This Row],[2.3]]</f>
        <v>1 P</v>
      </c>
      <c r="U18" s="39" t="str">
        <f>[2]!Tabla1[[#This Row],[2.4]]</f>
        <v>1 P</v>
      </c>
      <c r="V18" s="39" t="str">
        <f>[2]!Tabla1[[#This Row],[2.5]]</f>
        <v>0 F</v>
      </c>
      <c r="W18" s="39" t="str">
        <f>[2]!Tabla1[[#This Row],[2.6]]</f>
        <v>1 P</v>
      </c>
      <c r="X18">
        <f>[2]!Tabla1[[#This Row],[Fallos Nivel A]]</f>
        <v>7</v>
      </c>
      <c r="Y18">
        <f>[2]!Tabla1[[#This Row],[Fallos Nivel AA]]</f>
        <v>3</v>
      </c>
      <c r="Z18" s="1" t="str">
        <f>[2]!Tabla1[[#This Row],[Nivel de adecuación estimado original]]</f>
        <v>No Válido</v>
      </c>
      <c r="AA18" s="1" t="str">
        <f>[2]!Tabla1[[#This Row],[Check original]]</f>
        <v>No válido</v>
      </c>
      <c r="AB18" s="1" t="str">
        <f>[2]!Tabla1[[#This Row],[Nivel de adecuación estimado sin 1.7 y 2.1]]</f>
        <v>No válido</v>
      </c>
    </row>
    <row r="19" spans="1:28" x14ac:dyDescent="0.25">
      <c r="A19" t="str">
        <f>[2]!Tabla1[[#This Row],[Archivo]]</f>
        <v>4.0 GrPRI 1-37</v>
      </c>
      <c r="B19" s="1" t="str">
        <f>[2]!Tabla1[[#This Row],[Página]]</f>
        <v>Página 18</v>
      </c>
      <c r="C19" t="str">
        <f>[2]!Tabla1[[#This Row],[URL]]</f>
        <v>https://soleygoita.com</v>
      </c>
      <c r="D19" s="39" t="str">
        <f>[2]!Tabla1[[#This Row],[1.1]]</f>
        <v>1 P</v>
      </c>
      <c r="E19" s="39" t="str">
        <f>[2]!Tabla1[[#This Row],[1.2]]</f>
        <v>0 F</v>
      </c>
      <c r="F19" s="39" t="str">
        <f>[2]!Tabla1[[#This Row],[1.3]]</f>
        <v>1 P</v>
      </c>
      <c r="G19" s="39" t="str">
        <f>[2]!Tabla1[[#This Row],[1.4]]</f>
        <v>- P</v>
      </c>
      <c r="H19" s="39" t="str">
        <f>[2]!Tabla1[[#This Row],[1.5]]</f>
        <v>0 F</v>
      </c>
      <c r="I19" s="39" t="str">
        <f>[2]!Tabla1[[#This Row],[1.6]]</f>
        <v>0 F</v>
      </c>
      <c r="J19" s="39" t="str">
        <f>[2]!Tabla1[[#This Row],[1.7]]</f>
        <v>0 F</v>
      </c>
      <c r="K19" s="39" t="str">
        <f>[2]!Tabla1[[#This Row],[1.8]]</f>
        <v>1 P</v>
      </c>
      <c r="L19" s="39" t="str">
        <f>[2]!Tabla1[[#This Row],[1.9]]</f>
        <v>1 P</v>
      </c>
      <c r="M19" s="39" t="str">
        <f>[2]!Tabla1[[#This Row],[1.10]]</f>
        <v>- P</v>
      </c>
      <c r="N19" s="39" t="str">
        <f>[2]!Tabla1[[#This Row],[1.11]]</f>
        <v>1 P</v>
      </c>
      <c r="O19" s="39" t="str">
        <f>[2]!Tabla1[[#This Row],[1.12]]</f>
        <v>0 F</v>
      </c>
      <c r="P19" s="39" t="str">
        <f>[2]!Tabla1[[#This Row],[1.13]]</f>
        <v>1 P</v>
      </c>
      <c r="Q19" s="39" t="str">
        <f>[2]!Tabla1[[#This Row],[1.14]]</f>
        <v>0 F</v>
      </c>
      <c r="R19" s="39" t="str">
        <f>[2]!Tabla1[[#This Row],[2.1]]</f>
        <v>0 F</v>
      </c>
      <c r="S19" s="39" t="str">
        <f>[2]!Tabla1[[#This Row],[2.2]]</f>
        <v>0 F</v>
      </c>
      <c r="T19" s="39" t="str">
        <f>[2]!Tabla1[[#This Row],[2.3]]</f>
        <v>1 P</v>
      </c>
      <c r="U19" s="39" t="str">
        <f>[2]!Tabla1[[#This Row],[2.4]]</f>
        <v>0 F</v>
      </c>
      <c r="V19" s="39" t="str">
        <f>[2]!Tabla1[[#This Row],[2.5]]</f>
        <v>0 F</v>
      </c>
      <c r="W19" s="39" t="str">
        <f>[2]!Tabla1[[#This Row],[2.6]]</f>
        <v>1 P</v>
      </c>
      <c r="X19">
        <f>[2]!Tabla1[[#This Row],[Fallos Nivel A]]</f>
        <v>6</v>
      </c>
      <c r="Y19">
        <f>[2]!Tabla1[[#This Row],[Fallos Nivel AA]]</f>
        <v>4</v>
      </c>
      <c r="Z19" s="1" t="str">
        <f>[2]!Tabla1[[#This Row],[Nivel de adecuación estimado original]]</f>
        <v>No Válido</v>
      </c>
      <c r="AA19" s="1" t="str">
        <f>[2]!Tabla1[[#This Row],[Check original]]</f>
        <v>No válido</v>
      </c>
      <c r="AB19" s="1" t="str">
        <f>[2]!Tabla1[[#This Row],[Nivel de adecuación estimado sin 1.7 y 2.1]]</f>
        <v>No válido</v>
      </c>
    </row>
    <row r="20" spans="1:28" x14ac:dyDescent="0.25">
      <c r="A20" t="str">
        <f>[2]!Tabla1[[#This Row],[Archivo]]</f>
        <v>4.0 GrPRI 1-37</v>
      </c>
      <c r="B20" s="1" t="str">
        <f>[2]!Tabla1[[#This Row],[Página]]</f>
        <v>Página 19</v>
      </c>
      <c r="C20" t="str">
        <f>[2]!Tabla1[[#This Row],[URL]]</f>
        <v>https://texlarenovables.com</v>
      </c>
      <c r="D20" s="39" t="str">
        <f>[2]!Tabla1[[#This Row],[1.1]]</f>
        <v>0 F</v>
      </c>
      <c r="E20" s="39" t="str">
        <f>[2]!Tabla1[[#This Row],[1.2]]</f>
        <v>0 F</v>
      </c>
      <c r="F20" s="39" t="str">
        <f>[2]!Tabla1[[#This Row],[1.3]]</f>
        <v>1 P</v>
      </c>
      <c r="G20" s="39" t="str">
        <f>[2]!Tabla1[[#This Row],[1.4]]</f>
        <v>- P</v>
      </c>
      <c r="H20" s="39" t="str">
        <f>[2]!Tabla1[[#This Row],[1.5]]</f>
        <v>1 P</v>
      </c>
      <c r="I20" s="39" t="str">
        <f>[2]!Tabla1[[#This Row],[1.6]]</f>
        <v>0 F</v>
      </c>
      <c r="J20" s="39" t="str">
        <f>[2]!Tabla1[[#This Row],[1.7]]</f>
        <v>0 F</v>
      </c>
      <c r="K20" s="39" t="str">
        <f>[2]!Tabla1[[#This Row],[1.8]]</f>
        <v>1 P</v>
      </c>
      <c r="L20" s="39" t="str">
        <f>[2]!Tabla1[[#This Row],[1.9]]</f>
        <v>- P</v>
      </c>
      <c r="M20" s="39" t="str">
        <f>[2]!Tabla1[[#This Row],[1.10]]</f>
        <v>- P</v>
      </c>
      <c r="N20" s="39" t="str">
        <f>[2]!Tabla1[[#This Row],[1.11]]</f>
        <v>1 P</v>
      </c>
      <c r="O20" s="39" t="str">
        <f>[2]!Tabla1[[#This Row],[1.12]]</f>
        <v>0 F</v>
      </c>
      <c r="P20" s="39" t="str">
        <f>[2]!Tabla1[[#This Row],[1.13]]</f>
        <v>1 P</v>
      </c>
      <c r="Q20" s="39" t="str">
        <f>[2]!Tabla1[[#This Row],[1.14]]</f>
        <v>0 F</v>
      </c>
      <c r="R20" s="39" t="str">
        <f>[2]!Tabla1[[#This Row],[2.1]]</f>
        <v>0 F</v>
      </c>
      <c r="S20" s="39" t="str">
        <f>[2]!Tabla1[[#This Row],[2.2]]</f>
        <v>0 F</v>
      </c>
      <c r="T20" s="39" t="str">
        <f>[2]!Tabla1[[#This Row],[2.3]]</f>
        <v>0 F</v>
      </c>
      <c r="U20" s="39" t="str">
        <f>[2]!Tabla1[[#This Row],[2.4]]</f>
        <v>0 F</v>
      </c>
      <c r="V20" s="39" t="str">
        <f>[2]!Tabla1[[#This Row],[2.5]]</f>
        <v>0 F</v>
      </c>
      <c r="W20" s="39" t="str">
        <f>[2]!Tabla1[[#This Row],[2.6]]</f>
        <v>0 F</v>
      </c>
      <c r="X20">
        <f>[2]!Tabla1[[#This Row],[Fallos Nivel A]]</f>
        <v>6</v>
      </c>
      <c r="Y20">
        <f>[2]!Tabla1[[#This Row],[Fallos Nivel AA]]</f>
        <v>6</v>
      </c>
      <c r="Z20" s="1" t="str">
        <f>[2]!Tabla1[[#This Row],[Nivel de adecuación estimado original]]</f>
        <v>No Válido</v>
      </c>
      <c r="AA20" s="1" t="str">
        <f>[2]!Tabla1[[#This Row],[Check original]]</f>
        <v>No válido</v>
      </c>
      <c r="AB20" s="1" t="str">
        <f>[2]!Tabla1[[#This Row],[Nivel de adecuación estimado sin 1.7 y 2.1]]</f>
        <v>No válido</v>
      </c>
    </row>
    <row r="21" spans="1:28" x14ac:dyDescent="0.25">
      <c r="A21" t="str">
        <f>[2]!Tabla1[[#This Row],[Archivo]]</f>
        <v>4.0 GrPRI 1-37</v>
      </c>
      <c r="B21" s="1" t="str">
        <f>[2]!Tabla1[[#This Row],[Página]]</f>
        <v>Página 20</v>
      </c>
      <c r="C21" t="str">
        <f>[2]!Tabla1[[#This Row],[URL]]</f>
        <v>https://elvillar-bilar.eus/index.php/es/</v>
      </c>
      <c r="D21" s="39" t="str">
        <f>[2]!Tabla1[[#This Row],[1.1]]</f>
        <v>0 F</v>
      </c>
      <c r="E21" s="39" t="str">
        <f>[2]!Tabla1[[#This Row],[1.2]]</f>
        <v>0 F</v>
      </c>
      <c r="F21" s="39" t="str">
        <f>[2]!Tabla1[[#This Row],[1.3]]</f>
        <v>0 F</v>
      </c>
      <c r="G21" s="39" t="str">
        <f>[2]!Tabla1[[#This Row],[1.4]]</f>
        <v>- P</v>
      </c>
      <c r="H21" s="39" t="str">
        <f>[2]!Tabla1[[#This Row],[1.5]]</f>
        <v>0 F</v>
      </c>
      <c r="I21" s="39" t="str">
        <f>[2]!Tabla1[[#This Row],[1.6]]</f>
        <v>1 P</v>
      </c>
      <c r="J21" s="39" t="str">
        <f>[2]!Tabla1[[#This Row],[1.7]]</f>
        <v>0 F</v>
      </c>
      <c r="K21" s="39" t="str">
        <f>[2]!Tabla1[[#This Row],[1.8]]</f>
        <v>1 P</v>
      </c>
      <c r="L21" s="39" t="str">
        <f>[2]!Tabla1[[#This Row],[1.9]]</f>
        <v>- P</v>
      </c>
      <c r="M21" s="39" t="str">
        <f>[2]!Tabla1[[#This Row],[1.10]]</f>
        <v>- P</v>
      </c>
      <c r="N21" s="39" t="str">
        <f>[2]!Tabla1[[#This Row],[1.11]]</f>
        <v>1 P</v>
      </c>
      <c r="O21" s="39" t="str">
        <f>[2]!Tabla1[[#This Row],[1.12]]</f>
        <v>0 F</v>
      </c>
      <c r="P21" s="39" t="str">
        <f>[2]!Tabla1[[#This Row],[1.13]]</f>
        <v>1 P</v>
      </c>
      <c r="Q21" s="39" t="str">
        <f>[2]!Tabla1[[#This Row],[1.14]]</f>
        <v>0 F</v>
      </c>
      <c r="R21" s="39" t="str">
        <f>[2]!Tabla1[[#This Row],[2.1]]</f>
        <v>0 F</v>
      </c>
      <c r="S21" s="39" t="str">
        <f>[2]!Tabla1[[#This Row],[2.2]]</f>
        <v>1 P</v>
      </c>
      <c r="T21" s="39" t="str">
        <f>[2]!Tabla1[[#This Row],[2.3]]</f>
        <v>1 P</v>
      </c>
      <c r="U21" s="39" t="str">
        <f>[2]!Tabla1[[#This Row],[2.4]]</f>
        <v>1 P</v>
      </c>
      <c r="V21" s="39" t="str">
        <f>[2]!Tabla1[[#This Row],[2.5]]</f>
        <v>1 P</v>
      </c>
      <c r="W21" s="39" t="str">
        <f>[2]!Tabla1[[#This Row],[2.6]]</f>
        <v>1 P</v>
      </c>
      <c r="X21">
        <f>[2]!Tabla1[[#This Row],[Fallos Nivel A]]</f>
        <v>7</v>
      </c>
      <c r="Y21">
        <f>[2]!Tabla1[[#This Row],[Fallos Nivel AA]]</f>
        <v>1</v>
      </c>
      <c r="Z21" s="1" t="str">
        <f>[2]!Tabla1[[#This Row],[Nivel de adecuación estimado original]]</f>
        <v>No Válido</v>
      </c>
      <c r="AA21" s="1" t="str">
        <f>[2]!Tabla1[[#This Row],[Check original]]</f>
        <v>No válido</v>
      </c>
      <c r="AB21" s="1" t="str">
        <f>[2]!Tabla1[[#This Row],[Nivel de adecuación estimado sin 1.7 y 2.1]]</f>
        <v>No válido</v>
      </c>
    </row>
    <row r="22" spans="1:28" x14ac:dyDescent="0.25">
      <c r="A22" t="str">
        <f>[2]!Tabla1[[#This Row],[Archivo]]</f>
        <v>4.0 GrPRI 1-37</v>
      </c>
      <c r="B22" s="1" t="str">
        <f>[2]!Tabla1[[#This Row],[Página]]</f>
        <v>Página 21</v>
      </c>
      <c r="C22" t="str">
        <f>[2]!Tabla1[[#This Row],[URL]]</f>
        <v>https://soldaduraspamplona.com</v>
      </c>
      <c r="D22" s="39" t="str">
        <f>[2]!Tabla1[[#This Row],[1.1]]</f>
        <v>0 F</v>
      </c>
      <c r="E22" s="39" t="str">
        <f>[2]!Tabla1[[#This Row],[1.2]]</f>
        <v>0 F</v>
      </c>
      <c r="F22" s="39" t="str">
        <f>[2]!Tabla1[[#This Row],[1.3]]</f>
        <v>1 P</v>
      </c>
      <c r="G22" s="39" t="str">
        <f>[2]!Tabla1[[#This Row],[1.4]]</f>
        <v>- P</v>
      </c>
      <c r="H22" s="39" t="str">
        <f>[2]!Tabla1[[#This Row],[1.5]]</f>
        <v>1 P</v>
      </c>
      <c r="I22" s="39" t="str">
        <f>[2]!Tabla1[[#This Row],[1.6]]</f>
        <v>0 F</v>
      </c>
      <c r="J22" s="39" t="str">
        <f>[2]!Tabla1[[#This Row],[1.7]]</f>
        <v>0 F</v>
      </c>
      <c r="K22" s="39" t="str">
        <f>[2]!Tabla1[[#This Row],[1.8]]</f>
        <v>1 P</v>
      </c>
      <c r="L22" s="39" t="str">
        <f>[2]!Tabla1[[#This Row],[1.9]]</f>
        <v>1 P</v>
      </c>
      <c r="M22" s="39" t="str">
        <f>[2]!Tabla1[[#This Row],[1.10]]</f>
        <v>- P</v>
      </c>
      <c r="N22" s="39" t="str">
        <f>[2]!Tabla1[[#This Row],[1.11]]</f>
        <v>1 P</v>
      </c>
      <c r="O22" s="39" t="str">
        <f>[2]!Tabla1[[#This Row],[1.12]]</f>
        <v>0 F</v>
      </c>
      <c r="P22" s="39" t="str">
        <f>[2]!Tabla1[[#This Row],[1.13]]</f>
        <v>1 P</v>
      </c>
      <c r="Q22" s="39" t="str">
        <f>[2]!Tabla1[[#This Row],[1.14]]</f>
        <v>1 P</v>
      </c>
      <c r="R22" s="39" t="str">
        <f>[2]!Tabla1[[#This Row],[2.1]]</f>
        <v>0 F</v>
      </c>
      <c r="S22" s="39" t="str">
        <f>[2]!Tabla1[[#This Row],[2.2]]</f>
        <v>1 P</v>
      </c>
      <c r="T22" s="39" t="str">
        <f>[2]!Tabla1[[#This Row],[2.3]]</f>
        <v>0 F</v>
      </c>
      <c r="U22" s="39" t="str">
        <f>[2]!Tabla1[[#This Row],[2.4]]</f>
        <v>0 F</v>
      </c>
      <c r="V22" s="39" t="str">
        <f>[2]!Tabla1[[#This Row],[2.5]]</f>
        <v>0 F</v>
      </c>
      <c r="W22" s="39" t="str">
        <f>[2]!Tabla1[[#This Row],[2.6]]</f>
        <v>1 P</v>
      </c>
      <c r="X22">
        <f>[2]!Tabla1[[#This Row],[Fallos Nivel A]]</f>
        <v>5</v>
      </c>
      <c r="Y22">
        <f>[2]!Tabla1[[#This Row],[Fallos Nivel AA]]</f>
        <v>4</v>
      </c>
      <c r="Z22" s="1" t="str">
        <f>[2]!Tabla1[[#This Row],[Nivel de adecuación estimado original]]</f>
        <v>No Válido</v>
      </c>
      <c r="AA22" s="1" t="str">
        <f>[2]!Tabla1[[#This Row],[Check original]]</f>
        <v>No válido</v>
      </c>
      <c r="AB22" s="1" t="str">
        <f>[2]!Tabla1[[#This Row],[Nivel de adecuación estimado sin 1.7 y 2.1]]</f>
        <v>No válido</v>
      </c>
    </row>
    <row r="23" spans="1:28" x14ac:dyDescent="0.25">
      <c r="A23" t="str">
        <f>[2]!Tabla1[[#This Row],[Archivo]]</f>
        <v>4.0 GrPRI 1-37</v>
      </c>
      <c r="B23" s="1" t="str">
        <f>[2]!Tabla1[[#This Row],[Página]]</f>
        <v>Página 22</v>
      </c>
      <c r="C23" t="str">
        <f>[2]!Tabla1[[#This Row],[URL]]</f>
        <v>https://todo-fiesta.com</v>
      </c>
      <c r="D23" s="39" t="str">
        <f>[2]!Tabla1[[#This Row],[1.1]]</f>
        <v>0 F</v>
      </c>
      <c r="E23" s="39" t="str">
        <f>[2]!Tabla1[[#This Row],[1.2]]</f>
        <v>0 F</v>
      </c>
      <c r="F23" s="39" t="str">
        <f>[2]!Tabla1[[#This Row],[1.3]]</f>
        <v>1 P</v>
      </c>
      <c r="G23" s="39" t="str">
        <f>[2]!Tabla1[[#This Row],[1.4]]</f>
        <v>- P</v>
      </c>
      <c r="H23" s="39" t="str">
        <f>[2]!Tabla1[[#This Row],[1.5]]</f>
        <v>1 P</v>
      </c>
      <c r="I23" s="39" t="str">
        <f>[2]!Tabla1[[#This Row],[1.6]]</f>
        <v>1 P</v>
      </c>
      <c r="J23" s="39" t="str">
        <f>[2]!Tabla1[[#This Row],[1.7]]</f>
        <v>0 F</v>
      </c>
      <c r="K23" s="39" t="str">
        <f>[2]!Tabla1[[#This Row],[1.8]]</f>
        <v>0 F</v>
      </c>
      <c r="L23" s="39" t="str">
        <f>[2]!Tabla1[[#This Row],[1.9]]</f>
        <v>0 F</v>
      </c>
      <c r="M23" s="39" t="str">
        <f>[2]!Tabla1[[#This Row],[1.10]]</f>
        <v>1 P</v>
      </c>
      <c r="N23" s="39" t="str">
        <f>[2]!Tabla1[[#This Row],[1.11]]</f>
        <v>1 P</v>
      </c>
      <c r="O23" s="39" t="str">
        <f>[2]!Tabla1[[#This Row],[1.12]]</f>
        <v>0 F</v>
      </c>
      <c r="P23" s="39" t="str">
        <f>[2]!Tabla1[[#This Row],[1.13]]</f>
        <v>1 P</v>
      </c>
      <c r="Q23" s="39" t="str">
        <f>[2]!Tabla1[[#This Row],[1.14]]</f>
        <v>0 F</v>
      </c>
      <c r="R23" s="39" t="str">
        <f>[2]!Tabla1[[#This Row],[2.1]]</f>
        <v>0 F</v>
      </c>
      <c r="S23" s="39" t="str">
        <f>[2]!Tabla1[[#This Row],[2.2]]</f>
        <v>1 P</v>
      </c>
      <c r="T23" s="39" t="str">
        <f>[2]!Tabla1[[#This Row],[2.3]]</f>
        <v>0 F</v>
      </c>
      <c r="U23" s="39" t="str">
        <f>[2]!Tabla1[[#This Row],[2.4]]</f>
        <v>1 P</v>
      </c>
      <c r="V23" s="39" t="str">
        <f>[2]!Tabla1[[#This Row],[2.5]]</f>
        <v>1 P</v>
      </c>
      <c r="W23" s="39" t="str">
        <f>[2]!Tabla1[[#This Row],[2.6]]</f>
        <v>1 P</v>
      </c>
      <c r="X23">
        <f>[2]!Tabla1[[#This Row],[Fallos Nivel A]]</f>
        <v>7</v>
      </c>
      <c r="Y23">
        <f>[2]!Tabla1[[#This Row],[Fallos Nivel AA]]</f>
        <v>2</v>
      </c>
      <c r="Z23" s="1" t="str">
        <f>[2]!Tabla1[[#This Row],[Nivel de adecuación estimado original]]</f>
        <v>No Válido</v>
      </c>
      <c r="AA23" s="1" t="str">
        <f>[2]!Tabla1[[#This Row],[Check original]]</f>
        <v>No válido</v>
      </c>
      <c r="AB23" s="1" t="str">
        <f>[2]!Tabla1[[#This Row],[Nivel de adecuación estimado sin 1.7 y 2.1]]</f>
        <v>No válido</v>
      </c>
    </row>
    <row r="24" spans="1:28" x14ac:dyDescent="0.25">
      <c r="A24" t="str">
        <f>[2]!Tabla1[[#This Row],[Archivo]]</f>
        <v>4.0 GrPRI 1-37</v>
      </c>
      <c r="B24" s="1" t="str">
        <f>[2]!Tabla1[[#This Row],[Página]]</f>
        <v>Página 23</v>
      </c>
      <c r="C24" t="str">
        <f>[2]!Tabla1[[#This Row],[URL]]</f>
        <v>https://www.obbocare.com</v>
      </c>
      <c r="D24" s="39" t="str">
        <f>[2]!Tabla1[[#This Row],[1.1]]</f>
        <v>0 F</v>
      </c>
      <c r="E24" s="39" t="str">
        <f>[2]!Tabla1[[#This Row],[1.2]]</f>
        <v>0 F</v>
      </c>
      <c r="F24" s="39" t="str">
        <f>[2]!Tabla1[[#This Row],[1.3]]</f>
        <v>1 P</v>
      </c>
      <c r="G24" s="39" t="str">
        <f>[2]!Tabla1[[#This Row],[1.4]]</f>
        <v>- P</v>
      </c>
      <c r="H24" s="39" t="str">
        <f>[2]!Tabla1[[#This Row],[1.5]]</f>
        <v>0 F</v>
      </c>
      <c r="I24" s="39" t="str">
        <f>[2]!Tabla1[[#This Row],[1.6]]</f>
        <v>0 F</v>
      </c>
      <c r="J24" s="39" t="str">
        <f>[2]!Tabla1[[#This Row],[1.7]]</f>
        <v>0 F</v>
      </c>
      <c r="K24" s="39" t="str">
        <f>[2]!Tabla1[[#This Row],[1.8]]</f>
        <v>0 F</v>
      </c>
      <c r="L24" s="39" t="str">
        <f>[2]!Tabla1[[#This Row],[1.9]]</f>
        <v>0 F</v>
      </c>
      <c r="M24" s="39" t="str">
        <f>[2]!Tabla1[[#This Row],[1.10]]</f>
        <v>1 P</v>
      </c>
      <c r="N24" s="39" t="str">
        <f>[2]!Tabla1[[#This Row],[1.11]]</f>
        <v>0 F</v>
      </c>
      <c r="O24" s="39" t="str">
        <f>[2]!Tabla1[[#This Row],[1.12]]</f>
        <v>1 P</v>
      </c>
      <c r="P24" s="39" t="str">
        <f>[2]!Tabla1[[#This Row],[1.13]]</f>
        <v>1 P</v>
      </c>
      <c r="Q24" s="39" t="str">
        <f>[2]!Tabla1[[#This Row],[1.14]]</f>
        <v>0 F</v>
      </c>
      <c r="R24" s="39" t="str">
        <f>[2]!Tabla1[[#This Row],[2.1]]</f>
        <v>0 F</v>
      </c>
      <c r="S24" s="39" t="str">
        <f>[2]!Tabla1[[#This Row],[2.2]]</f>
        <v>0 F</v>
      </c>
      <c r="T24" s="39" t="str">
        <f>[2]!Tabla1[[#This Row],[2.3]]</f>
        <v>0 F</v>
      </c>
      <c r="U24" s="39" t="str">
        <f>[2]!Tabla1[[#This Row],[2.4]]</f>
        <v>1 P</v>
      </c>
      <c r="V24" s="39" t="str">
        <f>[2]!Tabla1[[#This Row],[2.5]]</f>
        <v>0 F</v>
      </c>
      <c r="W24" s="39" t="str">
        <f>[2]!Tabla1[[#This Row],[2.6]]</f>
        <v>1 P</v>
      </c>
      <c r="X24">
        <f>[2]!Tabla1[[#This Row],[Fallos Nivel A]]</f>
        <v>9</v>
      </c>
      <c r="Y24">
        <f>[2]!Tabla1[[#This Row],[Fallos Nivel AA]]</f>
        <v>4</v>
      </c>
      <c r="Z24" s="1" t="str">
        <f>[2]!Tabla1[[#This Row],[Nivel de adecuación estimado original]]</f>
        <v>No Válido</v>
      </c>
      <c r="AA24" s="1" t="str">
        <f>[2]!Tabla1[[#This Row],[Check original]]</f>
        <v>No válido</v>
      </c>
      <c r="AB24" s="1" t="str">
        <f>[2]!Tabla1[[#This Row],[Nivel de adecuación estimado sin 1.7 y 2.1]]</f>
        <v>No válido</v>
      </c>
    </row>
    <row r="25" spans="1:28" x14ac:dyDescent="0.25">
      <c r="A25" t="str">
        <f>[2]!Tabla1[[#This Row],[Archivo]]</f>
        <v>4.0 GrPRI 1-37</v>
      </c>
      <c r="B25" s="1" t="str">
        <f>[2]!Tabla1[[#This Row],[Página]]</f>
        <v>Página 24</v>
      </c>
      <c r="C25" t="str">
        <f>[2]!Tabla1[[#This Row],[URL]]</f>
        <v>https://www.despiertaymira.com</v>
      </c>
      <c r="D25" s="39" t="str">
        <f>[2]!Tabla1[[#This Row],[1.1]]</f>
        <v>0 F</v>
      </c>
      <c r="E25" s="39" t="str">
        <f>[2]!Tabla1[[#This Row],[1.2]]</f>
        <v>0 F</v>
      </c>
      <c r="F25" s="39" t="str">
        <f>[2]!Tabla1[[#This Row],[1.3]]</f>
        <v>1 P</v>
      </c>
      <c r="G25" s="39" t="str">
        <f>[2]!Tabla1[[#This Row],[1.4]]</f>
        <v>- P</v>
      </c>
      <c r="H25" s="39" t="str">
        <f>[2]!Tabla1[[#This Row],[1.5]]</f>
        <v>0 F</v>
      </c>
      <c r="I25" s="39" t="str">
        <f>[2]!Tabla1[[#This Row],[1.6]]</f>
        <v>0 F</v>
      </c>
      <c r="J25" s="39" t="str">
        <f>[2]!Tabla1[[#This Row],[1.7]]</f>
        <v>0 F</v>
      </c>
      <c r="K25" s="39" t="str">
        <f>[2]!Tabla1[[#This Row],[1.8]]</f>
        <v>1 P</v>
      </c>
      <c r="L25" s="39" t="str">
        <f>[2]!Tabla1[[#This Row],[1.9]]</f>
        <v>0 F</v>
      </c>
      <c r="M25" s="39" t="str">
        <f>[2]!Tabla1[[#This Row],[1.10]]</f>
        <v>1 P</v>
      </c>
      <c r="N25" s="39" t="str">
        <f>[2]!Tabla1[[#This Row],[1.11]]</f>
        <v>1 P</v>
      </c>
      <c r="O25" s="39" t="str">
        <f>[2]!Tabla1[[#This Row],[1.12]]</f>
        <v>0 F</v>
      </c>
      <c r="P25" s="39" t="str">
        <f>[2]!Tabla1[[#This Row],[1.13]]</f>
        <v>1 P</v>
      </c>
      <c r="Q25" s="39" t="str">
        <f>[2]!Tabla1[[#This Row],[1.14]]</f>
        <v>0 F</v>
      </c>
      <c r="R25" s="39" t="str">
        <f>[2]!Tabla1[[#This Row],[2.1]]</f>
        <v>0 F</v>
      </c>
      <c r="S25" s="39" t="str">
        <f>[2]!Tabla1[[#This Row],[2.2]]</f>
        <v>0 F</v>
      </c>
      <c r="T25" s="39" t="str">
        <f>[2]!Tabla1[[#This Row],[2.3]]</f>
        <v>1 P</v>
      </c>
      <c r="U25" s="39" t="str">
        <f>[2]!Tabla1[[#This Row],[2.4]]</f>
        <v>1 P</v>
      </c>
      <c r="V25" s="39" t="str">
        <f>[2]!Tabla1[[#This Row],[2.5]]</f>
        <v>0 F</v>
      </c>
      <c r="W25" s="39" t="str">
        <f>[2]!Tabla1[[#This Row],[2.6]]</f>
        <v>1 P</v>
      </c>
      <c r="X25">
        <f>[2]!Tabla1[[#This Row],[Fallos Nivel A]]</f>
        <v>8</v>
      </c>
      <c r="Y25">
        <f>[2]!Tabla1[[#This Row],[Fallos Nivel AA]]</f>
        <v>3</v>
      </c>
      <c r="Z25" s="1" t="str">
        <f>[2]!Tabla1[[#This Row],[Nivel de adecuación estimado original]]</f>
        <v>No Válido</v>
      </c>
      <c r="AA25" s="1" t="str">
        <f>[2]!Tabla1[[#This Row],[Check original]]</f>
        <v>No válido</v>
      </c>
      <c r="AB25" s="1" t="str">
        <f>[2]!Tabla1[[#This Row],[Nivel de adecuación estimado sin 1.7 y 2.1]]</f>
        <v>No válido</v>
      </c>
    </row>
    <row r="26" spans="1:28" x14ac:dyDescent="0.25">
      <c r="A26" t="str">
        <f>[2]!Tabla1[[#This Row],[Archivo]]</f>
        <v>4.0 GrPRI 1-37</v>
      </c>
      <c r="B26" s="1" t="str">
        <f>[2]!Tabla1[[#This Row],[Página]]</f>
        <v>Página 25</v>
      </c>
      <c r="C26" t="str">
        <f>[2]!Tabla1[[#This Row],[URL]]</f>
        <v>https://www.improset.es</v>
      </c>
      <c r="D26" s="39" t="str">
        <f>[2]!Tabla1[[#This Row],[1.1]]</f>
        <v>0 F</v>
      </c>
      <c r="E26" s="39" t="str">
        <f>[2]!Tabla1[[#This Row],[1.2]]</f>
        <v>0 F</v>
      </c>
      <c r="F26" s="39" t="str">
        <f>[2]!Tabla1[[#This Row],[1.3]]</f>
        <v>1 P</v>
      </c>
      <c r="G26" s="39" t="str">
        <f>[2]!Tabla1[[#This Row],[1.4]]</f>
        <v>1 P</v>
      </c>
      <c r="H26" s="39" t="str">
        <f>[2]!Tabla1[[#This Row],[1.5]]</f>
        <v>1 P</v>
      </c>
      <c r="I26" s="39" t="str">
        <f>[2]!Tabla1[[#This Row],[1.6]]</f>
        <v>1 P</v>
      </c>
      <c r="J26" s="39" t="str">
        <f>[2]!Tabla1[[#This Row],[1.7]]</f>
        <v>0 F</v>
      </c>
      <c r="K26" s="39" t="str">
        <f>[2]!Tabla1[[#This Row],[1.8]]</f>
        <v>0 F</v>
      </c>
      <c r="L26" s="39" t="str">
        <f>[2]!Tabla1[[#This Row],[1.9]]</f>
        <v>0 F</v>
      </c>
      <c r="M26" s="39" t="str">
        <f>[2]!Tabla1[[#This Row],[1.10]]</f>
        <v>1 P</v>
      </c>
      <c r="N26" s="39" t="str">
        <f>[2]!Tabla1[[#This Row],[1.11]]</f>
        <v>0 F</v>
      </c>
      <c r="O26" s="39" t="str">
        <f>[2]!Tabla1[[#This Row],[1.12]]</f>
        <v>0 F</v>
      </c>
      <c r="P26" s="39" t="str">
        <f>[2]!Tabla1[[#This Row],[1.13]]</f>
        <v>1 P</v>
      </c>
      <c r="Q26" s="1" t="str">
        <f>[2]!Tabla1[[#This Row],[1.14]]</f>
        <v>0 F</v>
      </c>
      <c r="R26" s="39" t="str">
        <f>[2]!Tabla1[[#This Row],[2.1]]</f>
        <v>0 F</v>
      </c>
      <c r="S26" s="39" t="str">
        <f>[2]!Tabla1[[#This Row],[2.2]]</f>
        <v>0 F</v>
      </c>
      <c r="T26" s="39" t="str">
        <f>[2]!Tabla1[[#This Row],[2.3]]</f>
        <v>0 F</v>
      </c>
      <c r="U26" s="39" t="str">
        <f>[2]!Tabla1[[#This Row],[2.4]]</f>
        <v>1 P</v>
      </c>
      <c r="V26" s="39" t="str">
        <f>[2]!Tabla1[[#This Row],[2.5]]</f>
        <v>1 P</v>
      </c>
      <c r="W26" s="39" t="str">
        <f>[2]!Tabla1[[#This Row],[2.6]]</f>
        <v>0 F</v>
      </c>
      <c r="X26">
        <f>[2]!Tabla1[[#This Row],[Fallos Nivel A]]</f>
        <v>8</v>
      </c>
      <c r="Y26">
        <f>[2]!Tabla1[[#This Row],[Fallos Nivel AA]]</f>
        <v>4</v>
      </c>
      <c r="Z26" s="1" t="str">
        <f>[2]!Tabla1[[#This Row],[Nivel de adecuación estimado original]]</f>
        <v>No Válido</v>
      </c>
      <c r="AA26" s="1" t="str">
        <f>[2]!Tabla1[[#This Row],[Check original]]</f>
        <v>No válido</v>
      </c>
      <c r="AB26" s="1" t="str">
        <f>[2]!Tabla1[[#This Row],[Nivel de adecuación estimado sin 1.7 y 2.1]]</f>
        <v>No válido</v>
      </c>
    </row>
    <row r="27" spans="1:28" x14ac:dyDescent="0.25">
      <c r="A27" t="str">
        <f>[2]!Tabla1[[#This Row],[Archivo]]</f>
        <v>4.0 GrPRI 1-37</v>
      </c>
      <c r="B27" s="1" t="str">
        <f>[2]!Tabla1[[#This Row],[Página]]</f>
        <v>Página 26</v>
      </c>
      <c r="C27" t="str">
        <f>[2]!Tabla1[[#This Row],[URL]]</f>
        <v>https://www.jamonia.com</v>
      </c>
      <c r="D27" s="39" t="str">
        <f>[2]!Tabla1[[#This Row],[1.1]]</f>
        <v>0 F</v>
      </c>
      <c r="E27" s="39" t="str">
        <f>[2]!Tabla1[[#This Row],[1.2]]</f>
        <v>0 F</v>
      </c>
      <c r="F27" s="39" t="str">
        <f>[2]!Tabla1[[#This Row],[1.3]]</f>
        <v>0 F</v>
      </c>
      <c r="G27" s="39" t="str">
        <f>[2]!Tabla1[[#This Row],[1.4]]</f>
        <v>- P</v>
      </c>
      <c r="H27" s="39" t="str">
        <f>[2]!Tabla1[[#This Row],[1.5]]</f>
        <v>0 F</v>
      </c>
      <c r="I27" s="39" t="str">
        <f>[2]!Tabla1[[#This Row],[1.6]]</f>
        <v>0 F</v>
      </c>
      <c r="J27" s="39" t="str">
        <f>[2]!Tabla1[[#This Row],[1.7]]</f>
        <v>0 F</v>
      </c>
      <c r="K27" s="39" t="str">
        <f>[2]!Tabla1[[#This Row],[1.8]]</f>
        <v>1 P</v>
      </c>
      <c r="L27" s="39" t="str">
        <f>[2]!Tabla1[[#This Row],[1.9]]</f>
        <v>0 F</v>
      </c>
      <c r="M27" s="39" t="str">
        <f>[2]!Tabla1[[#This Row],[1.10]]</f>
        <v>1 P</v>
      </c>
      <c r="N27" s="39" t="str">
        <f>[2]!Tabla1[[#This Row],[1.11]]</f>
        <v>0 F</v>
      </c>
      <c r="O27" s="39" t="str">
        <f>[2]!Tabla1[[#This Row],[1.12]]</f>
        <v>0 F</v>
      </c>
      <c r="P27" s="39" t="str">
        <f>[2]!Tabla1[[#This Row],[1.13]]</f>
        <v>1 P</v>
      </c>
      <c r="Q27" s="39" t="str">
        <f>[2]!Tabla1[[#This Row],[1.14]]</f>
        <v>0 F</v>
      </c>
      <c r="R27" s="39" t="str">
        <f>[2]!Tabla1[[#This Row],[2.1]]</f>
        <v>0 F</v>
      </c>
      <c r="S27" s="39" t="str">
        <f>[2]!Tabla1[[#This Row],[2.2]]</f>
        <v>0 F</v>
      </c>
      <c r="T27" s="39" t="str">
        <f>[2]!Tabla1[[#This Row],[2.3]]</f>
        <v>1 P</v>
      </c>
      <c r="U27" s="39" t="str">
        <f>[2]!Tabla1[[#This Row],[2.4]]</f>
        <v>0 F</v>
      </c>
      <c r="V27" s="39" t="str">
        <f>[2]!Tabla1[[#This Row],[2.5]]</f>
        <v>0 F</v>
      </c>
      <c r="W27" s="39" t="str">
        <f>[2]!Tabla1[[#This Row],[2.6]]</f>
        <v>1 P</v>
      </c>
      <c r="X27">
        <f>[2]!Tabla1[[#This Row],[Fallos Nivel A]]</f>
        <v>10</v>
      </c>
      <c r="Y27">
        <f>[2]!Tabla1[[#This Row],[Fallos Nivel AA]]</f>
        <v>4</v>
      </c>
      <c r="Z27" s="1" t="str">
        <f>[2]!Tabla1[[#This Row],[Nivel de adecuación estimado original]]</f>
        <v>No Válido</v>
      </c>
      <c r="AA27" s="1" t="str">
        <f>[2]!Tabla1[[#This Row],[Check original]]</f>
        <v>No válido</v>
      </c>
      <c r="AB27" s="1" t="str">
        <f>[2]!Tabla1[[#This Row],[Nivel de adecuación estimado sin 1.7 y 2.1]]</f>
        <v>No válido</v>
      </c>
    </row>
    <row r="28" spans="1:28" x14ac:dyDescent="0.25">
      <c r="A28" t="str">
        <f>[2]!Tabla1[[#This Row],[Archivo]]</f>
        <v>4.0 GrPRI 1-37</v>
      </c>
      <c r="B28" s="1" t="str">
        <f>[2]!Tabla1[[#This Row],[Página]]</f>
        <v>Página 27</v>
      </c>
      <c r="C28" t="str">
        <f>[2]!Tabla1[[#This Row],[URL]]</f>
        <v>https://www.grupocdm.es</v>
      </c>
      <c r="D28" s="39" t="str">
        <f>[2]!Tabla1[[#This Row],[1.1]]</f>
        <v>0 F</v>
      </c>
      <c r="E28" s="39" t="str">
        <f>[2]!Tabla1[[#This Row],[1.2]]</f>
        <v>0 F</v>
      </c>
      <c r="F28" s="39" t="str">
        <f>[2]!Tabla1[[#This Row],[1.3]]</f>
        <v>0 F</v>
      </c>
      <c r="G28" s="39" t="str">
        <f>[2]!Tabla1[[#This Row],[1.4]]</f>
        <v>- P</v>
      </c>
      <c r="H28" s="39" t="str">
        <f>[2]!Tabla1[[#This Row],[1.5]]</f>
        <v>0 F</v>
      </c>
      <c r="I28" s="39" t="str">
        <f>[2]!Tabla1[[#This Row],[1.6]]</f>
        <v>0 F</v>
      </c>
      <c r="J28" s="39" t="str">
        <f>[2]!Tabla1[[#This Row],[1.7]]</f>
        <v>0 F</v>
      </c>
      <c r="K28" s="39" t="str">
        <f>[2]!Tabla1[[#This Row],[1.8]]</f>
        <v>0 F</v>
      </c>
      <c r="L28" s="39" t="str">
        <f>[2]!Tabla1[[#This Row],[1.9]]</f>
        <v>0 F</v>
      </c>
      <c r="M28" s="39" t="str">
        <f>[2]!Tabla1[[#This Row],[1.10]]</f>
        <v>1 P</v>
      </c>
      <c r="N28" s="39" t="str">
        <f>[2]!Tabla1[[#This Row],[1.11]]</f>
        <v>0 F</v>
      </c>
      <c r="O28" s="39" t="str">
        <f>[2]!Tabla1[[#This Row],[1.12]]</f>
        <v>0 F</v>
      </c>
      <c r="P28" s="39" t="str">
        <f>[2]!Tabla1[[#This Row],[1.13]]</f>
        <v>1 P</v>
      </c>
      <c r="Q28" s="39" t="str">
        <f>[2]!Tabla1[[#This Row],[1.14]]</f>
        <v>0 F</v>
      </c>
      <c r="R28" s="39" t="str">
        <f>[2]!Tabla1[[#This Row],[2.1]]</f>
        <v>1 P</v>
      </c>
      <c r="S28" s="39" t="str">
        <f>[2]!Tabla1[[#This Row],[2.2]]</f>
        <v>0 F</v>
      </c>
      <c r="T28" s="39" t="str">
        <f>[2]!Tabla1[[#This Row],[2.3]]</f>
        <v>1 P</v>
      </c>
      <c r="U28" s="39" t="str">
        <f>[2]!Tabla1[[#This Row],[2.4]]</f>
        <v>0 F</v>
      </c>
      <c r="V28" s="39" t="str">
        <f>[2]!Tabla1[[#This Row],[2.5]]</f>
        <v>1 P</v>
      </c>
      <c r="W28" s="39" t="str">
        <f>[2]!Tabla1[[#This Row],[2.6]]</f>
        <v>1 P</v>
      </c>
      <c r="X28">
        <f>[2]!Tabla1[[#This Row],[Fallos Nivel A]]</f>
        <v>11</v>
      </c>
      <c r="Y28">
        <f>[2]!Tabla1[[#This Row],[Fallos Nivel AA]]</f>
        <v>2</v>
      </c>
      <c r="Z28" s="1" t="str">
        <f>[2]!Tabla1[[#This Row],[Nivel de adecuación estimado original]]</f>
        <v>No Válido</v>
      </c>
      <c r="AA28" s="1" t="str">
        <f>[2]!Tabla1[[#This Row],[Check original]]</f>
        <v>No válido</v>
      </c>
      <c r="AB28" s="1" t="str">
        <f>[2]!Tabla1[[#This Row],[Nivel de adecuación estimado sin 1.7 y 2.1]]</f>
        <v>No válido</v>
      </c>
    </row>
    <row r="29" spans="1:28" x14ac:dyDescent="0.25">
      <c r="A29" t="str">
        <f>[2]!Tabla1[[#This Row],[Archivo]]</f>
        <v>4.0 GrPRI 1-37</v>
      </c>
      <c r="B29" s="1" t="str">
        <f>[2]!Tabla1[[#This Row],[Página]]</f>
        <v>Página 28</v>
      </c>
      <c r="C29" t="str">
        <f>[2]!Tabla1[[#This Row],[URL]]</f>
        <v>https://makarthy.com</v>
      </c>
      <c r="D29" s="39" t="str">
        <f>[2]!Tabla1[[#This Row],[1.1]]</f>
        <v>0 F</v>
      </c>
      <c r="E29" s="39" t="str">
        <f>[2]!Tabla1[[#This Row],[1.2]]</f>
        <v>0 F</v>
      </c>
      <c r="F29" s="39" t="str">
        <f>[2]!Tabla1[[#This Row],[1.3]]</f>
        <v>1 P</v>
      </c>
      <c r="G29" s="39" t="str">
        <f>[2]!Tabla1[[#This Row],[1.4]]</f>
        <v>- P</v>
      </c>
      <c r="H29" s="39" t="str">
        <f>[2]!Tabla1[[#This Row],[1.5]]</f>
        <v>0 F</v>
      </c>
      <c r="I29" s="39" t="str">
        <f>[2]!Tabla1[[#This Row],[1.6]]</f>
        <v>1 P</v>
      </c>
      <c r="J29" s="39" t="str">
        <f>[2]!Tabla1[[#This Row],[1.7]]</f>
        <v>0 F</v>
      </c>
      <c r="K29" s="39" t="str">
        <f>[2]!Tabla1[[#This Row],[1.8]]</f>
        <v>0 F</v>
      </c>
      <c r="L29" s="39" t="str">
        <f>[2]!Tabla1[[#This Row],[1.9]]</f>
        <v>0 F</v>
      </c>
      <c r="M29" s="39" t="str">
        <f>[2]!Tabla1[[#This Row],[1.10]]</f>
        <v>1 P</v>
      </c>
      <c r="N29" s="39" t="str">
        <f>[2]!Tabla1[[#This Row],[1.11]]</f>
        <v>0 F</v>
      </c>
      <c r="O29" s="39" t="str">
        <f>[2]!Tabla1[[#This Row],[1.12]]</f>
        <v>0 F</v>
      </c>
      <c r="P29" s="39" t="str">
        <f>[2]!Tabla1[[#This Row],[1.13]]</f>
        <v>1 P</v>
      </c>
      <c r="Q29" s="39" t="str">
        <f>[2]!Tabla1[[#This Row],[1.14]]</f>
        <v>0 F</v>
      </c>
      <c r="R29" s="39" t="str">
        <f>[2]!Tabla1[[#This Row],[2.1]]</f>
        <v>0 F</v>
      </c>
      <c r="S29" s="39" t="str">
        <f>[2]!Tabla1[[#This Row],[2.2]]</f>
        <v>1 P</v>
      </c>
      <c r="T29" s="39" t="str">
        <f>[2]!Tabla1[[#This Row],[2.3]]</f>
        <v>0 F</v>
      </c>
      <c r="U29" s="39" t="str">
        <f>[2]!Tabla1[[#This Row],[2.4]]</f>
        <v>1 P</v>
      </c>
      <c r="V29" s="39" t="str">
        <f>[2]!Tabla1[[#This Row],[2.5]]</f>
        <v>0 F</v>
      </c>
      <c r="W29" s="39" t="str">
        <f>[2]!Tabla1[[#This Row],[2.6]]</f>
        <v>0 F</v>
      </c>
      <c r="X29">
        <f>[2]!Tabla1[[#This Row],[Fallos Nivel A]]</f>
        <v>9</v>
      </c>
      <c r="Y29">
        <f>[2]!Tabla1[[#This Row],[Fallos Nivel AA]]</f>
        <v>4</v>
      </c>
      <c r="Z29" s="1" t="str">
        <f>[2]!Tabla1[[#This Row],[Nivel de adecuación estimado original]]</f>
        <v>No Válido</v>
      </c>
      <c r="AA29" s="1" t="str">
        <f>[2]!Tabla1[[#This Row],[Check original]]</f>
        <v>No válido</v>
      </c>
      <c r="AB29" s="1" t="str">
        <f>[2]!Tabla1[[#This Row],[Nivel de adecuación estimado sin 1.7 y 2.1]]</f>
        <v>No válido</v>
      </c>
    </row>
    <row r="30" spans="1:28" x14ac:dyDescent="0.25">
      <c r="A30" t="str">
        <f>[2]!Tabla1[[#This Row],[Archivo]]</f>
        <v>4.0 GrPRI 1-37</v>
      </c>
      <c r="B30" s="1" t="str">
        <f>[2]!Tabla1[[#This Row],[Página]]</f>
        <v>Página 29</v>
      </c>
      <c r="C30" t="str">
        <f>[2]!Tabla1[[#This Row],[URL]]</f>
        <v>https://paletsjmartorell.com</v>
      </c>
      <c r="D30" s="39" t="str">
        <f>[2]!Tabla1[[#This Row],[1.1]]</f>
        <v>1 P</v>
      </c>
      <c r="E30" s="39" t="str">
        <f>[2]!Tabla1[[#This Row],[1.2]]</f>
        <v>0 F</v>
      </c>
      <c r="F30" s="39" t="str">
        <f>[2]!Tabla1[[#This Row],[1.3]]</f>
        <v>1 P</v>
      </c>
      <c r="G30" s="39" t="str">
        <f>[2]!Tabla1[[#This Row],[1.4]]</f>
        <v>- P</v>
      </c>
      <c r="H30" s="39" t="str">
        <f>[2]!Tabla1[[#This Row],[1.5]]</f>
        <v>0 F</v>
      </c>
      <c r="I30" s="39" t="str">
        <f>[2]!Tabla1[[#This Row],[1.6]]</f>
        <v>0 F</v>
      </c>
      <c r="J30" s="39" t="str">
        <f>[2]!Tabla1[[#This Row],[1.7]]</f>
        <v>0 F</v>
      </c>
      <c r="K30" s="39" t="str">
        <f>[2]!Tabla1[[#This Row],[1.8]]</f>
        <v>1 P</v>
      </c>
      <c r="L30" s="39" t="str">
        <f>[2]!Tabla1[[#This Row],[1.9]]</f>
        <v>- P</v>
      </c>
      <c r="M30" s="39" t="str">
        <f>[2]!Tabla1[[#This Row],[1.10]]</f>
        <v>- P</v>
      </c>
      <c r="N30" s="39" t="str">
        <f>[2]!Tabla1[[#This Row],[1.11]]</f>
        <v>1 P</v>
      </c>
      <c r="O30" s="39" t="str">
        <f>[2]!Tabla1[[#This Row],[1.12]]</f>
        <v>0 F</v>
      </c>
      <c r="P30" s="39" t="str">
        <f>[2]!Tabla1[[#This Row],[1.13]]</f>
        <v>1 P</v>
      </c>
      <c r="Q30" s="39" t="str">
        <f>[2]!Tabla1[[#This Row],[1.14]]</f>
        <v>0 F</v>
      </c>
      <c r="R30" s="39" t="str">
        <f>[2]!Tabla1[[#This Row],[2.1]]</f>
        <v>0 F</v>
      </c>
      <c r="S30" s="39" t="str">
        <f>[2]!Tabla1[[#This Row],[2.2]]</f>
        <v>0 F</v>
      </c>
      <c r="T30" s="39" t="str">
        <f>[2]!Tabla1[[#This Row],[2.3]]</f>
        <v>1 P</v>
      </c>
      <c r="U30" s="39" t="str">
        <f>[2]!Tabla1[[#This Row],[2.4]]</f>
        <v>0 F</v>
      </c>
      <c r="V30" s="39" t="str">
        <f>[2]!Tabla1[[#This Row],[2.5]]</f>
        <v>1 P</v>
      </c>
      <c r="W30" s="39" t="str">
        <f>[2]!Tabla1[[#This Row],[2.6]]</f>
        <v>1 P</v>
      </c>
      <c r="X30">
        <f>[2]!Tabla1[[#This Row],[Fallos Nivel A]]</f>
        <v>6</v>
      </c>
      <c r="Y30">
        <f>[2]!Tabla1[[#This Row],[Fallos Nivel AA]]</f>
        <v>3</v>
      </c>
      <c r="Z30" s="1" t="str">
        <f>[2]!Tabla1[[#This Row],[Nivel de adecuación estimado original]]</f>
        <v>No Válido</v>
      </c>
      <c r="AA30" s="1" t="str">
        <f>[2]!Tabla1[[#This Row],[Check original]]</f>
        <v>No válido</v>
      </c>
      <c r="AB30" s="1" t="str">
        <f>[2]!Tabla1[[#This Row],[Nivel de adecuación estimado sin 1.7 y 2.1]]</f>
        <v>No válido</v>
      </c>
    </row>
    <row r="31" spans="1:28" x14ac:dyDescent="0.25">
      <c r="A31" t="str">
        <f>[2]!Tabla1[[#This Row],[Archivo]]</f>
        <v>4.0 GrPRI 1-37</v>
      </c>
      <c r="B31" s="1" t="str">
        <f>[2]!Tabla1[[#This Row],[Página]]</f>
        <v>Página 30</v>
      </c>
      <c r="C31" t="str">
        <f>[2]!Tabla1[[#This Row],[URL]]</f>
        <v>https://www.ideatec.es</v>
      </c>
      <c r="D31" s="39" t="str">
        <f>[2]!Tabla1[[#This Row],[1.1]]</f>
        <v>1 P</v>
      </c>
      <c r="E31" s="39" t="str">
        <f>[2]!Tabla1[[#This Row],[1.2]]</f>
        <v>0 F</v>
      </c>
      <c r="F31" s="39" t="str">
        <f>[2]!Tabla1[[#This Row],[1.3]]</f>
        <v>1 P</v>
      </c>
      <c r="G31" s="39" t="str">
        <f>[2]!Tabla1[[#This Row],[1.4]]</f>
        <v>- P</v>
      </c>
      <c r="H31" s="39" t="str">
        <f>[2]!Tabla1[[#This Row],[1.5]]</f>
        <v>0 F</v>
      </c>
      <c r="I31" s="39" t="str">
        <f>[2]!Tabla1[[#This Row],[1.6]]</f>
        <v>0 F</v>
      </c>
      <c r="J31" s="39" t="str">
        <f>[2]!Tabla1[[#This Row],[1.7]]</f>
        <v>0 F</v>
      </c>
      <c r="K31" s="39" t="str">
        <f>[2]!Tabla1[[#This Row],[1.8]]</f>
        <v>1 P</v>
      </c>
      <c r="L31" s="39" t="str">
        <f>[2]!Tabla1[[#This Row],[1.9]]</f>
        <v>0 F</v>
      </c>
      <c r="M31" s="39" t="str">
        <f>[2]!Tabla1[[#This Row],[1.10]]</f>
        <v>1 P</v>
      </c>
      <c r="N31" s="39" t="str">
        <f>[2]!Tabla1[[#This Row],[1.11]]</f>
        <v>1 P</v>
      </c>
      <c r="O31" s="39" t="str">
        <f>[2]!Tabla1[[#This Row],[1.12]]</f>
        <v>0 F</v>
      </c>
      <c r="P31" s="39" t="str">
        <f>[2]!Tabla1[[#This Row],[1.13]]</f>
        <v>1 P</v>
      </c>
      <c r="Q31" s="39" t="str">
        <f>[2]!Tabla1[[#This Row],[1.14]]</f>
        <v>0 F</v>
      </c>
      <c r="R31" s="39" t="str">
        <f>[2]!Tabla1[[#This Row],[2.1]]</f>
        <v>0 F</v>
      </c>
      <c r="S31" s="39" t="str">
        <f>[2]!Tabla1[[#This Row],[2.2]]</f>
        <v>1 P</v>
      </c>
      <c r="T31" s="39" t="str">
        <f>[2]!Tabla1[[#This Row],[2.3]]</f>
        <v>1 P</v>
      </c>
      <c r="U31" s="39" t="str">
        <f>[2]!Tabla1[[#This Row],[2.4]]</f>
        <v>1 P</v>
      </c>
      <c r="V31" s="39" t="str">
        <f>[2]!Tabla1[[#This Row],[2.5]]</f>
        <v>0 F</v>
      </c>
      <c r="W31" s="39" t="str">
        <f>[2]!Tabla1[[#This Row],[2.6]]</f>
        <v>1 P</v>
      </c>
      <c r="X31">
        <f>[2]!Tabla1[[#This Row],[Fallos Nivel A]]</f>
        <v>7</v>
      </c>
      <c r="Y31">
        <f>[2]!Tabla1[[#This Row],[Fallos Nivel AA]]</f>
        <v>2</v>
      </c>
      <c r="Z31" s="1" t="str">
        <f>[2]!Tabla1[[#This Row],[Nivel de adecuación estimado original]]</f>
        <v>No Válido</v>
      </c>
      <c r="AA31" s="1" t="str">
        <f>[2]!Tabla1[[#This Row],[Check original]]</f>
        <v>No válido</v>
      </c>
      <c r="AB31" s="1" t="str">
        <f>[2]!Tabla1[[#This Row],[Nivel de adecuación estimado sin 1.7 y 2.1]]</f>
        <v>No válido</v>
      </c>
    </row>
    <row r="32" spans="1:28" x14ac:dyDescent="0.25">
      <c r="A32" t="str">
        <f>[2]!Tabla1[[#This Row],[Archivo]]</f>
        <v>4.0 GrPRI 1-37</v>
      </c>
      <c r="B32" s="1" t="str">
        <f>[2]!Tabla1[[#This Row],[Página]]</f>
        <v>Página 31</v>
      </c>
      <c r="C32" t="str">
        <f>[2]!Tabla1[[#This Row],[URL]]</f>
        <v>https://deforhome.com</v>
      </c>
      <c r="D32" s="39" t="str">
        <f>[2]!Tabla1[[#This Row],[1.1]]</f>
        <v>0 F</v>
      </c>
      <c r="E32" s="39" t="str">
        <f>[2]!Tabla1[[#This Row],[1.2]]</f>
        <v>0 F</v>
      </c>
      <c r="F32" s="39" t="str">
        <f>[2]!Tabla1[[#This Row],[1.3]]</f>
        <v>1 P</v>
      </c>
      <c r="G32" s="39" t="str">
        <f>[2]!Tabla1[[#This Row],[1.4]]</f>
        <v>- P</v>
      </c>
      <c r="H32" s="39" t="str">
        <f>[2]!Tabla1[[#This Row],[1.5]]</f>
        <v>1 P</v>
      </c>
      <c r="I32" s="39" t="str">
        <f>[2]!Tabla1[[#This Row],[1.6]]</f>
        <v>0 F</v>
      </c>
      <c r="J32" s="39" t="str">
        <f>[2]!Tabla1[[#This Row],[1.7]]</f>
        <v>0 F</v>
      </c>
      <c r="K32" s="39" t="str">
        <f>[2]!Tabla1[[#This Row],[1.8]]</f>
        <v>1 P</v>
      </c>
      <c r="L32" s="39" t="str">
        <f>[2]!Tabla1[[#This Row],[1.9]]</f>
        <v>0 F</v>
      </c>
      <c r="M32" s="39" t="str">
        <f>[2]!Tabla1[[#This Row],[1.10]]</f>
        <v>1 P</v>
      </c>
      <c r="N32" s="39" t="str">
        <f>[2]!Tabla1[[#This Row],[1.11]]</f>
        <v>1 P</v>
      </c>
      <c r="O32" s="39" t="str">
        <f>[2]!Tabla1[[#This Row],[1.12]]</f>
        <v>0 F</v>
      </c>
      <c r="P32" s="39" t="str">
        <f>[2]!Tabla1[[#This Row],[1.13]]</f>
        <v>1 P</v>
      </c>
      <c r="Q32" s="39" t="str">
        <f>[2]!Tabla1[[#This Row],[1.14]]</f>
        <v>0 F</v>
      </c>
      <c r="R32" s="39" t="str">
        <f>[2]!Tabla1[[#This Row],[2.1]]</f>
        <v>0 F</v>
      </c>
      <c r="S32" s="39" t="str">
        <f>[2]!Tabla1[[#This Row],[2.2]]</f>
        <v>0 F</v>
      </c>
      <c r="T32" s="39" t="str">
        <f>[2]!Tabla1[[#This Row],[2.3]]</f>
        <v>1 P</v>
      </c>
      <c r="U32" s="39" t="str">
        <f>[2]!Tabla1[[#This Row],[2.4]]</f>
        <v>0 F</v>
      </c>
      <c r="V32" s="39" t="str">
        <f>[2]!Tabla1[[#This Row],[2.5]]</f>
        <v>0 F</v>
      </c>
      <c r="W32" s="39" t="str">
        <f>[2]!Tabla1[[#This Row],[2.6]]</f>
        <v>1 P</v>
      </c>
      <c r="X32">
        <f>[2]!Tabla1[[#This Row],[Fallos Nivel A]]</f>
        <v>7</v>
      </c>
      <c r="Y32">
        <f>[2]!Tabla1[[#This Row],[Fallos Nivel AA]]</f>
        <v>4</v>
      </c>
      <c r="Z32" s="1" t="str">
        <f>[2]!Tabla1[[#This Row],[Nivel de adecuación estimado original]]</f>
        <v>No Válido</v>
      </c>
      <c r="AA32" s="1" t="str">
        <f>[2]!Tabla1[[#This Row],[Check original]]</f>
        <v>No válido</v>
      </c>
      <c r="AB32" s="1" t="str">
        <f>[2]!Tabla1[[#This Row],[Nivel de adecuación estimado sin 1.7 y 2.1]]</f>
        <v>No válido</v>
      </c>
    </row>
    <row r="33" spans="1:28" x14ac:dyDescent="0.25">
      <c r="A33" t="str">
        <f>[2]!Tabla1[[#This Row],[Archivo]]</f>
        <v>4.0 GrPRI 38-74</v>
      </c>
      <c r="B33" s="1" t="str">
        <f>[2]!Tabla1[[#This Row],[Página]]</f>
        <v>Página 1</v>
      </c>
      <c r="C33" t="str">
        <f>[2]!Tabla1[[#This Row],[URL]]</f>
        <v>https://genomcore.com</v>
      </c>
      <c r="D33" s="39" t="str">
        <f>[2]!Tabla1[[#This Row],[1.1]]</f>
        <v>1 P</v>
      </c>
      <c r="E33" s="39" t="str">
        <f>[2]!Tabla1[[#This Row],[1.2]]</f>
        <v>0 F</v>
      </c>
      <c r="F33" s="39" t="str">
        <f>[2]!Tabla1[[#This Row],[1.3]]</f>
        <v>0 F</v>
      </c>
      <c r="G33" s="39" t="str">
        <f>[2]!Tabla1[[#This Row],[1.4]]</f>
        <v>- P</v>
      </c>
      <c r="H33" s="39" t="str">
        <f>[2]!Tabla1[[#This Row],[1.5]]</f>
        <v>0 F</v>
      </c>
      <c r="I33" s="39" t="str">
        <f>[2]!Tabla1[[#This Row],[1.6]]</f>
        <v>0 F</v>
      </c>
      <c r="J33" s="39" t="str">
        <f>[2]!Tabla1[[#This Row],[1.7]]</f>
        <v>0 F</v>
      </c>
      <c r="K33" s="39" t="str">
        <f>[2]!Tabla1[[#This Row],[1.8]]</f>
        <v>1 P</v>
      </c>
      <c r="L33" s="39" t="str">
        <f>[2]!Tabla1[[#This Row],[1.9]]</f>
        <v>1 P</v>
      </c>
      <c r="M33" s="39" t="str">
        <f>[2]!Tabla1[[#This Row],[1.10]]</f>
        <v>1 P</v>
      </c>
      <c r="N33" s="39" t="str">
        <f>[2]!Tabla1[[#This Row],[1.11]]</f>
        <v>1 P</v>
      </c>
      <c r="O33" s="39" t="str">
        <f>[2]!Tabla1[[#This Row],[1.12]]</f>
        <v>0 F</v>
      </c>
      <c r="P33" s="39" t="str">
        <f>[2]!Tabla1[[#This Row],[1.13]]</f>
        <v>1 P</v>
      </c>
      <c r="Q33" s="39" t="str">
        <f>[2]!Tabla1[[#This Row],[1.14]]</f>
        <v>0 F</v>
      </c>
      <c r="R33" s="39" t="str">
        <f>[2]!Tabla1[[#This Row],[2.1]]</f>
        <v>0 F</v>
      </c>
      <c r="S33" s="39" t="str">
        <f>[2]!Tabla1[[#This Row],[2.2]]</f>
        <v>0 F</v>
      </c>
      <c r="T33" s="39" t="str">
        <f>[2]!Tabla1[[#This Row],[2.3]]</f>
        <v>1 P</v>
      </c>
      <c r="U33" s="39" t="str">
        <f>[2]!Tabla1[[#This Row],[2.4]]</f>
        <v>0 F</v>
      </c>
      <c r="V33" s="39" t="str">
        <f>[2]!Tabla1[[#This Row],[2.5]]</f>
        <v>0 F</v>
      </c>
      <c r="W33" s="39" t="str">
        <f>[2]!Tabla1[[#This Row],[2.6]]</f>
        <v>1 P</v>
      </c>
      <c r="X33">
        <f>[2]!Tabla1[[#This Row],[Fallos Nivel A]]</f>
        <v>7</v>
      </c>
      <c r="Y33">
        <f>[2]!Tabla1[[#This Row],[Fallos Nivel AA]]</f>
        <v>4</v>
      </c>
      <c r="Z33" s="1">
        <f>[2]!Tabla1[[#This Row],[Nivel de adecuación estimado original]]</f>
        <v>0</v>
      </c>
      <c r="AA33" s="1" t="str">
        <f>[2]!Tabla1[[#This Row],[Check original]]</f>
        <v>No válido</v>
      </c>
      <c r="AB33" s="1" t="str">
        <f>[2]!Tabla1[[#This Row],[Nivel de adecuación estimado sin 1.7 y 2.1]]</f>
        <v>No válido</v>
      </c>
    </row>
    <row r="34" spans="1:28" x14ac:dyDescent="0.25">
      <c r="A34" t="str">
        <f>[2]!Tabla1[[#This Row],[Archivo]]</f>
        <v>4.0 GrPRI 38-74</v>
      </c>
      <c r="B34" s="1" t="str">
        <f>[2]!Tabla1[[#This Row],[Página]]</f>
        <v>Página 2</v>
      </c>
      <c r="C34" s="22" t="str">
        <f>[2]!Tabla1[[#This Row],[URL]]</f>
        <v>https://bgc.com.es/</v>
      </c>
      <c r="D34" s="39" t="str">
        <f>[2]!Tabla1[[#This Row],[1.1]]</f>
        <v>0 F</v>
      </c>
      <c r="E34" s="39" t="str">
        <f>[2]!Tabla1[[#This Row],[1.2]]</f>
        <v>0 F</v>
      </c>
      <c r="F34" s="39" t="str">
        <f>[2]!Tabla1[[#This Row],[1.3]]</f>
        <v>1 P</v>
      </c>
      <c r="G34" s="39" t="str">
        <f>[2]!Tabla1[[#This Row],[1.4]]</f>
        <v>- P</v>
      </c>
      <c r="H34" s="39" t="str">
        <f>[2]!Tabla1[[#This Row],[1.5]]</f>
        <v>0 F</v>
      </c>
      <c r="I34" s="39" t="str">
        <f>[2]!Tabla1[[#This Row],[1.6]]</f>
        <v>0 F</v>
      </c>
      <c r="J34" s="39" t="str">
        <f>[2]!Tabla1[[#This Row],[1.7]]</f>
        <v>0 F</v>
      </c>
      <c r="K34" s="39" t="str">
        <f>[2]!Tabla1[[#This Row],[1.8]]</f>
        <v>1 P</v>
      </c>
      <c r="L34" s="39" t="str">
        <f>[2]!Tabla1[[#This Row],[1.9]]</f>
        <v>1 P</v>
      </c>
      <c r="M34" s="39" t="str">
        <f>[2]!Tabla1[[#This Row],[1.10]]</f>
        <v>- P</v>
      </c>
      <c r="N34" s="39" t="str">
        <f>[2]!Tabla1[[#This Row],[1.11]]</f>
        <v>1 P</v>
      </c>
      <c r="O34" s="39" t="str">
        <f>[2]!Tabla1[[#This Row],[1.12]]</f>
        <v>0 F</v>
      </c>
      <c r="P34" s="39" t="str">
        <f>[2]!Tabla1[[#This Row],[1.13]]</f>
        <v>1 P</v>
      </c>
      <c r="Q34" s="39" t="str">
        <f>[2]!Tabla1[[#This Row],[1.14]]</f>
        <v>0 F</v>
      </c>
      <c r="R34" s="39" t="str">
        <f>[2]!Tabla1[[#This Row],[2.1]]</f>
        <v>0 F</v>
      </c>
      <c r="S34" s="39" t="str">
        <f>[2]!Tabla1[[#This Row],[2.2]]</f>
        <v>1 P</v>
      </c>
      <c r="T34" s="39" t="str">
        <f>[2]!Tabla1[[#This Row],[2.3]]</f>
        <v>1 P</v>
      </c>
      <c r="U34" s="39" t="str">
        <f>[2]!Tabla1[[#This Row],[2.4]]</f>
        <v>0 F</v>
      </c>
      <c r="V34" s="39" t="str">
        <f>[2]!Tabla1[[#This Row],[2.5]]</f>
        <v>1 P</v>
      </c>
      <c r="W34" s="39" t="str">
        <f>[2]!Tabla1[[#This Row],[2.6]]</f>
        <v>1 P</v>
      </c>
      <c r="X34">
        <f>[2]!Tabla1[[#This Row],[Fallos Nivel A]]</f>
        <v>7</v>
      </c>
      <c r="Y34">
        <f>[2]!Tabla1[[#This Row],[Fallos Nivel AA]]</f>
        <v>2</v>
      </c>
      <c r="Z34" s="1">
        <f>[2]!Tabla1[[#This Row],[Nivel de adecuación estimado original]]</f>
        <v>0</v>
      </c>
      <c r="AA34" s="1" t="str">
        <f>[2]!Tabla1[[#This Row],[Check original]]</f>
        <v>No válido</v>
      </c>
      <c r="AB34" s="1" t="str">
        <f>[2]!Tabla1[[#This Row],[Nivel de adecuación estimado sin 1.7 y 2.1]]</f>
        <v>No válido</v>
      </c>
    </row>
    <row r="35" spans="1:28" x14ac:dyDescent="0.25">
      <c r="A35" t="str">
        <f>[2]!Tabla1[[#This Row],[Archivo]]</f>
        <v>4.0 GrPRI 38-74</v>
      </c>
      <c r="B35" s="1" t="str">
        <f>[2]!Tabla1[[#This Row],[Página]]</f>
        <v>Página 3</v>
      </c>
      <c r="C35" t="str">
        <f>[2]!Tabla1[[#This Row],[URL]]</f>
        <v>https://sportingclubdetenis.com</v>
      </c>
      <c r="D35" s="39" t="str">
        <f>[2]!Tabla1[[#This Row],[1.1]]</f>
        <v>0 F</v>
      </c>
      <c r="E35" s="39" t="str">
        <f>[2]!Tabla1[[#This Row],[1.2]]</f>
        <v>0.5 P</v>
      </c>
      <c r="F35" s="39" t="str">
        <f>[2]!Tabla1[[#This Row],[1.3]]</f>
        <v>0 F</v>
      </c>
      <c r="G35" s="39" t="str">
        <f>[2]!Tabla1[[#This Row],[1.4]]</f>
        <v>0 F</v>
      </c>
      <c r="H35" s="39" t="str">
        <f>[2]!Tabla1[[#This Row],[1.5]]</f>
        <v>1 P</v>
      </c>
      <c r="I35" s="39" t="str">
        <f>[2]!Tabla1[[#This Row],[1.6]]</f>
        <v>0 F</v>
      </c>
      <c r="J35" s="39" t="str">
        <f>[2]!Tabla1[[#This Row],[1.7]]</f>
        <v>0 F</v>
      </c>
      <c r="K35" s="39" t="str">
        <f>[2]!Tabla1[[#This Row],[1.8]]</f>
        <v>1 P</v>
      </c>
      <c r="L35" s="39" t="str">
        <f>[2]!Tabla1[[#This Row],[1.9]]</f>
        <v>0 F</v>
      </c>
      <c r="M35" s="39" t="str">
        <f>[2]!Tabla1[[#This Row],[1.10]]</f>
        <v>0 F</v>
      </c>
      <c r="N35" s="39" t="str">
        <f>[2]!Tabla1[[#This Row],[1.11]]</f>
        <v>0 F</v>
      </c>
      <c r="O35" s="39" t="str">
        <f>[2]!Tabla1[[#This Row],[1.12]]</f>
        <v>0 F</v>
      </c>
      <c r="P35" s="39" t="str">
        <f>[2]!Tabla1[[#This Row],[1.13]]</f>
        <v>1 P</v>
      </c>
      <c r="Q35" s="39" t="str">
        <f>[2]!Tabla1[[#This Row],[1.14]]</f>
        <v>0 F</v>
      </c>
      <c r="R35" s="39" t="str">
        <f>[2]!Tabla1[[#This Row],[2.1]]</f>
        <v>1 P</v>
      </c>
      <c r="S35" s="39" t="str">
        <f>[2]!Tabla1[[#This Row],[2.2]]</f>
        <v>0 F</v>
      </c>
      <c r="T35" s="39" t="str">
        <f>[2]!Tabla1[[#This Row],[2.3]]</f>
        <v>1 P</v>
      </c>
      <c r="U35" s="39" t="str">
        <f>[2]!Tabla1[[#This Row],[2.4]]</f>
        <v>0 F</v>
      </c>
      <c r="V35" s="39" t="str">
        <f>[2]!Tabla1[[#This Row],[2.5]]</f>
        <v>1 P</v>
      </c>
      <c r="W35" s="39" t="str">
        <f>[2]!Tabla1[[#This Row],[2.6]]</f>
        <v>1 P</v>
      </c>
      <c r="X35">
        <f>[2]!Tabla1[[#This Row],[Fallos Nivel A]]</f>
        <v>10</v>
      </c>
      <c r="Y35">
        <f>[2]!Tabla1[[#This Row],[Fallos Nivel AA]]</f>
        <v>2</v>
      </c>
      <c r="Z35" s="1">
        <f>[2]!Tabla1[[#This Row],[Nivel de adecuación estimado original]]</f>
        <v>0</v>
      </c>
      <c r="AA35" s="1" t="str">
        <f>[2]!Tabla1[[#This Row],[Check original]]</f>
        <v>No válido</v>
      </c>
      <c r="AB35" s="1" t="str">
        <f>[2]!Tabla1[[#This Row],[Nivel de adecuación estimado sin 1.7 y 2.1]]</f>
        <v>No válido</v>
      </c>
    </row>
    <row r="36" spans="1:28" x14ac:dyDescent="0.25">
      <c r="A36" t="str">
        <f>[2]!Tabla1[[#This Row],[Archivo]]</f>
        <v>4.0 GrPRI 38-74</v>
      </c>
      <c r="B36" s="1" t="str">
        <f>[2]!Tabla1[[#This Row],[Página]]</f>
        <v>Página 4</v>
      </c>
      <c r="C36" s="22" t="str">
        <f>[2]!Tabla1[[#This Row],[URL]]</f>
        <v>https://inbani.com</v>
      </c>
      <c r="D36" s="39" t="str">
        <f>[2]!Tabla1[[#This Row],[1.1]]</f>
        <v>0 F</v>
      </c>
      <c r="E36" s="39" t="str">
        <f>[2]!Tabla1[[#This Row],[1.2]]</f>
        <v>0 F</v>
      </c>
      <c r="F36" s="39" t="str">
        <f>[2]!Tabla1[[#This Row],[1.3]]</f>
        <v>1 P</v>
      </c>
      <c r="G36" s="39" t="str">
        <f>[2]!Tabla1[[#This Row],[1.4]]</f>
        <v>- P</v>
      </c>
      <c r="H36" s="39" t="str">
        <f>[2]!Tabla1[[#This Row],[1.5]]</f>
        <v>1 P</v>
      </c>
      <c r="I36" s="39" t="str">
        <f>[2]!Tabla1[[#This Row],[1.6]]</f>
        <v>1 P</v>
      </c>
      <c r="J36" s="39" t="str">
        <f>[2]!Tabla1[[#This Row],[1.7]]</f>
        <v>0 F</v>
      </c>
      <c r="K36" s="39" t="str">
        <f>[2]!Tabla1[[#This Row],[1.8]]</f>
        <v>1 P</v>
      </c>
      <c r="L36" s="39" t="str">
        <f>[2]!Tabla1[[#This Row],[1.9]]</f>
        <v>0 F</v>
      </c>
      <c r="M36" s="39" t="str">
        <f>[2]!Tabla1[[#This Row],[1.10]]</f>
        <v>1 P</v>
      </c>
      <c r="N36" s="39" t="str">
        <f>[2]!Tabla1[[#This Row],[1.11]]</f>
        <v>0 F</v>
      </c>
      <c r="O36" s="39" t="str">
        <f>[2]!Tabla1[[#This Row],[1.12]]</f>
        <v>1 P</v>
      </c>
      <c r="P36" s="39" t="str">
        <f>[2]!Tabla1[[#This Row],[1.13]]</f>
        <v>1 P</v>
      </c>
      <c r="Q36" s="39" t="str">
        <f>[2]!Tabla1[[#This Row],[1.14]]</f>
        <v>0 F</v>
      </c>
      <c r="R36" s="39" t="str">
        <f>[2]!Tabla1[[#This Row],[2.1]]</f>
        <v>0 F</v>
      </c>
      <c r="S36" s="39" t="str">
        <f>[2]!Tabla1[[#This Row],[2.2]]</f>
        <v>0 F</v>
      </c>
      <c r="T36" s="39" t="str">
        <f>[2]!Tabla1[[#This Row],[2.3]]</f>
        <v>1 P</v>
      </c>
      <c r="U36" s="39" t="str">
        <f>[2]!Tabla1[[#This Row],[2.4]]</f>
        <v>0 F</v>
      </c>
      <c r="V36" s="39" t="str">
        <f>[2]!Tabla1[[#This Row],[2.5]]</f>
        <v>0 F</v>
      </c>
      <c r="W36" s="39" t="str">
        <f>[2]!Tabla1[[#This Row],[2.6]]</f>
        <v>1 P</v>
      </c>
      <c r="X36">
        <f>[2]!Tabla1[[#This Row],[Fallos Nivel A]]</f>
        <v>6</v>
      </c>
      <c r="Y36">
        <f>[2]!Tabla1[[#This Row],[Fallos Nivel AA]]</f>
        <v>4</v>
      </c>
      <c r="Z36" s="1">
        <f>[2]!Tabla1[[#This Row],[Nivel de adecuación estimado original]]</f>
        <v>0</v>
      </c>
      <c r="AA36" s="1" t="str">
        <f>[2]!Tabla1[[#This Row],[Check original]]</f>
        <v>No válido</v>
      </c>
      <c r="AB36" s="1" t="str">
        <f>[2]!Tabla1[[#This Row],[Nivel de adecuación estimado sin 1.7 y 2.1]]</f>
        <v>No válido</v>
      </c>
    </row>
    <row r="37" spans="1:28" x14ac:dyDescent="0.25">
      <c r="A37" t="str">
        <f>[2]!Tabla1[[#This Row],[Archivo]]</f>
        <v>4.0 GrPRI 38-74</v>
      </c>
      <c r="B37" s="1" t="str">
        <f>[2]!Tabla1[[#This Row],[Página]]</f>
        <v>Página 5</v>
      </c>
      <c r="C37" t="str">
        <f>[2]!Tabla1[[#This Row],[URL]]</f>
        <v>https://cifppolitecnicodemurcia.es</v>
      </c>
      <c r="D37" s="39" t="str">
        <f>[2]!Tabla1[[#This Row],[1.1]]</f>
        <v>1 P</v>
      </c>
      <c r="E37" s="39" t="str">
        <f>[2]!Tabla1[[#This Row],[1.2]]</f>
        <v>0 F</v>
      </c>
      <c r="F37" s="39" t="str">
        <f>[2]!Tabla1[[#This Row],[1.3]]</f>
        <v>1 P</v>
      </c>
      <c r="G37" s="39" t="str">
        <f>[2]!Tabla1[[#This Row],[1.4]]</f>
        <v>- P</v>
      </c>
      <c r="H37" s="39" t="str">
        <f>[2]!Tabla1[[#This Row],[1.5]]</f>
        <v>1 P</v>
      </c>
      <c r="I37" s="39" t="str">
        <f>[2]!Tabla1[[#This Row],[1.6]]</f>
        <v>0 F</v>
      </c>
      <c r="J37" s="39" t="str">
        <f>[2]!Tabla1[[#This Row],[1.7]]</f>
        <v>0 F</v>
      </c>
      <c r="K37" s="39" t="str">
        <f>[2]!Tabla1[[#This Row],[1.8]]</f>
        <v>1 P</v>
      </c>
      <c r="L37" s="39" t="str">
        <f>[2]!Tabla1[[#This Row],[1.9]]</f>
        <v>1 P</v>
      </c>
      <c r="M37" s="39" t="str">
        <f>[2]!Tabla1[[#This Row],[1.10]]</f>
        <v>- P</v>
      </c>
      <c r="N37" s="39" t="str">
        <f>[2]!Tabla1[[#This Row],[1.11]]</f>
        <v>1 P</v>
      </c>
      <c r="O37" s="39" t="str">
        <f>[2]!Tabla1[[#This Row],[1.12]]</f>
        <v>0 F</v>
      </c>
      <c r="P37" s="39" t="str">
        <f>[2]!Tabla1[[#This Row],[1.13]]</f>
        <v>1 P</v>
      </c>
      <c r="Q37" s="39" t="str">
        <f>[2]!Tabla1[[#This Row],[1.14]]</f>
        <v>1 P</v>
      </c>
      <c r="R37" s="39" t="str">
        <f>[2]!Tabla1[[#This Row],[2.1]]</f>
        <v>0 F</v>
      </c>
      <c r="S37" s="39" t="str">
        <f>[2]!Tabla1[[#This Row],[2.2]]</f>
        <v>1 P</v>
      </c>
      <c r="T37" s="39" t="str">
        <f>[2]!Tabla1[[#This Row],[2.3]]</f>
        <v>1 P</v>
      </c>
      <c r="U37" s="39" t="str">
        <f>[2]!Tabla1[[#This Row],[2.4]]</f>
        <v>0 F</v>
      </c>
      <c r="V37" s="39" t="str">
        <f>[2]!Tabla1[[#This Row],[2.5]]</f>
        <v>1 P</v>
      </c>
      <c r="W37" s="39" t="str">
        <f>[2]!Tabla1[[#This Row],[2.6]]</f>
        <v>0 F</v>
      </c>
      <c r="X37">
        <f>[2]!Tabla1[[#This Row],[Fallos Nivel A]]</f>
        <v>4</v>
      </c>
      <c r="Y37">
        <f>[2]!Tabla1[[#This Row],[Fallos Nivel AA]]</f>
        <v>3</v>
      </c>
      <c r="Z37" s="1">
        <f>[2]!Tabla1[[#This Row],[Nivel de adecuación estimado original]]</f>
        <v>0</v>
      </c>
      <c r="AA37" s="1" t="str">
        <f>[2]!Tabla1[[#This Row],[Check original]]</f>
        <v>No válido</v>
      </c>
      <c r="AB37" s="1" t="str">
        <f>[2]!Tabla1[[#This Row],[Nivel de adecuación estimado sin 1.7 y 2.1]]</f>
        <v>No válido</v>
      </c>
    </row>
    <row r="38" spans="1:28" x14ac:dyDescent="0.25">
      <c r="A38" t="str">
        <f>[2]!Tabla1[[#This Row],[Archivo]]</f>
        <v>4.0 GrPRI 38-74</v>
      </c>
      <c r="B38" s="1" t="str">
        <f>[2]!Tabla1[[#This Row],[Página]]</f>
        <v>Página 6</v>
      </c>
      <c r="C38" s="22" t="str">
        <f>[2]!Tabla1[[#This Row],[URL]]</f>
        <v>https://yelarsan.es</v>
      </c>
      <c r="D38" s="39" t="str">
        <f>[2]!Tabla1[[#This Row],[1.1]]</f>
        <v>1 P</v>
      </c>
      <c r="E38" s="39" t="str">
        <f>[2]!Tabla1[[#This Row],[1.2]]</f>
        <v>1 P</v>
      </c>
      <c r="F38" s="39" t="str">
        <f>[2]!Tabla1[[#This Row],[1.3]]</f>
        <v>1 P</v>
      </c>
      <c r="G38" s="39" t="str">
        <f>[2]!Tabla1[[#This Row],[1.4]]</f>
        <v>- P</v>
      </c>
      <c r="H38" s="39" t="str">
        <f>[2]!Tabla1[[#This Row],[1.5]]</f>
        <v>0 F</v>
      </c>
      <c r="I38" s="39" t="str">
        <f>[2]!Tabla1[[#This Row],[1.6]]</f>
        <v>0 F</v>
      </c>
      <c r="J38" s="39" t="str">
        <f>[2]!Tabla1[[#This Row],[1.7]]</f>
        <v>0 F</v>
      </c>
      <c r="K38" s="39" t="str">
        <f>[2]!Tabla1[[#This Row],[1.8]]</f>
        <v>1 P</v>
      </c>
      <c r="L38" s="39" t="str">
        <f>[2]!Tabla1[[#This Row],[1.9]]</f>
        <v>1 P</v>
      </c>
      <c r="M38" s="39" t="str">
        <f>[2]!Tabla1[[#This Row],[1.10]]</f>
        <v>1 P</v>
      </c>
      <c r="N38" s="39" t="str">
        <f>[2]!Tabla1[[#This Row],[1.11]]</f>
        <v>0 F</v>
      </c>
      <c r="O38" s="39" t="str">
        <f>[2]!Tabla1[[#This Row],[1.12]]</f>
        <v>0 F</v>
      </c>
      <c r="P38" s="39" t="str">
        <f>[2]!Tabla1[[#This Row],[1.13]]</f>
        <v>1 P</v>
      </c>
      <c r="Q38" s="39" t="str">
        <f>[2]!Tabla1[[#This Row],[1.14]]</f>
        <v>1 P</v>
      </c>
      <c r="R38" s="39" t="str">
        <f>[2]!Tabla1[[#This Row],[2.1]]</f>
        <v>0 F</v>
      </c>
      <c r="S38" s="39" t="str">
        <f>[2]!Tabla1[[#This Row],[2.2]]</f>
        <v>1 P</v>
      </c>
      <c r="T38" s="39" t="str">
        <f>[2]!Tabla1[[#This Row],[2.3]]</f>
        <v>1 P</v>
      </c>
      <c r="U38" s="39" t="str">
        <f>[2]!Tabla1[[#This Row],[2.4]]</f>
        <v>0 F</v>
      </c>
      <c r="V38" s="39" t="str">
        <f>[2]!Tabla1[[#This Row],[2.5]]</f>
        <v>0 F</v>
      </c>
      <c r="W38" s="39" t="str">
        <f>[2]!Tabla1[[#This Row],[2.6]]</f>
        <v>1 P</v>
      </c>
      <c r="X38">
        <f>[2]!Tabla1[[#This Row],[Fallos Nivel A]]</f>
        <v>5</v>
      </c>
      <c r="Y38">
        <f>[2]!Tabla1[[#This Row],[Fallos Nivel AA]]</f>
        <v>3</v>
      </c>
      <c r="Z38" s="1">
        <f>[2]!Tabla1[[#This Row],[Nivel de adecuación estimado original]]</f>
        <v>0</v>
      </c>
      <c r="AA38" s="1" t="str">
        <f>[2]!Tabla1[[#This Row],[Check original]]</f>
        <v>No válido</v>
      </c>
      <c r="AB38" s="1" t="str">
        <f>[2]!Tabla1[[#This Row],[Nivel de adecuación estimado sin 1.7 y 2.1]]</f>
        <v>No válido</v>
      </c>
    </row>
    <row r="39" spans="1:28" x14ac:dyDescent="0.25">
      <c r="A39" t="str">
        <f>[2]!Tabla1[[#This Row],[Archivo]]</f>
        <v>4.0 GrPRI 38-74</v>
      </c>
      <c r="B39" s="1" t="str">
        <f>[2]!Tabla1[[#This Row],[Página]]</f>
        <v>Página 7</v>
      </c>
      <c r="C39" t="str">
        <f>[2]!Tabla1[[#This Row],[URL]]</f>
        <v>https://www.bodegasterradart.com</v>
      </c>
      <c r="D39" s="39" t="str">
        <f>[2]!Tabla1[[#This Row],[1.1]]</f>
        <v>1 P</v>
      </c>
      <c r="E39" s="39" t="str">
        <f>[2]!Tabla1[[#This Row],[1.2]]</f>
        <v>0 F</v>
      </c>
      <c r="F39" s="39" t="str">
        <f>[2]!Tabla1[[#This Row],[1.3]]</f>
        <v>1 P</v>
      </c>
      <c r="G39" s="39" t="str">
        <f>[2]!Tabla1[[#This Row],[1.4]]</f>
        <v>- P</v>
      </c>
      <c r="H39" s="39" t="str">
        <f>[2]!Tabla1[[#This Row],[1.5]]</f>
        <v>1 P</v>
      </c>
      <c r="I39" s="39" t="str">
        <f>[2]!Tabla1[[#This Row],[1.6]]</f>
        <v>1 P</v>
      </c>
      <c r="J39" s="39" t="str">
        <f>[2]!Tabla1[[#This Row],[1.7]]</f>
        <v>0 F</v>
      </c>
      <c r="K39" s="39" t="str">
        <f>[2]!Tabla1[[#This Row],[1.8]]</f>
        <v>1 P</v>
      </c>
      <c r="L39" s="39" t="str">
        <f>[2]!Tabla1[[#This Row],[1.9]]</f>
        <v>- P</v>
      </c>
      <c r="M39" s="39" t="str">
        <f>[2]!Tabla1[[#This Row],[1.10]]</f>
        <v>- P</v>
      </c>
      <c r="N39" s="39" t="str">
        <f>[2]!Tabla1[[#This Row],[1.11]]</f>
        <v>1 P</v>
      </c>
      <c r="O39" s="39" t="str">
        <f>[2]!Tabla1[[#This Row],[1.12]]</f>
        <v>1 P</v>
      </c>
      <c r="P39" s="39" t="str">
        <f>[2]!Tabla1[[#This Row],[1.13]]</f>
        <v>1 P</v>
      </c>
      <c r="Q39" s="39" t="str">
        <f>[2]!Tabla1[[#This Row],[1.14]]</f>
        <v>1 P</v>
      </c>
      <c r="R39" s="39" t="str">
        <f>[2]!Tabla1[[#This Row],[2.1]]</f>
        <v>0 F</v>
      </c>
      <c r="S39" s="39" t="str">
        <f>[2]!Tabla1[[#This Row],[2.2]]</f>
        <v>1 P</v>
      </c>
      <c r="T39" s="39" t="str">
        <f>[2]!Tabla1[[#This Row],[2.3]]</f>
        <v>1 P</v>
      </c>
      <c r="U39" s="39" t="str">
        <f>[2]!Tabla1[[#This Row],[2.4]]</f>
        <v>1 P</v>
      </c>
      <c r="V39" s="39" t="str">
        <f>[2]!Tabla1[[#This Row],[2.5]]</f>
        <v>0 F</v>
      </c>
      <c r="W39" s="39" t="str">
        <f>[2]!Tabla1[[#This Row],[2.6]]</f>
        <v>1 P</v>
      </c>
      <c r="X39">
        <f>[2]!Tabla1[[#This Row],[Fallos Nivel A]]</f>
        <v>2</v>
      </c>
      <c r="Y39">
        <f>[2]!Tabla1[[#This Row],[Fallos Nivel AA]]</f>
        <v>2</v>
      </c>
      <c r="Z39" s="1">
        <f>[2]!Tabla1[[#This Row],[Nivel de adecuación estimado original]]</f>
        <v>0</v>
      </c>
      <c r="AA39" s="1" t="str">
        <f>[2]!Tabla1[[#This Row],[Check original]]</f>
        <v>AA</v>
      </c>
      <c r="AB39" s="1" t="str">
        <f>[2]!Tabla1[[#This Row],[Nivel de adecuación estimado sin 1.7 y 2.1]]</f>
        <v>AA</v>
      </c>
    </row>
    <row r="40" spans="1:28" x14ac:dyDescent="0.25">
      <c r="A40" t="str">
        <f>[2]!Tabla1[[#This Row],[Archivo]]</f>
        <v>4.0 GrPRI 38-74</v>
      </c>
      <c r="B40" s="1" t="str">
        <f>[2]!Tabla1[[#This Row],[Página]]</f>
        <v>Página 8</v>
      </c>
      <c r="C40" s="22" t="str">
        <f>[2]!Tabla1[[#This Row],[URL]]</f>
        <v>https://www.edicionesdelserbal.com</v>
      </c>
      <c r="D40" s="39" t="str">
        <f>[2]!Tabla1[[#This Row],[1.1]]</f>
        <v>0 F</v>
      </c>
      <c r="E40" s="39" t="str">
        <f>[2]!Tabla1[[#This Row],[1.2]]</f>
        <v>0 F</v>
      </c>
      <c r="F40" s="39" t="str">
        <f>[2]!Tabla1[[#This Row],[1.3]]</f>
        <v>0 F</v>
      </c>
      <c r="G40" s="39" t="str">
        <f>[2]!Tabla1[[#This Row],[1.4]]</f>
        <v>- P</v>
      </c>
      <c r="H40" s="39" t="str">
        <f>[2]!Tabla1[[#This Row],[1.5]]</f>
        <v>0 F</v>
      </c>
      <c r="I40" s="39" t="str">
        <f>[2]!Tabla1[[#This Row],[1.6]]</f>
        <v>0 F</v>
      </c>
      <c r="J40" s="39" t="str">
        <f>[2]!Tabla1[[#This Row],[1.7]]</f>
        <v>0 F</v>
      </c>
      <c r="K40" s="39" t="str">
        <f>[2]!Tabla1[[#This Row],[1.8]]</f>
        <v>1 P</v>
      </c>
      <c r="L40" s="39" t="str">
        <f>[2]!Tabla1[[#This Row],[1.9]]</f>
        <v>0 F</v>
      </c>
      <c r="M40" s="39" t="str">
        <f>[2]!Tabla1[[#This Row],[1.10]]</f>
        <v>1 P</v>
      </c>
      <c r="N40" s="39" t="str">
        <f>[2]!Tabla1[[#This Row],[1.11]]</f>
        <v>1 P</v>
      </c>
      <c r="O40" s="39" t="str">
        <f>[2]!Tabla1[[#This Row],[1.12]]</f>
        <v>0 F</v>
      </c>
      <c r="P40" s="39" t="str">
        <f>[2]!Tabla1[[#This Row],[1.13]]</f>
        <v>1 P</v>
      </c>
      <c r="Q40" s="39" t="str">
        <f>[2]!Tabla1[[#This Row],[1.14]]</f>
        <v>0 F</v>
      </c>
      <c r="R40" s="39" t="str">
        <f>[2]!Tabla1[[#This Row],[2.1]]</f>
        <v>0 F</v>
      </c>
      <c r="S40" s="39" t="str">
        <f>[2]!Tabla1[[#This Row],[2.2]]</f>
        <v>1 P</v>
      </c>
      <c r="T40" s="39" t="str">
        <f>[2]!Tabla1[[#This Row],[2.3]]</f>
        <v>0 F</v>
      </c>
      <c r="U40" s="39" t="str">
        <f>[2]!Tabla1[[#This Row],[2.4]]</f>
        <v>0 F</v>
      </c>
      <c r="V40" s="39" t="str">
        <f>[2]!Tabla1[[#This Row],[2.5]]</f>
        <v>0 F</v>
      </c>
      <c r="W40" s="39" t="str">
        <f>[2]!Tabla1[[#This Row],[2.6]]</f>
        <v>1 P</v>
      </c>
      <c r="X40">
        <f>[2]!Tabla1[[#This Row],[Fallos Nivel A]]</f>
        <v>9</v>
      </c>
      <c r="Y40">
        <f>[2]!Tabla1[[#This Row],[Fallos Nivel AA]]</f>
        <v>4</v>
      </c>
      <c r="Z40" s="1">
        <f>[2]!Tabla1[[#This Row],[Nivel de adecuación estimado original]]</f>
        <v>0</v>
      </c>
      <c r="AA40" s="1" t="str">
        <f>[2]!Tabla1[[#This Row],[Check original]]</f>
        <v>No válido</v>
      </c>
      <c r="AB40" s="1" t="str">
        <f>[2]!Tabla1[[#This Row],[Nivel de adecuación estimado sin 1.7 y 2.1]]</f>
        <v>No válido</v>
      </c>
    </row>
    <row r="41" spans="1:28" x14ac:dyDescent="0.25">
      <c r="A41" t="str">
        <f>[2]!Tabla1[[#This Row],[Archivo]]</f>
        <v>4.0 GrPRI 38-74</v>
      </c>
      <c r="B41" s="1" t="str">
        <f>[2]!Tabla1[[#This Row],[Página]]</f>
        <v>Página 9</v>
      </c>
      <c r="C41" t="str">
        <f>[2]!Tabla1[[#This Row],[URL]]</f>
        <v>https://lilaflicka.com</v>
      </c>
      <c r="D41" s="39" t="str">
        <f>[2]!Tabla1[[#This Row],[1.1]]</f>
        <v>1 P</v>
      </c>
      <c r="E41" s="39" t="str">
        <f>[2]!Tabla1[[#This Row],[1.2]]</f>
        <v>0 F</v>
      </c>
      <c r="F41" s="39" t="str">
        <f>[2]!Tabla1[[#This Row],[1.3]]</f>
        <v>1 P</v>
      </c>
      <c r="G41" s="39" t="str">
        <f>[2]!Tabla1[[#This Row],[1.4]]</f>
        <v>- P</v>
      </c>
      <c r="H41" s="39" t="str">
        <f>[2]!Tabla1[[#This Row],[1.5]]</f>
        <v>0 F</v>
      </c>
      <c r="I41" s="39" t="str">
        <f>[2]!Tabla1[[#This Row],[1.6]]</f>
        <v>0 F</v>
      </c>
      <c r="J41" s="39" t="str">
        <f>[2]!Tabla1[[#This Row],[1.7]]</f>
        <v>0 F</v>
      </c>
      <c r="K41" s="39" t="str">
        <f>[2]!Tabla1[[#This Row],[1.8]]</f>
        <v>1 P</v>
      </c>
      <c r="L41" s="39" t="str">
        <f>[2]!Tabla1[[#This Row],[1.9]]</f>
        <v>- P</v>
      </c>
      <c r="M41" s="39" t="str">
        <f>[2]!Tabla1[[#This Row],[1.10]]</f>
        <v>- P</v>
      </c>
      <c r="N41" s="39" t="str">
        <f>[2]!Tabla1[[#This Row],[1.11]]</f>
        <v>1 P</v>
      </c>
      <c r="O41" s="39" t="str">
        <f>[2]!Tabla1[[#This Row],[1.12]]</f>
        <v>0 F</v>
      </c>
      <c r="P41" s="39" t="str">
        <f>[2]!Tabla1[[#This Row],[1.13]]</f>
        <v>1 P</v>
      </c>
      <c r="Q41" s="39" t="str">
        <f>[2]!Tabla1[[#This Row],[1.14]]</f>
        <v>0 F</v>
      </c>
      <c r="R41" s="39" t="str">
        <f>[2]!Tabla1[[#This Row],[2.1]]</f>
        <v>0 F</v>
      </c>
      <c r="S41" s="39" t="str">
        <f>[2]!Tabla1[[#This Row],[2.2]]</f>
        <v>0 F</v>
      </c>
      <c r="T41" s="39" t="str">
        <f>[2]!Tabla1[[#This Row],[2.3]]</f>
        <v>1 P</v>
      </c>
      <c r="U41" s="39" t="str">
        <f>[2]!Tabla1[[#This Row],[2.4]]</f>
        <v>0 F</v>
      </c>
      <c r="V41" s="39" t="str">
        <f>[2]!Tabla1[[#This Row],[2.5]]</f>
        <v>0 F</v>
      </c>
      <c r="W41" s="39" t="str">
        <f>[2]!Tabla1[[#This Row],[2.6]]</f>
        <v>1 P</v>
      </c>
      <c r="X41">
        <f>[2]!Tabla1[[#This Row],[Fallos Nivel A]]</f>
        <v>6</v>
      </c>
      <c r="Y41">
        <f>[2]!Tabla1[[#This Row],[Fallos Nivel AA]]</f>
        <v>4</v>
      </c>
      <c r="Z41" s="1">
        <f>[2]!Tabla1[[#This Row],[Nivel de adecuación estimado original]]</f>
        <v>0</v>
      </c>
      <c r="AA41" s="1" t="str">
        <f>[2]!Tabla1[[#This Row],[Check original]]</f>
        <v>No válido</v>
      </c>
      <c r="AB41" s="1" t="str">
        <f>[2]!Tabla1[[#This Row],[Nivel de adecuación estimado sin 1.7 y 2.1]]</f>
        <v>No válido</v>
      </c>
    </row>
    <row r="42" spans="1:28" x14ac:dyDescent="0.25">
      <c r="A42" t="str">
        <f>[2]!Tabla1[[#This Row],[Archivo]]</f>
        <v>4.0 GrPRI 38-74</v>
      </c>
      <c r="B42" s="1" t="str">
        <f>[2]!Tabla1[[#This Row],[Página]]</f>
        <v>Página 10</v>
      </c>
      <c r="C42" s="22" t="str">
        <f>[2]!Tabla1[[#This Row],[URL]]</f>
        <v>https://aspor.es</v>
      </c>
      <c r="D42" s="39" t="str">
        <f>[2]!Tabla1[[#This Row],[1.1]]</f>
        <v>1 P</v>
      </c>
      <c r="E42" s="39" t="str">
        <f>[2]!Tabla1[[#This Row],[1.2]]</f>
        <v>0 F</v>
      </c>
      <c r="F42" s="39" t="str">
        <f>[2]!Tabla1[[#This Row],[1.3]]</f>
        <v>0 F</v>
      </c>
      <c r="G42" s="39" t="str">
        <f>[2]!Tabla1[[#This Row],[1.4]]</f>
        <v>1 P</v>
      </c>
      <c r="H42" s="39" t="str">
        <f>[2]!Tabla1[[#This Row],[1.5]]</f>
        <v>0 F</v>
      </c>
      <c r="I42" s="39" t="str">
        <f>[2]!Tabla1[[#This Row],[1.6]]</f>
        <v>0 F</v>
      </c>
      <c r="J42" s="39" t="str">
        <f>[2]!Tabla1[[#This Row],[1.7]]</f>
        <v>0 F</v>
      </c>
      <c r="K42" s="39" t="str">
        <f>[2]!Tabla1[[#This Row],[1.8]]</f>
        <v>1 P</v>
      </c>
      <c r="L42" s="39" t="str">
        <f>[2]!Tabla1[[#This Row],[1.9]]</f>
        <v>0 F</v>
      </c>
      <c r="M42" s="39" t="str">
        <f>[2]!Tabla1[[#This Row],[1.10]]</f>
        <v>1 P</v>
      </c>
      <c r="N42" s="39" t="str">
        <f>[2]!Tabla1[[#This Row],[1.11]]</f>
        <v>0 F</v>
      </c>
      <c r="O42" s="39" t="str">
        <f>[2]!Tabla1[[#This Row],[1.12]]</f>
        <v>0 F</v>
      </c>
      <c r="P42" s="39" t="str">
        <f>[2]!Tabla1[[#This Row],[1.13]]</f>
        <v>1 P</v>
      </c>
      <c r="Q42" s="39" t="str">
        <f>[2]!Tabla1[[#This Row],[1.14]]</f>
        <v>0 F</v>
      </c>
      <c r="R42" s="39" t="str">
        <f>[2]!Tabla1[[#This Row],[2.1]]</f>
        <v>0 F</v>
      </c>
      <c r="S42" s="39" t="str">
        <f>[2]!Tabla1[[#This Row],[2.2]]</f>
        <v>1 P</v>
      </c>
      <c r="T42" s="39" t="str">
        <f>[2]!Tabla1[[#This Row],[2.3]]</f>
        <v>1 P</v>
      </c>
      <c r="U42" s="39" t="str">
        <f>[2]!Tabla1[[#This Row],[2.4]]</f>
        <v>0 F</v>
      </c>
      <c r="V42" s="39" t="str">
        <f>[2]!Tabla1[[#This Row],[2.5]]</f>
        <v>0 F</v>
      </c>
      <c r="W42" s="39" t="str">
        <f>[2]!Tabla1[[#This Row],[2.6]]</f>
        <v>1 P</v>
      </c>
      <c r="X42">
        <f>[2]!Tabla1[[#This Row],[Fallos Nivel A]]</f>
        <v>9</v>
      </c>
      <c r="Y42">
        <f>[2]!Tabla1[[#This Row],[Fallos Nivel AA]]</f>
        <v>3</v>
      </c>
      <c r="Z42" s="1">
        <f>[2]!Tabla1[[#This Row],[Nivel de adecuación estimado original]]</f>
        <v>0</v>
      </c>
      <c r="AA42" s="1" t="str">
        <f>[2]!Tabla1[[#This Row],[Check original]]</f>
        <v>No válido</v>
      </c>
      <c r="AB42" s="1" t="str">
        <f>[2]!Tabla1[[#This Row],[Nivel de adecuación estimado sin 1.7 y 2.1]]</f>
        <v>No válido</v>
      </c>
    </row>
    <row r="43" spans="1:28" x14ac:dyDescent="0.25">
      <c r="A43" t="str">
        <f>[2]!Tabla1[[#This Row],[Archivo]]</f>
        <v>4.0 GrPRI 38-74</v>
      </c>
      <c r="B43" s="1" t="str">
        <f>[2]!Tabla1[[#This Row],[Página]]</f>
        <v>Página 11</v>
      </c>
      <c r="C43" t="str">
        <f>[2]!Tabla1[[#This Row],[URL]]</f>
        <v>https://www.tecnomallas.com</v>
      </c>
      <c r="D43" s="39" t="str">
        <f>[2]!Tabla1[[#This Row],[1.1]]</f>
        <v>0 F</v>
      </c>
      <c r="E43" s="39" t="str">
        <f>[2]!Tabla1[[#This Row],[1.2]]</f>
        <v>1 P</v>
      </c>
      <c r="F43" s="39" t="str">
        <f>[2]!Tabla1[[#This Row],[1.3]]</f>
        <v>0 F</v>
      </c>
      <c r="G43" s="39" t="str">
        <f>[2]!Tabla1[[#This Row],[1.4]]</f>
        <v>- P</v>
      </c>
      <c r="H43" s="39" t="str">
        <f>[2]!Tabla1[[#This Row],[1.5]]</f>
        <v>0 F</v>
      </c>
      <c r="I43" s="39" t="str">
        <f>[2]!Tabla1[[#This Row],[1.6]]</f>
        <v>0 F</v>
      </c>
      <c r="J43" s="39" t="str">
        <f>[2]!Tabla1[[#This Row],[1.7]]</f>
        <v>0 F</v>
      </c>
      <c r="K43" s="39" t="str">
        <f>[2]!Tabla1[[#This Row],[1.8]]</f>
        <v>1 P</v>
      </c>
      <c r="L43" s="39" t="str">
        <f>[2]!Tabla1[[#This Row],[1.9]]</f>
        <v>0 F</v>
      </c>
      <c r="M43" s="39" t="str">
        <f>[2]!Tabla1[[#This Row],[1.10]]</f>
        <v>1 P</v>
      </c>
      <c r="N43" s="39" t="str">
        <f>[2]!Tabla1[[#This Row],[1.11]]</f>
        <v>1 P</v>
      </c>
      <c r="O43" s="39" t="str">
        <f>[2]!Tabla1[[#This Row],[1.12]]</f>
        <v>0 F</v>
      </c>
      <c r="P43" s="39" t="str">
        <f>[2]!Tabla1[[#This Row],[1.13]]</f>
        <v>1 P</v>
      </c>
      <c r="Q43" s="39" t="str">
        <f>[2]!Tabla1[[#This Row],[1.14]]</f>
        <v>1 P</v>
      </c>
      <c r="R43" s="39" t="str">
        <f>[2]!Tabla1[[#This Row],[2.1]]</f>
        <v>0 F</v>
      </c>
      <c r="S43" s="39" t="str">
        <f>[2]!Tabla1[[#This Row],[2.2]]</f>
        <v>1 P</v>
      </c>
      <c r="T43" s="39" t="str">
        <f>[2]!Tabla1[[#This Row],[2.3]]</f>
        <v>0 F</v>
      </c>
      <c r="U43" s="39" t="str">
        <f>[2]!Tabla1[[#This Row],[2.4]]</f>
        <v>0 F</v>
      </c>
      <c r="V43" s="39" t="str">
        <f>[2]!Tabla1[[#This Row],[2.5]]</f>
        <v>1 P</v>
      </c>
      <c r="W43" s="39" t="str">
        <f>[2]!Tabla1[[#This Row],[2.6]]</f>
        <v>1 P</v>
      </c>
      <c r="X43">
        <f>[2]!Tabla1[[#This Row],[Fallos Nivel A]]</f>
        <v>7</v>
      </c>
      <c r="Y43">
        <f>[2]!Tabla1[[#This Row],[Fallos Nivel AA]]</f>
        <v>3</v>
      </c>
      <c r="Z43" s="1">
        <f>[2]!Tabla1[[#This Row],[Nivel de adecuación estimado original]]</f>
        <v>0</v>
      </c>
      <c r="AA43" s="1" t="str">
        <f>[2]!Tabla1[[#This Row],[Check original]]</f>
        <v>No válido</v>
      </c>
      <c r="AB43" s="1" t="str">
        <f>[2]!Tabla1[[#This Row],[Nivel de adecuación estimado sin 1.7 y 2.1]]</f>
        <v>No válido</v>
      </c>
    </row>
    <row r="44" spans="1:28" x14ac:dyDescent="0.25">
      <c r="A44" t="str">
        <f>[2]!Tabla1[[#This Row],[Archivo]]</f>
        <v>4.0 GrPRI 38-74</v>
      </c>
      <c r="B44" s="1" t="str">
        <f>[2]!Tabla1[[#This Row],[Página]]</f>
        <v>Página 12</v>
      </c>
      <c r="C44" s="22" t="str">
        <f>[2]!Tabla1[[#This Row],[URL]]</f>
        <v>https://www.diagnosisdermatologica.com</v>
      </c>
      <c r="D44" s="39" t="str">
        <f>[2]!Tabla1[[#This Row],[1.1]]</f>
        <v>1 P</v>
      </c>
      <c r="E44" s="39" t="str">
        <f>[2]!Tabla1[[#This Row],[1.2]]</f>
        <v>0.5 P</v>
      </c>
      <c r="F44" s="39" t="str">
        <f>[2]!Tabla1[[#This Row],[1.3]]</f>
        <v>1 P</v>
      </c>
      <c r="G44" s="39" t="str">
        <f>[2]!Tabla1[[#This Row],[1.4]]</f>
        <v>- P</v>
      </c>
      <c r="H44" s="39" t="str">
        <f>[2]!Tabla1[[#This Row],[1.5]]</f>
        <v>0 F</v>
      </c>
      <c r="I44" s="39" t="str">
        <f>[2]!Tabla1[[#This Row],[1.6]]</f>
        <v>1 P</v>
      </c>
      <c r="J44" s="39" t="str">
        <f>[2]!Tabla1[[#This Row],[1.7]]</f>
        <v>0 F</v>
      </c>
      <c r="K44" s="39" t="str">
        <f>[2]!Tabla1[[#This Row],[1.8]]</f>
        <v>1 P</v>
      </c>
      <c r="L44" s="39" t="str">
        <f>[2]!Tabla1[[#This Row],[1.9]]</f>
        <v>1 P</v>
      </c>
      <c r="M44" s="39" t="str">
        <f>[2]!Tabla1[[#This Row],[1.10]]</f>
        <v>- P</v>
      </c>
      <c r="N44" s="39" t="str">
        <f>[2]!Tabla1[[#This Row],[1.11]]</f>
        <v>1 P</v>
      </c>
      <c r="O44" s="39" t="str">
        <f>[2]!Tabla1[[#This Row],[1.12]]</f>
        <v>0 F</v>
      </c>
      <c r="P44" s="39" t="str">
        <f>[2]!Tabla1[[#This Row],[1.13]]</f>
        <v>1 P</v>
      </c>
      <c r="Q44" s="39" t="str">
        <f>[2]!Tabla1[[#This Row],[1.14]]</f>
        <v>1 P</v>
      </c>
      <c r="R44" s="39" t="str">
        <f>[2]!Tabla1[[#This Row],[2.1]]</f>
        <v>0 F</v>
      </c>
      <c r="S44" s="39" t="str">
        <f>[2]!Tabla1[[#This Row],[2.2]]</f>
        <v>1 P</v>
      </c>
      <c r="T44" s="39" t="str">
        <f>[2]!Tabla1[[#This Row],[2.3]]</f>
        <v>1 P</v>
      </c>
      <c r="U44" s="39" t="str">
        <f>[2]!Tabla1[[#This Row],[2.4]]</f>
        <v>0 F</v>
      </c>
      <c r="V44" s="39" t="str">
        <f>[2]!Tabla1[[#This Row],[2.5]]</f>
        <v>0 F</v>
      </c>
      <c r="W44" s="39" t="str">
        <f>[2]!Tabla1[[#This Row],[2.6]]</f>
        <v>1 P</v>
      </c>
      <c r="X44">
        <f>[2]!Tabla1[[#This Row],[Fallos Nivel A]]</f>
        <v>3</v>
      </c>
      <c r="Y44">
        <f>[2]!Tabla1[[#This Row],[Fallos Nivel AA]]</f>
        <v>3</v>
      </c>
      <c r="Z44" s="1">
        <f>[2]!Tabla1[[#This Row],[Nivel de adecuación estimado original]]</f>
        <v>0</v>
      </c>
      <c r="AA44" s="1" t="str">
        <f>[2]!Tabla1[[#This Row],[Check original]]</f>
        <v>No válido</v>
      </c>
      <c r="AB44" s="1" t="str">
        <f>[2]!Tabla1[[#This Row],[Nivel de adecuación estimado sin 1.7 y 2.1]]</f>
        <v>AA</v>
      </c>
    </row>
    <row r="45" spans="1:28" x14ac:dyDescent="0.25">
      <c r="A45" t="str">
        <f>[2]!Tabla1[[#This Row],[Archivo]]</f>
        <v>4.0 GrPRI 38-74</v>
      </c>
      <c r="B45" s="1" t="str">
        <f>[2]!Tabla1[[#This Row],[Página]]</f>
        <v>Página 13</v>
      </c>
      <c r="C45" t="str">
        <f>[2]!Tabla1[[#This Row],[URL]]</f>
        <v>https://epicosaludmental.com</v>
      </c>
      <c r="D45" s="39" t="str">
        <f>[2]!Tabla1[[#This Row],[1.1]]</f>
        <v>0 F</v>
      </c>
      <c r="E45" s="39" t="str">
        <f>[2]!Tabla1[[#This Row],[1.2]]</f>
        <v>0 F</v>
      </c>
      <c r="F45" s="39" t="str">
        <f>[2]!Tabla1[[#This Row],[1.3]]</f>
        <v>0 F</v>
      </c>
      <c r="G45" s="39" t="str">
        <f>[2]!Tabla1[[#This Row],[1.4]]</f>
        <v>- P</v>
      </c>
      <c r="H45" s="39" t="str">
        <f>[2]!Tabla1[[#This Row],[1.5]]</f>
        <v>0 F</v>
      </c>
      <c r="I45" s="39" t="str">
        <f>[2]!Tabla1[[#This Row],[1.6]]</f>
        <v>0 F</v>
      </c>
      <c r="J45" s="39" t="str">
        <f>[2]!Tabla1[[#This Row],[1.7]]</f>
        <v>0 F</v>
      </c>
      <c r="K45" s="39" t="str">
        <f>[2]!Tabla1[[#This Row],[1.8]]</f>
        <v>1 P</v>
      </c>
      <c r="L45" s="39" t="str">
        <f>[2]!Tabla1[[#This Row],[1.9]]</f>
        <v>0 F</v>
      </c>
      <c r="M45" s="39" t="str">
        <f>[2]!Tabla1[[#This Row],[1.10]]</f>
        <v>1 P</v>
      </c>
      <c r="N45" s="39" t="str">
        <f>[2]!Tabla1[[#This Row],[1.11]]</f>
        <v>1 P</v>
      </c>
      <c r="O45" s="39" t="str">
        <f>[2]!Tabla1[[#This Row],[1.12]]</f>
        <v>0 F</v>
      </c>
      <c r="P45" s="39" t="str">
        <f>[2]!Tabla1[[#This Row],[1.13]]</f>
        <v>1 P</v>
      </c>
      <c r="Q45" s="39" t="str">
        <f>[2]!Tabla1[[#This Row],[1.14]]</f>
        <v>0 F</v>
      </c>
      <c r="R45" s="39" t="str">
        <f>[2]!Tabla1[[#This Row],[2.1]]</f>
        <v>0 F</v>
      </c>
      <c r="S45" s="39" t="str">
        <f>[2]!Tabla1[[#This Row],[2.2]]</f>
        <v>1 P</v>
      </c>
      <c r="T45" s="39" t="str">
        <f>[2]!Tabla1[[#This Row],[2.3]]</f>
        <v>0 F</v>
      </c>
      <c r="U45" s="39" t="str">
        <f>[2]!Tabla1[[#This Row],[2.4]]</f>
        <v>1 P</v>
      </c>
      <c r="V45" s="39" t="str">
        <f>[2]!Tabla1[[#This Row],[2.5]]</f>
        <v>0 F</v>
      </c>
      <c r="W45" s="39" t="str">
        <f>[2]!Tabla1[[#This Row],[2.6]]</f>
        <v>1 P</v>
      </c>
      <c r="X45">
        <f>[2]!Tabla1[[#This Row],[Fallos Nivel A]]</f>
        <v>9</v>
      </c>
      <c r="Y45">
        <f>[2]!Tabla1[[#This Row],[Fallos Nivel AA]]</f>
        <v>3</v>
      </c>
      <c r="Z45" s="1">
        <f>[2]!Tabla1[[#This Row],[Nivel de adecuación estimado original]]</f>
        <v>0</v>
      </c>
      <c r="AA45" s="1" t="str">
        <f>[2]!Tabla1[[#This Row],[Check original]]</f>
        <v>No válido</v>
      </c>
      <c r="AB45" s="1" t="str">
        <f>[2]!Tabla1[[#This Row],[Nivel de adecuación estimado sin 1.7 y 2.1]]</f>
        <v>No válido</v>
      </c>
    </row>
    <row r="46" spans="1:28" x14ac:dyDescent="0.25">
      <c r="A46" t="str">
        <f>[2]!Tabla1[[#This Row],[Archivo]]</f>
        <v>4.0 GrPRI 38-74</v>
      </c>
      <c r="B46" s="1" t="str">
        <f>[2]!Tabla1[[#This Row],[Página]]</f>
        <v>Página 14</v>
      </c>
      <c r="C46" s="22" t="str">
        <f>[2]!Tabla1[[#This Row],[URL]]</f>
        <v>https://www.maill.cat</v>
      </c>
      <c r="D46" s="39" t="str">
        <f>[2]!Tabla1[[#This Row],[1.1]]</f>
        <v>0 F</v>
      </c>
      <c r="E46" s="39" t="str">
        <f>[2]!Tabla1[[#This Row],[1.2]]</f>
        <v>0 F</v>
      </c>
      <c r="F46" s="39" t="str">
        <f>[2]!Tabla1[[#This Row],[1.3]]</f>
        <v>1 P</v>
      </c>
      <c r="G46" s="39" t="str">
        <f>[2]!Tabla1[[#This Row],[1.4]]</f>
        <v>- P</v>
      </c>
      <c r="H46" s="39" t="str">
        <f>[2]!Tabla1[[#This Row],[1.5]]</f>
        <v>0 F</v>
      </c>
      <c r="I46" s="39" t="str">
        <f>[2]!Tabla1[[#This Row],[1.6]]</f>
        <v>0 F</v>
      </c>
      <c r="J46" s="39" t="str">
        <f>[2]!Tabla1[[#This Row],[1.7]]</f>
        <v>0 F</v>
      </c>
      <c r="K46" s="39" t="str">
        <f>[2]!Tabla1[[#This Row],[1.8]]</f>
        <v>1 P</v>
      </c>
      <c r="L46" s="39" t="str">
        <f>[2]!Tabla1[[#This Row],[1.9]]</f>
        <v>0 F</v>
      </c>
      <c r="M46" s="39" t="str">
        <f>[2]!Tabla1[[#This Row],[1.10]]</f>
        <v>1 P</v>
      </c>
      <c r="N46" s="39" t="str">
        <f>[2]!Tabla1[[#This Row],[1.11]]</f>
        <v>0 F</v>
      </c>
      <c r="O46" s="39" t="str">
        <f>[2]!Tabla1[[#This Row],[1.12]]</f>
        <v>0 F</v>
      </c>
      <c r="P46" s="39" t="str">
        <f>[2]!Tabla1[[#This Row],[1.13]]</f>
        <v>1 P</v>
      </c>
      <c r="Q46" s="39" t="str">
        <f>[2]!Tabla1[[#This Row],[1.14]]</f>
        <v>1 P</v>
      </c>
      <c r="R46" s="39" t="str">
        <f>[2]!Tabla1[[#This Row],[2.1]]</f>
        <v>0 F</v>
      </c>
      <c r="S46" s="39" t="str">
        <f>[2]!Tabla1[[#This Row],[2.2]]</f>
        <v>1 P</v>
      </c>
      <c r="T46" s="39" t="str">
        <f>[2]!Tabla1[[#This Row],[2.3]]</f>
        <v>0 F</v>
      </c>
      <c r="U46" s="39" t="str">
        <f>[2]!Tabla1[[#This Row],[2.4]]</f>
        <v>1 P</v>
      </c>
      <c r="V46" s="39" t="str">
        <f>[2]!Tabla1[[#This Row],[2.5]]</f>
        <v>0 F</v>
      </c>
      <c r="W46" s="39" t="str">
        <f>[2]!Tabla1[[#This Row],[2.6]]</f>
        <v>1 P</v>
      </c>
      <c r="X46">
        <f>[2]!Tabla1[[#This Row],[Fallos Nivel A]]</f>
        <v>8</v>
      </c>
      <c r="Y46">
        <f>[2]!Tabla1[[#This Row],[Fallos Nivel AA]]</f>
        <v>3</v>
      </c>
      <c r="Z46" s="1">
        <f>[2]!Tabla1[[#This Row],[Nivel de adecuación estimado original]]</f>
        <v>0</v>
      </c>
      <c r="AA46" s="1" t="str">
        <f>[2]!Tabla1[[#This Row],[Check original]]</f>
        <v>No válido</v>
      </c>
      <c r="AB46" s="1" t="str">
        <f>[2]!Tabla1[[#This Row],[Nivel de adecuación estimado sin 1.7 y 2.1]]</f>
        <v>No válido</v>
      </c>
    </row>
    <row r="47" spans="1:28" x14ac:dyDescent="0.25">
      <c r="A47" t="str">
        <f>[2]!Tabla1[[#This Row],[Archivo]]</f>
        <v>4.0 GrPRI 38-74</v>
      </c>
      <c r="B47" s="1" t="str">
        <f>[2]!Tabla1[[#This Row],[Página]]</f>
        <v>Página 15</v>
      </c>
      <c r="C47" t="str">
        <f>[2]!Tabla1[[#This Row],[URL]]</f>
        <v>https://asecord.es</v>
      </c>
      <c r="D47" s="39" t="str">
        <f>[2]!Tabla1[[#This Row],[1.1]]</f>
        <v>0 F</v>
      </c>
      <c r="E47" s="39" t="str">
        <f>[2]!Tabla1[[#This Row],[1.2]]</f>
        <v>0 F</v>
      </c>
      <c r="F47" s="39" t="str">
        <f>[2]!Tabla1[[#This Row],[1.3]]</f>
        <v>0 F</v>
      </c>
      <c r="G47" s="39" t="str">
        <f>[2]!Tabla1[[#This Row],[1.4]]</f>
        <v>- P</v>
      </c>
      <c r="H47" s="39" t="str">
        <f>[2]!Tabla1[[#This Row],[1.5]]</f>
        <v>0 F</v>
      </c>
      <c r="I47" s="39" t="str">
        <f>[2]!Tabla1[[#This Row],[1.6]]</f>
        <v>0 F</v>
      </c>
      <c r="J47" s="39" t="str">
        <f>[2]!Tabla1[[#This Row],[1.7]]</f>
        <v>0 F</v>
      </c>
      <c r="K47" s="39" t="str">
        <f>[2]!Tabla1[[#This Row],[1.8]]</f>
        <v>1 P</v>
      </c>
      <c r="L47" s="39" t="str">
        <f>[2]!Tabla1[[#This Row],[1.9]]</f>
        <v>0 F</v>
      </c>
      <c r="M47" s="39" t="str">
        <f>[2]!Tabla1[[#This Row],[1.10]]</f>
        <v>1 P</v>
      </c>
      <c r="N47" s="39" t="str">
        <f>[2]!Tabla1[[#This Row],[1.11]]</f>
        <v>1 P</v>
      </c>
      <c r="O47" s="39" t="str">
        <f>[2]!Tabla1[[#This Row],[1.12]]</f>
        <v>0 F</v>
      </c>
      <c r="P47" s="39" t="str">
        <f>[2]!Tabla1[[#This Row],[1.13]]</f>
        <v>1 P</v>
      </c>
      <c r="Q47" s="39" t="str">
        <f>[2]!Tabla1[[#This Row],[1.14]]</f>
        <v>1 P</v>
      </c>
      <c r="R47" s="39" t="str">
        <f>[2]!Tabla1[[#This Row],[2.1]]</f>
        <v>0 F</v>
      </c>
      <c r="S47" s="39" t="str">
        <f>[2]!Tabla1[[#This Row],[2.2]]</f>
        <v>1 P</v>
      </c>
      <c r="T47" s="39" t="str">
        <f>[2]!Tabla1[[#This Row],[2.3]]</f>
        <v>1 P</v>
      </c>
      <c r="U47" s="39" t="str">
        <f>[2]!Tabla1[[#This Row],[2.4]]</f>
        <v>1 P</v>
      </c>
      <c r="V47" s="39" t="str">
        <f>[2]!Tabla1[[#This Row],[2.5]]</f>
        <v>0 F</v>
      </c>
      <c r="W47" s="39" t="str">
        <f>[2]!Tabla1[[#This Row],[2.6]]</f>
        <v>1 P</v>
      </c>
      <c r="X47">
        <f>[2]!Tabla1[[#This Row],[Fallos Nivel A]]</f>
        <v>8</v>
      </c>
      <c r="Y47">
        <f>[2]!Tabla1[[#This Row],[Fallos Nivel AA]]</f>
        <v>2</v>
      </c>
      <c r="Z47" s="1">
        <f>[2]!Tabla1[[#This Row],[Nivel de adecuación estimado original]]</f>
        <v>0</v>
      </c>
      <c r="AA47" s="1" t="str">
        <f>[2]!Tabla1[[#This Row],[Check original]]</f>
        <v>No válido</v>
      </c>
      <c r="AB47" s="1" t="str">
        <f>[2]!Tabla1[[#This Row],[Nivel de adecuación estimado sin 1.7 y 2.1]]</f>
        <v>No válido</v>
      </c>
    </row>
    <row r="48" spans="1:28" x14ac:dyDescent="0.25">
      <c r="A48" t="str">
        <f>[2]!Tabla1[[#This Row],[Archivo]]</f>
        <v>4.0 GrPRI 38-74</v>
      </c>
      <c r="B48" s="1" t="str">
        <f>[2]!Tabla1[[#This Row],[Página]]</f>
        <v>Página 16</v>
      </c>
      <c r="C48" s="22" t="str">
        <f>[2]!Tabla1[[#This Row],[URL]]</f>
        <v>https://jklmotos.com</v>
      </c>
      <c r="D48" s="39" t="str">
        <f>[2]!Tabla1[[#This Row],[1.1]]</f>
        <v>1 P</v>
      </c>
      <c r="E48" s="39" t="str">
        <f>[2]!Tabla1[[#This Row],[1.2]]</f>
        <v>0 F</v>
      </c>
      <c r="F48" s="39" t="str">
        <f>[2]!Tabla1[[#This Row],[1.3]]</f>
        <v>1 P</v>
      </c>
      <c r="G48" s="39" t="str">
        <f>[2]!Tabla1[[#This Row],[1.4]]</f>
        <v>- P</v>
      </c>
      <c r="H48" s="39" t="str">
        <f>[2]!Tabla1[[#This Row],[1.5]]</f>
        <v>1 P</v>
      </c>
      <c r="I48" s="39" t="str">
        <f>[2]!Tabla1[[#This Row],[1.6]]</f>
        <v>1 P</v>
      </c>
      <c r="J48" s="39" t="str">
        <f>[2]!Tabla1[[#This Row],[1.7]]</f>
        <v>0 F</v>
      </c>
      <c r="K48" s="39" t="str">
        <f>[2]!Tabla1[[#This Row],[1.8]]</f>
        <v>1 P</v>
      </c>
      <c r="L48" s="39" t="str">
        <f>[2]!Tabla1[[#This Row],[1.9]]</f>
        <v>- P</v>
      </c>
      <c r="M48" s="39" t="str">
        <f>[2]!Tabla1[[#This Row],[1.10]]</f>
        <v>- P</v>
      </c>
      <c r="N48" s="39" t="str">
        <f>[2]!Tabla1[[#This Row],[1.11]]</f>
        <v>1 P</v>
      </c>
      <c r="O48" s="39" t="str">
        <f>[2]!Tabla1[[#This Row],[1.12]]</f>
        <v>0 F</v>
      </c>
      <c r="P48" s="39" t="str">
        <f>[2]!Tabla1[[#This Row],[1.13]]</f>
        <v>1 P</v>
      </c>
      <c r="Q48" s="39" t="str">
        <f>[2]!Tabla1[[#This Row],[1.14]]</f>
        <v>0 F</v>
      </c>
      <c r="R48" s="39" t="str">
        <f>[2]!Tabla1[[#This Row],[2.1]]</f>
        <v>0 F</v>
      </c>
      <c r="S48" s="39" t="str">
        <f>[2]!Tabla1[[#This Row],[2.2]]</f>
        <v>1 P</v>
      </c>
      <c r="T48" s="39" t="str">
        <f>[2]!Tabla1[[#This Row],[2.3]]</f>
        <v>1 P</v>
      </c>
      <c r="U48" s="39" t="str">
        <f>[2]!Tabla1[[#This Row],[2.4]]</f>
        <v>0 F</v>
      </c>
      <c r="V48" s="39" t="str">
        <f>[2]!Tabla1[[#This Row],[2.5]]</f>
        <v>1 P</v>
      </c>
      <c r="W48" s="39" t="str">
        <f>[2]!Tabla1[[#This Row],[2.6]]</f>
        <v>1 P</v>
      </c>
      <c r="X48">
        <f>[2]!Tabla1[[#This Row],[Fallos Nivel A]]</f>
        <v>4</v>
      </c>
      <c r="Y48">
        <f>[2]!Tabla1[[#This Row],[Fallos Nivel AA]]</f>
        <v>2</v>
      </c>
      <c r="Z48" s="1">
        <f>[2]!Tabla1[[#This Row],[Nivel de adecuación estimado original]]</f>
        <v>0</v>
      </c>
      <c r="AA48" s="1" t="str">
        <f>[2]!Tabla1[[#This Row],[Check original]]</f>
        <v>No válido</v>
      </c>
      <c r="AB48" s="1" t="str">
        <f>[2]!Tabla1[[#This Row],[Nivel de adecuación estimado sin 1.7 y 2.1]]</f>
        <v>No válido</v>
      </c>
    </row>
    <row r="49" spans="1:28" x14ac:dyDescent="0.25">
      <c r="A49" t="str">
        <f>[2]!Tabla1[[#This Row],[Archivo]]</f>
        <v>4.0 GrPRI 38-74</v>
      </c>
      <c r="B49" s="1" t="str">
        <f>[2]!Tabla1[[#This Row],[Página]]</f>
        <v>Página 17</v>
      </c>
      <c r="C49" t="str">
        <f>[2]!Tabla1[[#This Row],[URL]]</f>
        <v>https://www.necfe.es</v>
      </c>
      <c r="D49" s="39" t="str">
        <f>[2]!Tabla1[[#This Row],[1.1]]</f>
        <v>1 P</v>
      </c>
      <c r="E49" s="39" t="str">
        <f>[2]!Tabla1[[#This Row],[1.2]]</f>
        <v>0 F</v>
      </c>
      <c r="F49" s="39" t="str">
        <f>[2]!Tabla1[[#This Row],[1.3]]</f>
        <v>1 P</v>
      </c>
      <c r="G49" s="39" t="str">
        <f>[2]!Tabla1[[#This Row],[1.4]]</f>
        <v>- P</v>
      </c>
      <c r="H49" s="39" t="str">
        <f>[2]!Tabla1[[#This Row],[1.5]]</f>
        <v>0 F</v>
      </c>
      <c r="I49" s="39" t="str">
        <f>[2]!Tabla1[[#This Row],[1.6]]</f>
        <v>1 P</v>
      </c>
      <c r="J49" s="39" t="str">
        <f>[2]!Tabla1[[#This Row],[1.7]]</f>
        <v>0 F</v>
      </c>
      <c r="K49" s="39" t="str">
        <f>[2]!Tabla1[[#This Row],[1.8]]</f>
        <v>1 P</v>
      </c>
      <c r="L49" s="39" t="str">
        <f>[2]!Tabla1[[#This Row],[1.9]]</f>
        <v>0 F</v>
      </c>
      <c r="M49" s="39" t="str">
        <f>[2]!Tabla1[[#This Row],[1.10]]</f>
        <v>0 F</v>
      </c>
      <c r="N49" s="39" t="str">
        <f>[2]!Tabla1[[#This Row],[1.11]]</f>
        <v>0 F</v>
      </c>
      <c r="O49" s="39" t="str">
        <f>[2]!Tabla1[[#This Row],[1.12]]</f>
        <v>0 F</v>
      </c>
      <c r="P49" s="39" t="str">
        <f>[2]!Tabla1[[#This Row],[1.13]]</f>
        <v>1 P</v>
      </c>
      <c r="Q49" s="39" t="str">
        <f>[2]!Tabla1[[#This Row],[1.14]]</f>
        <v>0 F</v>
      </c>
      <c r="R49" s="39" t="str">
        <f>[2]!Tabla1[[#This Row],[2.1]]</f>
        <v>0 F</v>
      </c>
      <c r="S49" s="39" t="str">
        <f>[2]!Tabla1[[#This Row],[2.2]]</f>
        <v>1 P</v>
      </c>
      <c r="T49" s="39" t="str">
        <f>[2]!Tabla1[[#This Row],[2.3]]</f>
        <v>1 P</v>
      </c>
      <c r="U49" s="39" t="str">
        <f>[2]!Tabla1[[#This Row],[2.4]]</f>
        <v>0 F</v>
      </c>
      <c r="V49" s="39" t="str">
        <f>[2]!Tabla1[[#This Row],[2.5]]</f>
        <v>0 F</v>
      </c>
      <c r="W49" s="39" t="str">
        <f>[2]!Tabla1[[#This Row],[2.6]]</f>
        <v>1 P</v>
      </c>
      <c r="X49">
        <f>[2]!Tabla1[[#This Row],[Fallos Nivel A]]</f>
        <v>8</v>
      </c>
      <c r="Y49">
        <f>[2]!Tabla1[[#This Row],[Fallos Nivel AA]]</f>
        <v>3</v>
      </c>
      <c r="Z49" s="1">
        <f>[2]!Tabla1[[#This Row],[Nivel de adecuación estimado original]]</f>
        <v>0</v>
      </c>
      <c r="AA49" s="1" t="str">
        <f>[2]!Tabla1[[#This Row],[Check original]]</f>
        <v>No válido</v>
      </c>
      <c r="AB49" s="1" t="str">
        <f>[2]!Tabla1[[#This Row],[Nivel de adecuación estimado sin 1.7 y 2.1]]</f>
        <v>No válido</v>
      </c>
    </row>
    <row r="50" spans="1:28" x14ac:dyDescent="0.25">
      <c r="A50" t="str">
        <f>[2]!Tabla1[[#This Row],[Archivo]]</f>
        <v>4.0 GrPRI 38-74</v>
      </c>
      <c r="B50" s="1" t="str">
        <f>[2]!Tabla1[[#This Row],[Página]]</f>
        <v>Página 18</v>
      </c>
      <c r="C50" s="22" t="str">
        <f>[2]!Tabla1[[#This Row],[URL]]</f>
        <v>https://eloxal.es</v>
      </c>
      <c r="D50" s="39" t="str">
        <f>[2]!Tabla1[[#This Row],[1.1]]</f>
        <v>1 P</v>
      </c>
      <c r="E50" s="39" t="str">
        <f>[2]!Tabla1[[#This Row],[1.2]]</f>
        <v>0 F</v>
      </c>
      <c r="F50" s="39" t="str">
        <f>[2]!Tabla1[[#This Row],[1.3]]</f>
        <v>1 P</v>
      </c>
      <c r="G50" s="39" t="str">
        <f>[2]!Tabla1[[#This Row],[1.4]]</f>
        <v>- P</v>
      </c>
      <c r="H50" s="39" t="str">
        <f>[2]!Tabla1[[#This Row],[1.5]]</f>
        <v>0 F</v>
      </c>
      <c r="I50" s="39" t="str">
        <f>[2]!Tabla1[[#This Row],[1.6]]</f>
        <v>1 P</v>
      </c>
      <c r="J50" s="39" t="str">
        <f>[2]!Tabla1[[#This Row],[1.7]]</f>
        <v>0 F</v>
      </c>
      <c r="K50" s="39" t="str">
        <f>[2]!Tabla1[[#This Row],[1.8]]</f>
        <v>1 P</v>
      </c>
      <c r="L50" s="39" t="str">
        <f>[2]!Tabla1[[#This Row],[1.9]]</f>
        <v>- P</v>
      </c>
      <c r="M50" s="39" t="str">
        <f>[2]!Tabla1[[#This Row],[1.10]]</f>
        <v>- P</v>
      </c>
      <c r="N50" s="39" t="str">
        <f>[2]!Tabla1[[#This Row],[1.11]]</f>
        <v>1 P</v>
      </c>
      <c r="O50" s="39" t="str">
        <f>[2]!Tabla1[[#This Row],[1.12]]</f>
        <v>1 P</v>
      </c>
      <c r="P50" s="39" t="str">
        <f>[2]!Tabla1[[#This Row],[1.13]]</f>
        <v>1 P</v>
      </c>
      <c r="Q50" s="39" t="str">
        <f>[2]!Tabla1[[#This Row],[1.14]]</f>
        <v>0 F</v>
      </c>
      <c r="R50" s="39" t="str">
        <f>[2]!Tabla1[[#This Row],[2.1]]</f>
        <v>0 F</v>
      </c>
      <c r="S50" s="39" t="str">
        <f>[2]!Tabla1[[#This Row],[2.2]]</f>
        <v>1 P</v>
      </c>
      <c r="T50" s="39" t="str">
        <f>[2]!Tabla1[[#This Row],[2.3]]</f>
        <v>1 P</v>
      </c>
      <c r="U50" s="39" t="str">
        <f>[2]!Tabla1[[#This Row],[2.4]]</f>
        <v>0 F</v>
      </c>
      <c r="V50" s="39" t="str">
        <f>[2]!Tabla1[[#This Row],[2.5]]</f>
        <v>1 P</v>
      </c>
      <c r="W50" s="39" t="str">
        <f>[2]!Tabla1[[#This Row],[2.6]]</f>
        <v>1 P</v>
      </c>
      <c r="X50">
        <f>[2]!Tabla1[[#This Row],[Fallos Nivel A]]</f>
        <v>4</v>
      </c>
      <c r="Y50">
        <f>[2]!Tabla1[[#This Row],[Fallos Nivel AA]]</f>
        <v>2</v>
      </c>
      <c r="Z50" s="1">
        <f>[2]!Tabla1[[#This Row],[Nivel de adecuación estimado original]]</f>
        <v>0</v>
      </c>
      <c r="AA50" s="1" t="str">
        <f>[2]!Tabla1[[#This Row],[Check original]]</f>
        <v>No válido</v>
      </c>
      <c r="AB50" s="1" t="str">
        <f>[2]!Tabla1[[#This Row],[Nivel de adecuación estimado sin 1.7 y 2.1]]</f>
        <v>No válido</v>
      </c>
    </row>
    <row r="51" spans="1:28" x14ac:dyDescent="0.25">
      <c r="A51" t="str">
        <f>[2]!Tabla1[[#This Row],[Archivo]]</f>
        <v>4.0 GrPRI 38-74</v>
      </c>
      <c r="B51" s="1" t="str">
        <f>[2]!Tabla1[[#This Row],[Página]]</f>
        <v>Página 19</v>
      </c>
      <c r="C51" t="str">
        <f>[2]!Tabla1[[#This Row],[URL]]</f>
        <v>https://balneaburgos.es</v>
      </c>
      <c r="D51" s="39" t="str">
        <f>[2]!Tabla1[[#This Row],[1.1]]</f>
        <v>0 F</v>
      </c>
      <c r="E51" s="39" t="str">
        <f>[2]!Tabla1[[#This Row],[1.2]]</f>
        <v>0 F</v>
      </c>
      <c r="F51" s="39" t="str">
        <f>[2]!Tabla1[[#This Row],[1.3]]</f>
        <v>1 P</v>
      </c>
      <c r="G51" s="39" t="str">
        <f>[2]!Tabla1[[#This Row],[1.4]]</f>
        <v>- P</v>
      </c>
      <c r="H51" s="39" t="str">
        <f>[2]!Tabla1[[#This Row],[1.5]]</f>
        <v>0 F</v>
      </c>
      <c r="I51" s="39" t="str">
        <f>[2]!Tabla1[[#This Row],[1.6]]</f>
        <v>0 F</v>
      </c>
      <c r="J51" s="39" t="str">
        <f>[2]!Tabla1[[#This Row],[1.7]]</f>
        <v>0 F</v>
      </c>
      <c r="K51" s="39" t="str">
        <f>[2]!Tabla1[[#This Row],[1.8]]</f>
        <v>1 P</v>
      </c>
      <c r="L51" s="39" t="str">
        <f>[2]!Tabla1[[#This Row],[1.9]]</f>
        <v>0 F</v>
      </c>
      <c r="M51" s="39" t="str">
        <f>[2]!Tabla1[[#This Row],[1.10]]</f>
        <v>1 P</v>
      </c>
      <c r="N51" s="39" t="str">
        <f>[2]!Tabla1[[#This Row],[1.11]]</f>
        <v>1 P</v>
      </c>
      <c r="O51" s="39" t="str">
        <f>[2]!Tabla1[[#This Row],[1.12]]</f>
        <v>0 F</v>
      </c>
      <c r="P51" s="39" t="str">
        <f>[2]!Tabla1[[#This Row],[1.13]]</f>
        <v>1 P</v>
      </c>
      <c r="Q51" s="39" t="str">
        <f>[2]!Tabla1[[#This Row],[1.14]]</f>
        <v>0 F</v>
      </c>
      <c r="R51" s="39" t="str">
        <f>[2]!Tabla1[[#This Row],[2.1]]</f>
        <v>0 F</v>
      </c>
      <c r="S51" s="39" t="str">
        <f>[2]!Tabla1[[#This Row],[2.2]]</f>
        <v>1 P</v>
      </c>
      <c r="T51" s="39" t="str">
        <f>[2]!Tabla1[[#This Row],[2.3]]</f>
        <v>1 P</v>
      </c>
      <c r="U51" s="39" t="str">
        <f>[2]!Tabla1[[#This Row],[2.4]]</f>
        <v>1 P</v>
      </c>
      <c r="V51" s="39" t="str">
        <f>[2]!Tabla1[[#This Row],[2.5]]</f>
        <v>1 P</v>
      </c>
      <c r="W51" s="39" t="str">
        <f>[2]!Tabla1[[#This Row],[2.6]]</f>
        <v>1 P</v>
      </c>
      <c r="X51">
        <f>[2]!Tabla1[[#This Row],[Fallos Nivel A]]</f>
        <v>8</v>
      </c>
      <c r="Y51">
        <f>[2]!Tabla1[[#This Row],[Fallos Nivel AA]]</f>
        <v>1</v>
      </c>
      <c r="Z51" s="1">
        <f>[2]!Tabla1[[#This Row],[Nivel de adecuación estimado original]]</f>
        <v>0</v>
      </c>
      <c r="AA51" s="1" t="str">
        <f>[2]!Tabla1[[#This Row],[Check original]]</f>
        <v>No válido</v>
      </c>
      <c r="AB51" s="1" t="str">
        <f>[2]!Tabla1[[#This Row],[Nivel de adecuación estimado sin 1.7 y 2.1]]</f>
        <v>No válido</v>
      </c>
    </row>
    <row r="52" spans="1:28" x14ac:dyDescent="0.25">
      <c r="A52" t="str">
        <f>[2]!Tabla1[[#This Row],[Archivo]]</f>
        <v>4.0 GrPRI 38-74</v>
      </c>
      <c r="B52" s="1" t="str">
        <f>[2]!Tabla1[[#This Row],[Página]]</f>
        <v>Página 20</v>
      </c>
      <c r="C52" s="22" t="str">
        <f>[2]!Tabla1[[#This Row],[URL]]</f>
        <v>https://www.ovidiarader.com/ca/inici</v>
      </c>
      <c r="D52" s="39" t="str">
        <f>[2]!Tabla1[[#This Row],[1.1]]</f>
        <v>0 F</v>
      </c>
      <c r="E52" s="39" t="str">
        <f>[2]!Tabla1[[#This Row],[1.2]]</f>
        <v>0 F</v>
      </c>
      <c r="F52" s="39" t="str">
        <f>[2]!Tabla1[[#This Row],[1.3]]</f>
        <v>1 P</v>
      </c>
      <c r="G52" s="39" t="str">
        <f>[2]!Tabla1[[#This Row],[1.4]]</f>
        <v>- P</v>
      </c>
      <c r="H52" s="39" t="str">
        <f>[2]!Tabla1[[#This Row],[1.5]]</f>
        <v>0 F</v>
      </c>
      <c r="I52" s="39" t="str">
        <f>[2]!Tabla1[[#This Row],[1.6]]</f>
        <v>1 P</v>
      </c>
      <c r="J52" s="39" t="str">
        <f>[2]!Tabla1[[#This Row],[1.7]]</f>
        <v>0 F</v>
      </c>
      <c r="K52" s="39" t="str">
        <f>[2]!Tabla1[[#This Row],[1.8]]</f>
        <v>1 P</v>
      </c>
      <c r="L52" s="39" t="str">
        <f>[2]!Tabla1[[#This Row],[1.9]]</f>
        <v>0 F</v>
      </c>
      <c r="M52" s="39" t="str">
        <f>[2]!Tabla1[[#This Row],[1.10]]</f>
        <v>1 P</v>
      </c>
      <c r="N52" s="39" t="str">
        <f>[2]!Tabla1[[#This Row],[1.11]]</f>
        <v>1 P</v>
      </c>
      <c r="O52" s="39" t="str">
        <f>[2]!Tabla1[[#This Row],[1.12]]</f>
        <v>0 F</v>
      </c>
      <c r="P52" s="39" t="str">
        <f>[2]!Tabla1[[#This Row],[1.13]]</f>
        <v>1 P</v>
      </c>
      <c r="Q52" s="39" t="str">
        <f>[2]!Tabla1[[#This Row],[1.14]]</f>
        <v>0 F</v>
      </c>
      <c r="R52" s="39" t="str">
        <f>[2]!Tabla1[[#This Row],[2.1]]</f>
        <v>0 F</v>
      </c>
      <c r="S52" s="39" t="str">
        <f>[2]!Tabla1[[#This Row],[2.2]]</f>
        <v>1 P</v>
      </c>
      <c r="T52" s="39" t="str">
        <f>[2]!Tabla1[[#This Row],[2.3]]</f>
        <v>1 P</v>
      </c>
      <c r="U52" s="39" t="str">
        <f>[2]!Tabla1[[#This Row],[2.4]]</f>
        <v>1 P</v>
      </c>
      <c r="V52" s="39" t="str">
        <f>[2]!Tabla1[[#This Row],[2.5]]</f>
        <v>0 F</v>
      </c>
      <c r="W52" s="39" t="str">
        <f>[2]!Tabla1[[#This Row],[2.6]]</f>
        <v>0 F</v>
      </c>
      <c r="X52">
        <f>[2]!Tabla1[[#This Row],[Fallos Nivel A]]</f>
        <v>7</v>
      </c>
      <c r="Y52">
        <f>[2]!Tabla1[[#This Row],[Fallos Nivel AA]]</f>
        <v>3</v>
      </c>
      <c r="Z52" s="1">
        <f>[2]!Tabla1[[#This Row],[Nivel de adecuación estimado original]]</f>
        <v>0</v>
      </c>
      <c r="AA52" s="1" t="str">
        <f>[2]!Tabla1[[#This Row],[Check original]]</f>
        <v>No válido</v>
      </c>
      <c r="AB52" s="1" t="str">
        <f>[2]!Tabla1[[#This Row],[Nivel de adecuación estimado sin 1.7 y 2.1]]</f>
        <v>No válido</v>
      </c>
    </row>
    <row r="53" spans="1:28" x14ac:dyDescent="0.25">
      <c r="A53" t="str">
        <f>[2]!Tabla1[[#This Row],[Archivo]]</f>
        <v>4.0 GrPRI 38-74</v>
      </c>
      <c r="B53" s="1" t="str">
        <f>[2]!Tabla1[[#This Row],[Página]]</f>
        <v>Página 21</v>
      </c>
      <c r="C53" t="str">
        <f>[2]!Tabla1[[#This Row],[URL]]</f>
        <v>https://oligofastx.com</v>
      </c>
      <c r="D53" s="39" t="str">
        <f>[2]!Tabla1[[#This Row],[1.1]]</f>
        <v>1 P</v>
      </c>
      <c r="E53" s="39" t="str">
        <f>[2]!Tabla1[[#This Row],[1.2]]</f>
        <v>0 F</v>
      </c>
      <c r="F53" s="39" t="str">
        <f>[2]!Tabla1[[#This Row],[1.3]]</f>
        <v>0 F</v>
      </c>
      <c r="G53" s="39" t="str">
        <f>[2]!Tabla1[[#This Row],[1.4]]</f>
        <v>- P</v>
      </c>
      <c r="H53" s="39" t="str">
        <f>[2]!Tabla1[[#This Row],[1.5]]</f>
        <v>0 F</v>
      </c>
      <c r="I53" s="39" t="str">
        <f>[2]!Tabla1[[#This Row],[1.6]]</f>
        <v>0 F</v>
      </c>
      <c r="J53" s="39" t="str">
        <f>[2]!Tabla1[[#This Row],[1.7]]</f>
        <v>0 F</v>
      </c>
      <c r="K53" s="39" t="str">
        <f>[2]!Tabla1[[#This Row],[1.8]]</f>
        <v>1 P</v>
      </c>
      <c r="L53" s="39" t="str">
        <f>[2]!Tabla1[[#This Row],[1.9]]</f>
        <v>0 F</v>
      </c>
      <c r="M53" s="39" t="str">
        <f>[2]!Tabla1[[#This Row],[1.10]]</f>
        <v>1 P</v>
      </c>
      <c r="N53" s="39" t="str">
        <f>[2]!Tabla1[[#This Row],[1.11]]</f>
        <v>1 P</v>
      </c>
      <c r="O53" s="39" t="str">
        <f>[2]!Tabla1[[#This Row],[1.12]]</f>
        <v>0 F</v>
      </c>
      <c r="P53" s="39" t="str">
        <f>[2]!Tabla1[[#This Row],[1.13]]</f>
        <v>1 P</v>
      </c>
      <c r="Q53" s="39" t="str">
        <f>[2]!Tabla1[[#This Row],[1.14]]</f>
        <v>1 P</v>
      </c>
      <c r="R53" s="39" t="str">
        <f>[2]!Tabla1[[#This Row],[2.1]]</f>
        <v>0 F</v>
      </c>
      <c r="S53" s="39" t="str">
        <f>[2]!Tabla1[[#This Row],[2.2]]</f>
        <v>1 P</v>
      </c>
      <c r="T53" s="39" t="str">
        <f>[2]!Tabla1[[#This Row],[2.3]]</f>
        <v>1 P</v>
      </c>
      <c r="U53" s="39" t="str">
        <f>[2]!Tabla1[[#This Row],[2.4]]</f>
        <v>1 P</v>
      </c>
      <c r="V53" s="39" t="str">
        <f>[2]!Tabla1[[#This Row],[2.5]]</f>
        <v>0 F</v>
      </c>
      <c r="W53" s="39" t="str">
        <f>[2]!Tabla1[[#This Row],[2.6]]</f>
        <v>1 P</v>
      </c>
      <c r="X53">
        <f>[2]!Tabla1[[#This Row],[Fallos Nivel A]]</f>
        <v>7</v>
      </c>
      <c r="Y53">
        <f>[2]!Tabla1[[#This Row],[Fallos Nivel AA]]</f>
        <v>2</v>
      </c>
      <c r="Z53" s="1">
        <f>[2]!Tabla1[[#This Row],[Nivel de adecuación estimado original]]</f>
        <v>0</v>
      </c>
      <c r="AA53" s="1" t="str">
        <f>[2]!Tabla1[[#This Row],[Check original]]</f>
        <v>No válido</v>
      </c>
      <c r="AB53" s="1" t="str">
        <f>[2]!Tabla1[[#This Row],[Nivel de adecuación estimado sin 1.7 y 2.1]]</f>
        <v>No válido</v>
      </c>
    </row>
    <row r="54" spans="1:28" x14ac:dyDescent="0.25">
      <c r="A54" t="str">
        <f>[2]!Tabla1[[#This Row],[Archivo]]</f>
        <v>4.0 GrPRI 38-74</v>
      </c>
      <c r="B54" s="1" t="str">
        <f>[2]!Tabla1[[#This Row],[Página]]</f>
        <v>Página 22</v>
      </c>
      <c r="C54" s="22" t="str">
        <f>[2]!Tabla1[[#This Row],[URL]]</f>
        <v>https://almerishisha.com</v>
      </c>
      <c r="D54" s="39" t="str">
        <f>[2]!Tabla1[[#This Row],[1.1]]</f>
        <v>0 F</v>
      </c>
      <c r="E54" s="39" t="str">
        <f>[2]!Tabla1[[#This Row],[1.2]]</f>
        <v>0 F</v>
      </c>
      <c r="F54" s="39" t="str">
        <f>[2]!Tabla1[[#This Row],[1.3]]</f>
        <v>0 F</v>
      </c>
      <c r="G54" s="39" t="str">
        <f>[2]!Tabla1[[#This Row],[1.4]]</f>
        <v>- P</v>
      </c>
      <c r="H54" s="39" t="str">
        <f>[2]!Tabla1[[#This Row],[1.5]]</f>
        <v>0 F</v>
      </c>
      <c r="I54" s="39" t="str">
        <f>[2]!Tabla1[[#This Row],[1.6]]</f>
        <v>0 F</v>
      </c>
      <c r="J54" s="39" t="str">
        <f>[2]!Tabla1[[#This Row],[1.7]]</f>
        <v>0 F</v>
      </c>
      <c r="K54" s="39" t="str">
        <f>[2]!Tabla1[[#This Row],[1.8]]</f>
        <v>1 P</v>
      </c>
      <c r="L54" s="39" t="str">
        <f>[2]!Tabla1[[#This Row],[1.9]]</f>
        <v>0 F</v>
      </c>
      <c r="M54" s="39" t="str">
        <f>[2]!Tabla1[[#This Row],[1.10]]</f>
        <v>0 F</v>
      </c>
      <c r="N54" s="39" t="str">
        <f>[2]!Tabla1[[#This Row],[1.11]]</f>
        <v>1 P</v>
      </c>
      <c r="O54" s="39" t="str">
        <f>[2]!Tabla1[[#This Row],[1.12]]</f>
        <v>0 F</v>
      </c>
      <c r="P54" s="39" t="str">
        <f>[2]!Tabla1[[#This Row],[1.13]]</f>
        <v>1 P</v>
      </c>
      <c r="Q54" s="39" t="str">
        <f>[2]!Tabla1[[#This Row],[1.14]]</f>
        <v>0 F</v>
      </c>
      <c r="R54" s="39" t="str">
        <f>[2]!Tabla1[[#This Row],[2.1]]</f>
        <v>0 F</v>
      </c>
      <c r="S54" s="39" t="str">
        <f>[2]!Tabla1[[#This Row],[2.2]]</f>
        <v>0 F</v>
      </c>
      <c r="T54" s="39" t="str">
        <f>[2]!Tabla1[[#This Row],[2.3]]</f>
        <v>1 P</v>
      </c>
      <c r="U54" s="39" t="str">
        <f>[2]!Tabla1[[#This Row],[2.4]]</f>
        <v>1 P</v>
      </c>
      <c r="V54" s="39" t="str">
        <f>[2]!Tabla1[[#This Row],[2.5]]</f>
        <v>0 F</v>
      </c>
      <c r="W54" s="39" t="str">
        <f>[2]!Tabla1[[#This Row],[2.6]]</f>
        <v>1 P</v>
      </c>
      <c r="X54">
        <f>[2]!Tabla1[[#This Row],[Fallos Nivel A]]</f>
        <v>10</v>
      </c>
      <c r="Y54">
        <f>[2]!Tabla1[[#This Row],[Fallos Nivel AA]]</f>
        <v>3</v>
      </c>
      <c r="Z54" s="1">
        <f>[2]!Tabla1[[#This Row],[Nivel de adecuación estimado original]]</f>
        <v>0</v>
      </c>
      <c r="AA54" s="1" t="str">
        <f>[2]!Tabla1[[#This Row],[Check original]]</f>
        <v>No válido</v>
      </c>
      <c r="AB54" s="1" t="str">
        <f>[2]!Tabla1[[#This Row],[Nivel de adecuación estimado sin 1.7 y 2.1]]</f>
        <v>No válido</v>
      </c>
    </row>
    <row r="55" spans="1:28" x14ac:dyDescent="0.25">
      <c r="A55" t="str">
        <f>[2]!Tabla1[[#This Row],[Archivo]]</f>
        <v>4.0 GrPRI 38-74</v>
      </c>
      <c r="B55" s="1" t="str">
        <f>[2]!Tabla1[[#This Row],[Página]]</f>
        <v>Página 23</v>
      </c>
      <c r="C55" t="str">
        <f>[2]!Tabla1[[#This Row],[URL]]</f>
        <v>https://calsalut.com</v>
      </c>
      <c r="D55" s="39" t="str">
        <f>[2]!Tabla1[[#This Row],[1.1]]</f>
        <v>1 P</v>
      </c>
      <c r="E55" s="39" t="str">
        <f>[2]!Tabla1[[#This Row],[1.2]]</f>
        <v>0 F</v>
      </c>
      <c r="F55" s="39" t="str">
        <f>[2]!Tabla1[[#This Row],[1.3]]</f>
        <v>0 F</v>
      </c>
      <c r="G55" s="39" t="str">
        <f>[2]!Tabla1[[#This Row],[1.4]]</f>
        <v>- P</v>
      </c>
      <c r="H55" s="39" t="str">
        <f>[2]!Tabla1[[#This Row],[1.5]]</f>
        <v>1 P</v>
      </c>
      <c r="I55" s="39" t="str">
        <f>[2]!Tabla1[[#This Row],[1.6]]</f>
        <v>0 F</v>
      </c>
      <c r="J55" s="39" t="str">
        <f>[2]!Tabla1[[#This Row],[1.7]]</f>
        <v>0 F</v>
      </c>
      <c r="K55" s="39" t="str">
        <f>[2]!Tabla1[[#This Row],[1.8]]</f>
        <v>1 P</v>
      </c>
      <c r="L55" s="39" t="str">
        <f>[2]!Tabla1[[#This Row],[1.9]]</f>
        <v>1 P</v>
      </c>
      <c r="M55" s="39" t="str">
        <f>[2]!Tabla1[[#This Row],[1.10]]</f>
        <v>1 P</v>
      </c>
      <c r="N55" s="39" t="str">
        <f>[2]!Tabla1[[#This Row],[1.11]]</f>
        <v>1 P</v>
      </c>
      <c r="O55" s="39" t="str">
        <f>[2]!Tabla1[[#This Row],[1.12]]</f>
        <v>0 F</v>
      </c>
      <c r="P55" s="39" t="str">
        <f>[2]!Tabla1[[#This Row],[1.13]]</f>
        <v>1 P</v>
      </c>
      <c r="Q55" s="39" t="str">
        <f>[2]!Tabla1[[#This Row],[1.14]]</f>
        <v>0 F</v>
      </c>
      <c r="R55" s="39" t="str">
        <f>[2]!Tabla1[[#This Row],[2.1]]</f>
        <v>0 F</v>
      </c>
      <c r="S55" s="39" t="str">
        <f>[2]!Tabla1[[#This Row],[2.2]]</f>
        <v>1 P</v>
      </c>
      <c r="T55" s="39" t="str">
        <f>[2]!Tabla1[[#This Row],[2.3]]</f>
        <v>1 P</v>
      </c>
      <c r="U55" s="39" t="str">
        <f>[2]!Tabla1[[#This Row],[2.4]]</f>
        <v>0 F</v>
      </c>
      <c r="V55" s="39" t="str">
        <f>[2]!Tabla1[[#This Row],[2.5]]</f>
        <v>0 F</v>
      </c>
      <c r="W55" s="39" t="str">
        <f>[2]!Tabla1[[#This Row],[2.6]]</f>
        <v>1 P</v>
      </c>
      <c r="X55">
        <f>[2]!Tabla1[[#This Row],[Fallos Nivel A]]</f>
        <v>6</v>
      </c>
      <c r="Y55">
        <f>[2]!Tabla1[[#This Row],[Fallos Nivel AA]]</f>
        <v>3</v>
      </c>
      <c r="Z55" s="1">
        <f>[2]!Tabla1[[#This Row],[Nivel de adecuación estimado original]]</f>
        <v>0</v>
      </c>
      <c r="AA55" s="1" t="str">
        <f>[2]!Tabla1[[#This Row],[Check original]]</f>
        <v>No válido</v>
      </c>
      <c r="AB55" s="1" t="str">
        <f>[2]!Tabla1[[#This Row],[Nivel de adecuación estimado sin 1.7 y 2.1]]</f>
        <v>No válido</v>
      </c>
    </row>
    <row r="56" spans="1:28" x14ac:dyDescent="0.25">
      <c r="A56" t="str">
        <f>[2]!Tabla1[[#This Row],[Archivo]]</f>
        <v>4.0 GrPRI 38-74</v>
      </c>
      <c r="B56" s="1" t="str">
        <f>[2]!Tabla1[[#This Row],[Página]]</f>
        <v>Página 24</v>
      </c>
      <c r="C56" s="22" t="str">
        <f>[2]!Tabla1[[#This Row],[URL]]</f>
        <v>https://newsterpan.com</v>
      </c>
      <c r="D56" s="39" t="str">
        <f>[2]!Tabla1[[#This Row],[1.1]]</f>
        <v>1 P</v>
      </c>
      <c r="E56" s="39" t="str">
        <f>[2]!Tabla1[[#This Row],[1.2]]</f>
        <v>0 F</v>
      </c>
      <c r="F56" s="39" t="str">
        <f>[2]!Tabla1[[#This Row],[1.3]]</f>
        <v>1 P</v>
      </c>
      <c r="G56" s="39" t="str">
        <f>[2]!Tabla1[[#This Row],[1.4]]</f>
        <v>- P</v>
      </c>
      <c r="H56" s="39" t="str">
        <f>[2]!Tabla1[[#This Row],[1.5]]</f>
        <v>1 P</v>
      </c>
      <c r="I56" s="39" t="str">
        <f>[2]!Tabla1[[#This Row],[1.6]]</f>
        <v>1 P</v>
      </c>
      <c r="J56" s="39" t="str">
        <f>[2]!Tabla1[[#This Row],[1.7]]</f>
        <v>0 F</v>
      </c>
      <c r="K56" s="39" t="str">
        <f>[2]!Tabla1[[#This Row],[1.8]]</f>
        <v>1 P</v>
      </c>
      <c r="L56" s="39" t="str">
        <f>[2]!Tabla1[[#This Row],[1.9]]</f>
        <v>- P</v>
      </c>
      <c r="M56" s="39" t="str">
        <f>[2]!Tabla1[[#This Row],[1.10]]</f>
        <v>- P</v>
      </c>
      <c r="N56" s="39" t="str">
        <f>[2]!Tabla1[[#This Row],[1.11]]</f>
        <v>1 P</v>
      </c>
      <c r="O56" s="39" t="str">
        <f>[2]!Tabla1[[#This Row],[1.12]]</f>
        <v>0 F</v>
      </c>
      <c r="P56" s="39" t="str">
        <f>[2]!Tabla1[[#This Row],[1.13]]</f>
        <v>1 P</v>
      </c>
      <c r="Q56" s="39" t="str">
        <f>[2]!Tabla1[[#This Row],[1.14]]</f>
        <v>0 F</v>
      </c>
      <c r="R56" s="39" t="str">
        <f>[2]!Tabla1[[#This Row],[2.1]]</f>
        <v>0 F</v>
      </c>
      <c r="S56" s="39" t="str">
        <f>[2]!Tabla1[[#This Row],[2.2]]</f>
        <v>1 P</v>
      </c>
      <c r="T56" s="39" t="str">
        <f>[2]!Tabla1[[#This Row],[2.3]]</f>
        <v>1 P</v>
      </c>
      <c r="U56" s="39" t="str">
        <f>[2]!Tabla1[[#This Row],[2.4]]</f>
        <v>0 F</v>
      </c>
      <c r="V56" s="39" t="str">
        <f>[2]!Tabla1[[#This Row],[2.5]]</f>
        <v>0 F</v>
      </c>
      <c r="W56" s="39" t="str">
        <f>[2]!Tabla1[[#This Row],[2.6]]</f>
        <v>1 P</v>
      </c>
      <c r="X56">
        <f>[2]!Tabla1[[#This Row],[Fallos Nivel A]]</f>
        <v>4</v>
      </c>
      <c r="Y56">
        <f>[2]!Tabla1[[#This Row],[Fallos Nivel AA]]</f>
        <v>3</v>
      </c>
      <c r="Z56" s="1">
        <f>[2]!Tabla1[[#This Row],[Nivel de adecuación estimado original]]</f>
        <v>0</v>
      </c>
      <c r="AA56" s="1" t="str">
        <f>[2]!Tabla1[[#This Row],[Check original]]</f>
        <v>No válido</v>
      </c>
      <c r="AB56" s="1" t="str">
        <f>[2]!Tabla1[[#This Row],[Nivel de adecuación estimado sin 1.7 y 2.1]]</f>
        <v>No válido</v>
      </c>
    </row>
    <row r="57" spans="1:28" x14ac:dyDescent="0.25">
      <c r="A57" t="str">
        <f>[2]!Tabla1[[#This Row],[Archivo]]</f>
        <v>4.0 GrPRI 38-74</v>
      </c>
      <c r="B57" s="1" t="str">
        <f>[2]!Tabla1[[#This Row],[Página]]</f>
        <v>Página 25</v>
      </c>
      <c r="C57" t="str">
        <f>[2]!Tabla1[[#This Row],[URL]]</f>
        <v>https://www.popularlibros.com</v>
      </c>
      <c r="D57" s="39" t="str">
        <f>[2]!Tabla1[[#This Row],[1.1]]</f>
        <v>0 F</v>
      </c>
      <c r="E57" s="39" t="str">
        <f>[2]!Tabla1[[#This Row],[1.2]]</f>
        <v>0 F</v>
      </c>
      <c r="F57" s="39" t="str">
        <f>[2]!Tabla1[[#This Row],[1.3]]</f>
        <v>0 F</v>
      </c>
      <c r="G57" s="39" t="str">
        <f>[2]!Tabla1[[#This Row],[1.4]]</f>
        <v>- P</v>
      </c>
      <c r="H57" s="39" t="str">
        <f>[2]!Tabla1[[#This Row],[1.5]]</f>
        <v>0 F</v>
      </c>
      <c r="I57" s="39" t="str">
        <f>[2]!Tabla1[[#This Row],[1.6]]</f>
        <v>1 P</v>
      </c>
      <c r="J57" s="39" t="str">
        <f>[2]!Tabla1[[#This Row],[1.7]]</f>
        <v>0 F</v>
      </c>
      <c r="K57" s="39" t="str">
        <f>[2]!Tabla1[[#This Row],[1.8]]</f>
        <v>1 P</v>
      </c>
      <c r="L57" s="39" t="str">
        <f>[2]!Tabla1[[#This Row],[1.9]]</f>
        <v>0 F</v>
      </c>
      <c r="M57" s="39" t="str">
        <f>[2]!Tabla1[[#This Row],[1.10]]</f>
        <v>1 P</v>
      </c>
      <c r="N57" s="39" t="str">
        <f>[2]!Tabla1[[#This Row],[1.11]]</f>
        <v>0 F</v>
      </c>
      <c r="O57" s="39" t="str">
        <f>[2]!Tabla1[[#This Row],[1.12]]</f>
        <v>0 F</v>
      </c>
      <c r="P57" s="39" t="str">
        <f>[2]!Tabla1[[#This Row],[1.13]]</f>
        <v>1 P</v>
      </c>
      <c r="Q57" s="39" t="str">
        <f>[2]!Tabla1[[#This Row],[1.14]]</f>
        <v>0 F</v>
      </c>
      <c r="R57" s="39" t="str">
        <f>[2]!Tabla1[[#This Row],[2.1]]</f>
        <v>0 F</v>
      </c>
      <c r="S57" s="39" t="str">
        <f>[2]!Tabla1[[#This Row],[2.2]]</f>
        <v>0 F</v>
      </c>
      <c r="T57" s="39" t="str">
        <f>[2]!Tabla1[[#This Row],[2.3]]</f>
        <v>1 P</v>
      </c>
      <c r="U57" s="39" t="str">
        <f>[2]!Tabla1[[#This Row],[2.4]]</f>
        <v>0 F</v>
      </c>
      <c r="V57" s="39" t="str">
        <f>[2]!Tabla1[[#This Row],[2.5]]</f>
        <v>0 F</v>
      </c>
      <c r="W57" s="39" t="str">
        <f>[2]!Tabla1[[#This Row],[2.6]]</f>
        <v>0 F</v>
      </c>
      <c r="X57">
        <f>[2]!Tabla1[[#This Row],[Fallos Nivel A]]</f>
        <v>9</v>
      </c>
      <c r="Y57">
        <f>[2]!Tabla1[[#This Row],[Fallos Nivel AA]]</f>
        <v>5</v>
      </c>
      <c r="Z57" s="1">
        <f>[2]!Tabla1[[#This Row],[Nivel de adecuación estimado original]]</f>
        <v>0</v>
      </c>
      <c r="AA57" s="1" t="str">
        <f>[2]!Tabla1[[#This Row],[Check original]]</f>
        <v>No válido</v>
      </c>
      <c r="AB57" s="1" t="str">
        <f>[2]!Tabla1[[#This Row],[Nivel de adecuación estimado sin 1.7 y 2.1]]</f>
        <v>No válido</v>
      </c>
    </row>
    <row r="58" spans="1:28" x14ac:dyDescent="0.25">
      <c r="A58" t="str">
        <f>[2]!Tabla1[[#This Row],[Archivo]]</f>
        <v>4.0 GrPRI 38-74</v>
      </c>
      <c r="B58" s="1" t="str">
        <f>[2]!Tabla1[[#This Row],[Página]]</f>
        <v>Página 26</v>
      </c>
      <c r="C58" s="22" t="str">
        <f>[2]!Tabla1[[#This Row],[URL]]</f>
        <v>https://www.fisela.net</v>
      </c>
      <c r="D58" s="39" t="str">
        <f>[2]!Tabla1[[#This Row],[1.1]]</f>
        <v>1 P</v>
      </c>
      <c r="E58" s="39" t="str">
        <f>[2]!Tabla1[[#This Row],[1.2]]</f>
        <v>0 F</v>
      </c>
      <c r="F58" s="39" t="str">
        <f>[2]!Tabla1[[#This Row],[1.3]]</f>
        <v>1 P</v>
      </c>
      <c r="G58" s="39" t="str">
        <f>[2]!Tabla1[[#This Row],[1.4]]</f>
        <v>- P</v>
      </c>
      <c r="H58" s="39" t="str">
        <f>[2]!Tabla1[[#This Row],[1.5]]</f>
        <v>0 F</v>
      </c>
      <c r="I58" s="39" t="str">
        <f>[2]!Tabla1[[#This Row],[1.6]]</f>
        <v>0 F</v>
      </c>
      <c r="J58" s="39" t="str">
        <f>[2]!Tabla1[[#This Row],[1.7]]</f>
        <v>0 F</v>
      </c>
      <c r="K58" s="39" t="str">
        <f>[2]!Tabla1[[#This Row],[1.8]]</f>
        <v>1 P</v>
      </c>
      <c r="L58" s="39" t="str">
        <f>[2]!Tabla1[[#This Row],[1.9]]</f>
        <v>1 P</v>
      </c>
      <c r="M58" s="39" t="str">
        <f>[2]!Tabla1[[#This Row],[1.10]]</f>
        <v>1 P</v>
      </c>
      <c r="N58" s="39" t="str">
        <f>[2]!Tabla1[[#This Row],[1.11]]</f>
        <v>1 P</v>
      </c>
      <c r="O58" s="39" t="str">
        <f>[2]!Tabla1[[#This Row],[1.12]]</f>
        <v>0 F</v>
      </c>
      <c r="P58" s="39" t="str">
        <f>[2]!Tabla1[[#This Row],[1.13]]</f>
        <v>1 P</v>
      </c>
      <c r="Q58" s="39" t="str">
        <f>[2]!Tabla1[[#This Row],[1.14]]</f>
        <v>0 F</v>
      </c>
      <c r="R58" s="39" t="str">
        <f>[2]!Tabla1[[#This Row],[2.1]]</f>
        <v>0 F</v>
      </c>
      <c r="S58" s="39" t="str">
        <f>[2]!Tabla1[[#This Row],[2.2]]</f>
        <v>0 F</v>
      </c>
      <c r="T58" s="39" t="str">
        <f>[2]!Tabla1[[#This Row],[2.3]]</f>
        <v>0 F</v>
      </c>
      <c r="U58" s="39" t="str">
        <f>[2]!Tabla1[[#This Row],[2.4]]</f>
        <v>0 F</v>
      </c>
      <c r="V58" s="39" t="str">
        <f>[2]!Tabla1[[#This Row],[2.5]]</f>
        <v>1 P</v>
      </c>
      <c r="W58" s="39" t="str">
        <f>[2]!Tabla1[[#This Row],[2.6]]</f>
        <v>1 P</v>
      </c>
      <c r="X58">
        <f>[2]!Tabla1[[#This Row],[Fallos Nivel A]]</f>
        <v>6</v>
      </c>
      <c r="Y58">
        <f>[2]!Tabla1[[#This Row],[Fallos Nivel AA]]</f>
        <v>4</v>
      </c>
      <c r="Z58" s="1">
        <f>[2]!Tabla1[[#This Row],[Nivel de adecuación estimado original]]</f>
        <v>0</v>
      </c>
      <c r="AA58" s="1" t="str">
        <f>[2]!Tabla1[[#This Row],[Check original]]</f>
        <v>No válido</v>
      </c>
      <c r="AB58" s="1" t="str">
        <f>[2]!Tabla1[[#This Row],[Nivel de adecuación estimado sin 1.7 y 2.1]]</f>
        <v>No válido</v>
      </c>
    </row>
    <row r="59" spans="1:28" x14ac:dyDescent="0.25">
      <c r="A59" t="str">
        <f>[2]!Tabla1[[#This Row],[Archivo]]</f>
        <v>4.0 GrPRI 38-74</v>
      </c>
      <c r="B59" s="1" t="str">
        <f>[2]!Tabla1[[#This Row],[Página]]</f>
        <v>Página 27</v>
      </c>
      <c r="C59" t="str">
        <f>[2]!Tabla1[[#This Row],[URL]]</f>
        <v>https://politecnicoestella.educacion.navarra.es</v>
      </c>
      <c r="D59" s="39" t="str">
        <f>[2]!Tabla1[[#This Row],[1.1]]</f>
        <v>1 P</v>
      </c>
      <c r="E59" s="39" t="str">
        <f>[2]!Tabla1[[#This Row],[1.2]]</f>
        <v>1 P</v>
      </c>
      <c r="F59" s="39" t="str">
        <f>[2]!Tabla1[[#This Row],[1.3]]</f>
        <v>1 P</v>
      </c>
      <c r="G59" s="39" t="str">
        <f>[2]!Tabla1[[#This Row],[1.4]]</f>
        <v>1 P</v>
      </c>
      <c r="H59" s="39" t="str">
        <f>[2]!Tabla1[[#This Row],[1.5]]</f>
        <v>1 P</v>
      </c>
      <c r="I59" s="39" t="str">
        <f>[2]!Tabla1[[#This Row],[1.6]]</f>
        <v>1 P</v>
      </c>
      <c r="J59" s="39" t="str">
        <f>[2]!Tabla1[[#This Row],[1.7]]</f>
        <v>0 F</v>
      </c>
      <c r="K59" s="39" t="str">
        <f>[2]!Tabla1[[#This Row],[1.8]]</f>
        <v>1 P</v>
      </c>
      <c r="L59" s="39" t="str">
        <f>[2]!Tabla1[[#This Row],[1.9]]</f>
        <v>1 P</v>
      </c>
      <c r="M59" s="39" t="str">
        <f>[2]!Tabla1[[#This Row],[1.10]]</f>
        <v>1 P</v>
      </c>
      <c r="N59" s="39" t="str">
        <f>[2]!Tabla1[[#This Row],[1.11]]</f>
        <v>1 P</v>
      </c>
      <c r="O59" s="39" t="str">
        <f>[2]!Tabla1[[#This Row],[1.12]]</f>
        <v>0 F</v>
      </c>
      <c r="P59" s="39" t="str">
        <f>[2]!Tabla1[[#This Row],[1.13]]</f>
        <v>1 P</v>
      </c>
      <c r="Q59" s="39" t="str">
        <f>[2]!Tabla1[[#This Row],[1.14]]</f>
        <v>1 P</v>
      </c>
      <c r="R59" s="39" t="str">
        <f>[2]!Tabla1[[#This Row],[2.1]]</f>
        <v>0 F</v>
      </c>
      <c r="S59" s="39" t="str">
        <f>[2]!Tabla1[[#This Row],[2.2]]</f>
        <v>0 F</v>
      </c>
      <c r="T59" s="39" t="str">
        <f>[2]!Tabla1[[#This Row],[2.3]]</f>
        <v>1 P</v>
      </c>
      <c r="U59" s="39" t="str">
        <f>[2]!Tabla1[[#This Row],[2.4]]</f>
        <v>1 P</v>
      </c>
      <c r="V59" s="39" t="str">
        <f>[2]!Tabla1[[#This Row],[2.5]]</f>
        <v>0 F</v>
      </c>
      <c r="W59" s="39" t="str">
        <f>[2]!Tabla1[[#This Row],[2.6]]</f>
        <v>1 P</v>
      </c>
      <c r="X59">
        <f>[2]!Tabla1[[#This Row],[Fallos Nivel A]]</f>
        <v>2</v>
      </c>
      <c r="Y59">
        <f>[2]!Tabla1[[#This Row],[Fallos Nivel AA]]</f>
        <v>3</v>
      </c>
      <c r="Z59" s="1">
        <f>[2]!Tabla1[[#This Row],[Nivel de adecuación estimado original]]</f>
        <v>0</v>
      </c>
      <c r="AA59" s="1" t="str">
        <f>[2]!Tabla1[[#This Row],[Check original]]</f>
        <v>A</v>
      </c>
      <c r="AB59" s="1" t="str">
        <f>[2]!Tabla1[[#This Row],[Nivel de adecuación estimado sin 1.7 y 2.1]]</f>
        <v>AA</v>
      </c>
    </row>
    <row r="60" spans="1:28" x14ac:dyDescent="0.25">
      <c r="A60" t="str">
        <f>[2]!Tabla1[[#This Row],[Archivo]]</f>
        <v>4.0 GrPRI 38-74</v>
      </c>
      <c r="B60" s="1" t="str">
        <f>[2]!Tabla1[[#This Row],[Página]]</f>
        <v>Página 28</v>
      </c>
      <c r="C60" s="22" t="str">
        <f>[2]!Tabla1[[#This Row],[URL]]</f>
        <v>https://www.lamexicana.es</v>
      </c>
      <c r="D60" s="39" t="str">
        <f>[2]!Tabla1[[#This Row],[1.1]]</f>
        <v>0 F</v>
      </c>
      <c r="E60" s="39" t="str">
        <f>[2]!Tabla1[[#This Row],[1.2]]</f>
        <v>0 F</v>
      </c>
      <c r="F60" s="39" t="str">
        <f>[2]!Tabla1[[#This Row],[1.3]]</f>
        <v>0 F</v>
      </c>
      <c r="G60" s="39" t="str">
        <f>[2]!Tabla1[[#This Row],[1.4]]</f>
        <v>- P</v>
      </c>
      <c r="H60" s="39" t="str">
        <f>[2]!Tabla1[[#This Row],[1.5]]</f>
        <v>1 P</v>
      </c>
      <c r="I60" s="39" t="str">
        <f>[2]!Tabla1[[#This Row],[1.6]]</f>
        <v>1 P</v>
      </c>
      <c r="J60" s="39" t="str">
        <f>[2]!Tabla1[[#This Row],[1.7]]</f>
        <v>0 F</v>
      </c>
      <c r="K60" s="39" t="str">
        <f>[2]!Tabla1[[#This Row],[1.8]]</f>
        <v>1 P</v>
      </c>
      <c r="L60" s="39" t="str">
        <f>[2]!Tabla1[[#This Row],[1.9]]</f>
        <v>0 F</v>
      </c>
      <c r="M60" s="39" t="str">
        <f>[2]!Tabla1[[#This Row],[1.10]]</f>
        <v>1 P</v>
      </c>
      <c r="N60" s="39" t="str">
        <f>[2]!Tabla1[[#This Row],[1.11]]</f>
        <v>1 P</v>
      </c>
      <c r="O60" s="39" t="str">
        <f>[2]!Tabla1[[#This Row],[1.12]]</f>
        <v>0 F</v>
      </c>
      <c r="P60" s="39" t="str">
        <f>[2]!Tabla1[[#This Row],[1.13]]</f>
        <v>1 P</v>
      </c>
      <c r="Q60" s="39" t="str">
        <f>[2]!Tabla1[[#This Row],[1.14]]</f>
        <v>0 F</v>
      </c>
      <c r="R60" s="39" t="str">
        <f>[2]!Tabla1[[#This Row],[2.1]]</f>
        <v>0 F</v>
      </c>
      <c r="S60" s="39" t="str">
        <f>[2]!Tabla1[[#This Row],[2.2]]</f>
        <v>1 P</v>
      </c>
      <c r="T60" s="39" t="str">
        <f>[2]!Tabla1[[#This Row],[2.3]]</f>
        <v>1 P</v>
      </c>
      <c r="U60" s="39" t="str">
        <f>[2]!Tabla1[[#This Row],[2.4]]</f>
        <v>1 P</v>
      </c>
      <c r="V60" s="39" t="str">
        <f>[2]!Tabla1[[#This Row],[2.5]]</f>
        <v>1 P</v>
      </c>
      <c r="W60" s="39" t="str">
        <f>[2]!Tabla1[[#This Row],[2.6]]</f>
        <v>1 P</v>
      </c>
      <c r="X60">
        <f>[2]!Tabla1[[#This Row],[Fallos Nivel A]]</f>
        <v>7</v>
      </c>
      <c r="Y60">
        <f>[2]!Tabla1[[#This Row],[Fallos Nivel AA]]</f>
        <v>1</v>
      </c>
      <c r="Z60" s="1">
        <f>[2]!Tabla1[[#This Row],[Nivel de adecuación estimado original]]</f>
        <v>0</v>
      </c>
      <c r="AA60" s="1" t="str">
        <f>[2]!Tabla1[[#This Row],[Check original]]</f>
        <v>No válido</v>
      </c>
      <c r="AB60" s="1" t="str">
        <f>[2]!Tabla1[[#This Row],[Nivel de adecuación estimado sin 1.7 y 2.1]]</f>
        <v>No válido</v>
      </c>
    </row>
    <row r="61" spans="1:28" x14ac:dyDescent="0.25">
      <c r="A61" t="str">
        <f>[2]!Tabla1[[#This Row],[Archivo]]</f>
        <v>4.0 GrPRI 38-74</v>
      </c>
      <c r="B61" s="1" t="str">
        <f>[2]!Tabla1[[#This Row],[Página]]</f>
        <v>Página 29</v>
      </c>
      <c r="C61" t="str">
        <f>[2]!Tabla1[[#This Row],[URL]]</f>
        <v>https://www.anait.es</v>
      </c>
      <c r="D61" s="39" t="str">
        <f>[2]!Tabla1[[#This Row],[1.1]]</f>
        <v>0 F</v>
      </c>
      <c r="E61" s="39" t="str">
        <f>[2]!Tabla1[[#This Row],[1.2]]</f>
        <v>0 F</v>
      </c>
      <c r="F61" s="39" t="str">
        <f>[2]!Tabla1[[#This Row],[1.3]]</f>
        <v>0 F</v>
      </c>
      <c r="G61" s="39" t="str">
        <f>[2]!Tabla1[[#This Row],[1.4]]</f>
        <v>- P</v>
      </c>
      <c r="H61" s="39" t="str">
        <f>[2]!Tabla1[[#This Row],[1.5]]</f>
        <v>0 F</v>
      </c>
      <c r="I61" s="39" t="str">
        <f>[2]!Tabla1[[#This Row],[1.6]]</f>
        <v>0 F</v>
      </c>
      <c r="J61" s="39" t="str">
        <f>[2]!Tabla1[[#This Row],[1.7]]</f>
        <v>0 F</v>
      </c>
      <c r="K61" s="39" t="str">
        <f>[2]!Tabla1[[#This Row],[1.8]]</f>
        <v>1 P</v>
      </c>
      <c r="L61" s="39" t="str">
        <f>[2]!Tabla1[[#This Row],[1.9]]</f>
        <v>1 P</v>
      </c>
      <c r="M61" s="39" t="str">
        <f>[2]!Tabla1[[#This Row],[1.10]]</f>
        <v>- P</v>
      </c>
      <c r="N61" s="39" t="str">
        <f>[2]!Tabla1[[#This Row],[1.11]]</f>
        <v>1 P</v>
      </c>
      <c r="O61" s="39" t="str">
        <f>[2]!Tabla1[[#This Row],[1.12]]</f>
        <v>0 F</v>
      </c>
      <c r="P61" s="39" t="str">
        <f>[2]!Tabla1[[#This Row],[1.13]]</f>
        <v>1 P</v>
      </c>
      <c r="Q61" s="39" t="str">
        <f>[2]!Tabla1[[#This Row],[1.14]]</f>
        <v>0 F</v>
      </c>
      <c r="R61" s="39" t="str">
        <f>[2]!Tabla1[[#This Row],[2.1]]</f>
        <v>0 F</v>
      </c>
      <c r="S61" s="39" t="str">
        <f>[2]!Tabla1[[#This Row],[2.2]]</f>
        <v>1 P</v>
      </c>
      <c r="T61" s="39" t="str">
        <f>[2]!Tabla1[[#This Row],[2.3]]</f>
        <v>1 P</v>
      </c>
      <c r="U61" s="39" t="str">
        <f>[2]!Tabla1[[#This Row],[2.4]]</f>
        <v>0 F</v>
      </c>
      <c r="V61" s="39" t="str">
        <f>[2]!Tabla1[[#This Row],[2.5]]</f>
        <v>0 F</v>
      </c>
      <c r="W61" s="39" t="str">
        <f>[2]!Tabla1[[#This Row],[2.6]]</f>
        <v>1 P</v>
      </c>
      <c r="X61">
        <f>[2]!Tabla1[[#This Row],[Fallos Nivel A]]</f>
        <v>8</v>
      </c>
      <c r="Y61">
        <f>[2]!Tabla1[[#This Row],[Fallos Nivel AA]]</f>
        <v>3</v>
      </c>
      <c r="Z61" s="1">
        <f>[2]!Tabla1[[#This Row],[Nivel de adecuación estimado original]]</f>
        <v>0</v>
      </c>
      <c r="AA61" s="1" t="str">
        <f>[2]!Tabla1[[#This Row],[Check original]]</f>
        <v>No válido</v>
      </c>
      <c r="AB61" s="1" t="str">
        <f>[2]!Tabla1[[#This Row],[Nivel de adecuación estimado sin 1.7 y 2.1]]</f>
        <v>No válido</v>
      </c>
    </row>
    <row r="62" spans="1:28" x14ac:dyDescent="0.25">
      <c r="A62" t="str">
        <f>[2]!Tabla1[[#This Row],[Archivo]]</f>
        <v>4.0 GrPRI 38-74</v>
      </c>
      <c r="B62" s="1" t="str">
        <f>[2]!Tabla1[[#This Row],[Página]]</f>
        <v>Página 30</v>
      </c>
      <c r="C62" s="22" t="str">
        <f>[2]!Tabla1[[#This Row],[URL]]</f>
        <v>https://iesdaroca.catedu.es</v>
      </c>
      <c r="D62" s="39" t="str">
        <f>[2]!Tabla1[[#This Row],[1.1]]</f>
        <v>0 F</v>
      </c>
      <c r="E62" s="39" t="str">
        <f>[2]!Tabla1[[#This Row],[1.2]]</f>
        <v>0 F</v>
      </c>
      <c r="F62" s="39" t="str">
        <f>[2]!Tabla1[[#This Row],[1.3]]</f>
        <v>0 F</v>
      </c>
      <c r="G62" s="39" t="str">
        <f>[2]!Tabla1[[#This Row],[1.4]]</f>
        <v>- P</v>
      </c>
      <c r="H62" s="39" t="str">
        <f>[2]!Tabla1[[#This Row],[1.5]]</f>
        <v>0 F</v>
      </c>
      <c r="I62" s="39" t="str">
        <f>[2]!Tabla1[[#This Row],[1.6]]</f>
        <v>0 F</v>
      </c>
      <c r="J62" s="39" t="str">
        <f>[2]!Tabla1[[#This Row],[1.7]]</f>
        <v>0 F</v>
      </c>
      <c r="K62" s="39" t="str">
        <f>[2]!Tabla1[[#This Row],[1.8]]</f>
        <v>1 P</v>
      </c>
      <c r="L62" s="39" t="str">
        <f>[2]!Tabla1[[#This Row],[1.9]]</f>
        <v>0 F</v>
      </c>
      <c r="M62" s="39" t="str">
        <f>[2]!Tabla1[[#This Row],[1.10]]</f>
        <v>0 F</v>
      </c>
      <c r="N62" s="39" t="str">
        <f>[2]!Tabla1[[#This Row],[1.11]]</f>
        <v>0 F</v>
      </c>
      <c r="O62" s="39" t="str">
        <f>[2]!Tabla1[[#This Row],[1.12]]</f>
        <v>0 F</v>
      </c>
      <c r="P62" s="39" t="str">
        <f>[2]!Tabla1[[#This Row],[1.13]]</f>
        <v>1 P</v>
      </c>
      <c r="Q62" s="39" t="str">
        <f>[2]!Tabla1[[#This Row],[1.14]]</f>
        <v>0 F</v>
      </c>
      <c r="R62" s="39" t="str">
        <f>[2]!Tabla1[[#This Row],[2.1]]</f>
        <v>0 F</v>
      </c>
      <c r="S62" s="39" t="str">
        <f>[2]!Tabla1[[#This Row],[2.2]]</f>
        <v>1 P</v>
      </c>
      <c r="T62" s="39" t="str">
        <f>[2]!Tabla1[[#This Row],[2.3]]</f>
        <v>1 P</v>
      </c>
      <c r="U62" s="39" t="str">
        <f>[2]!Tabla1[[#This Row],[2.4]]</f>
        <v>1 P</v>
      </c>
      <c r="V62" s="39" t="str">
        <f>[2]!Tabla1[[#This Row],[2.5]]</f>
        <v>0 F</v>
      </c>
      <c r="W62" s="39" t="str">
        <f>[2]!Tabla1[[#This Row],[2.6]]</f>
        <v>1 P</v>
      </c>
      <c r="X62">
        <f>[2]!Tabla1[[#This Row],[Fallos Nivel A]]</f>
        <v>11</v>
      </c>
      <c r="Y62">
        <f>[2]!Tabla1[[#This Row],[Fallos Nivel AA]]</f>
        <v>2</v>
      </c>
      <c r="Z62" s="1">
        <f>[2]!Tabla1[[#This Row],[Nivel de adecuación estimado original]]</f>
        <v>0</v>
      </c>
      <c r="AA62" s="1" t="str">
        <f>[2]!Tabla1[[#This Row],[Check original]]</f>
        <v>No válido</v>
      </c>
      <c r="AB62" s="1" t="str">
        <f>[2]!Tabla1[[#This Row],[Nivel de adecuación estimado sin 1.7 y 2.1]]</f>
        <v>No válido</v>
      </c>
    </row>
    <row r="63" spans="1:28" x14ac:dyDescent="0.25">
      <c r="A63" t="str">
        <f>[2]!Tabla1[[#This Row],[Archivo]]</f>
        <v>4.0 GrPRI 38-74</v>
      </c>
      <c r="B63" s="1" t="str">
        <f>[2]!Tabla1[[#This Row],[Página]]</f>
        <v>Página 31</v>
      </c>
      <c r="C63" t="str">
        <f>[2]!Tabla1[[#This Row],[URL]]</f>
        <v>https://www.taxi-rincon.es</v>
      </c>
      <c r="D63" s="39" t="str">
        <f>[2]!Tabla1[[#This Row],[1.1]]</f>
        <v>1 P</v>
      </c>
      <c r="E63" s="39" t="str">
        <f>[2]!Tabla1[[#This Row],[1.2]]</f>
        <v>1 P</v>
      </c>
      <c r="F63" s="39" t="str">
        <f>[2]!Tabla1[[#This Row],[1.3]]</f>
        <v>0 F</v>
      </c>
      <c r="G63" s="39" t="str">
        <f>[2]!Tabla1[[#This Row],[1.4]]</f>
        <v>- P</v>
      </c>
      <c r="H63" s="39" t="str">
        <f>[2]!Tabla1[[#This Row],[1.5]]</f>
        <v>0 F</v>
      </c>
      <c r="I63" s="39" t="str">
        <f>[2]!Tabla1[[#This Row],[1.6]]</f>
        <v>0 F</v>
      </c>
      <c r="J63" s="39" t="str">
        <f>[2]!Tabla1[[#This Row],[1.7]]</f>
        <v>0 F</v>
      </c>
      <c r="K63" s="39" t="str">
        <f>[2]!Tabla1[[#This Row],[1.8]]</f>
        <v>1 P</v>
      </c>
      <c r="L63" s="39" t="str">
        <f>[2]!Tabla1[[#This Row],[1.9]]</f>
        <v>- P</v>
      </c>
      <c r="M63" s="39" t="str">
        <f>[2]!Tabla1[[#This Row],[1.10]]</f>
        <v>- P</v>
      </c>
      <c r="N63" s="39" t="str">
        <f>[2]!Tabla1[[#This Row],[1.11]]</f>
        <v>1 P</v>
      </c>
      <c r="O63" s="39" t="str">
        <f>[2]!Tabla1[[#This Row],[1.12]]</f>
        <v>0 F</v>
      </c>
      <c r="P63" s="39" t="str">
        <f>[2]!Tabla1[[#This Row],[1.13]]</f>
        <v>1 P</v>
      </c>
      <c r="Q63" s="39" t="str">
        <f>[2]!Tabla1[[#This Row],[1.14]]</f>
        <v>1 P</v>
      </c>
      <c r="R63" s="39" t="str">
        <f>[2]!Tabla1[[#This Row],[2.1]]</f>
        <v>0 F</v>
      </c>
      <c r="S63" s="39" t="str">
        <f>[2]!Tabla1[[#This Row],[2.2]]</f>
        <v>0 F</v>
      </c>
      <c r="T63" s="39" t="str">
        <f>[2]!Tabla1[[#This Row],[2.3]]</f>
        <v>0 F</v>
      </c>
      <c r="U63" s="39" t="str">
        <f>[2]!Tabla1[[#This Row],[2.4]]</f>
        <v>0 F</v>
      </c>
      <c r="V63" s="39" t="str">
        <f>[2]!Tabla1[[#This Row],[2.5]]</f>
        <v>0 F</v>
      </c>
      <c r="W63" s="39" t="str">
        <f>[2]!Tabla1[[#This Row],[2.6]]</f>
        <v>1 P</v>
      </c>
      <c r="X63">
        <f>[2]!Tabla1[[#This Row],[Fallos Nivel A]]</f>
        <v>5</v>
      </c>
      <c r="Y63">
        <f>[2]!Tabla1[[#This Row],[Fallos Nivel AA]]</f>
        <v>5</v>
      </c>
      <c r="Z63" s="1">
        <f>[2]!Tabla1[[#This Row],[Nivel de adecuación estimado original]]</f>
        <v>0</v>
      </c>
      <c r="AA63" s="1" t="str">
        <f>[2]!Tabla1[[#This Row],[Check original]]</f>
        <v>No válido</v>
      </c>
      <c r="AB63" s="1" t="str">
        <f>[2]!Tabla1[[#This Row],[Nivel de adecuación estimado sin 1.7 y 2.1]]</f>
        <v>No válido</v>
      </c>
    </row>
    <row r="64" spans="1:28" x14ac:dyDescent="0.25">
      <c r="A64" t="str">
        <f>[2]!Tabla1[[#This Row],[Archivo]]</f>
        <v>4.0 GrPRI 38-74</v>
      </c>
      <c r="B64" s="1" t="str">
        <f>[2]!Tabla1[[#This Row],[Página]]</f>
        <v>Página 32</v>
      </c>
      <c r="C64" s="22" t="str">
        <f>[2]!Tabla1[[#This Row],[URL]]</f>
        <v>https://www.aluminiosalaez.es</v>
      </c>
      <c r="D64" s="39" t="str">
        <f>[2]!Tabla1[[#This Row],[1.1]]</f>
        <v>1 P</v>
      </c>
      <c r="E64" s="39" t="str">
        <f>[2]!Tabla1[[#This Row],[1.2]]</f>
        <v>0 F</v>
      </c>
      <c r="F64" s="39" t="str">
        <f>[2]!Tabla1[[#This Row],[1.3]]</f>
        <v>1 P</v>
      </c>
      <c r="G64" s="39" t="str">
        <f>[2]!Tabla1[[#This Row],[1.4]]</f>
        <v>- P</v>
      </c>
      <c r="H64" s="39" t="str">
        <f>[2]!Tabla1[[#This Row],[1.5]]</f>
        <v>0 F</v>
      </c>
      <c r="I64" s="39" t="str">
        <f>[2]!Tabla1[[#This Row],[1.6]]</f>
        <v>0 F</v>
      </c>
      <c r="J64" s="39" t="str">
        <f>[2]!Tabla1[[#This Row],[1.7]]</f>
        <v>0 F</v>
      </c>
      <c r="K64" s="39" t="str">
        <f>[2]!Tabla1[[#This Row],[1.8]]</f>
        <v>1 P</v>
      </c>
      <c r="L64" s="39" t="str">
        <f>[2]!Tabla1[[#This Row],[1.9]]</f>
        <v>1 P</v>
      </c>
      <c r="M64" s="39" t="str">
        <f>[2]!Tabla1[[#This Row],[1.10]]</f>
        <v>1 P</v>
      </c>
      <c r="N64" s="39" t="str">
        <f>[2]!Tabla1[[#This Row],[1.11]]</f>
        <v>0 F</v>
      </c>
      <c r="O64" s="39" t="str">
        <f>[2]!Tabla1[[#This Row],[1.12]]</f>
        <v>0 F</v>
      </c>
      <c r="P64" s="39" t="str">
        <f>[2]!Tabla1[[#This Row],[1.13]]</f>
        <v>1 P</v>
      </c>
      <c r="Q64" s="39" t="str">
        <f>[2]!Tabla1[[#This Row],[1.14]]</f>
        <v>0 F</v>
      </c>
      <c r="R64" s="39" t="str">
        <f>[2]!Tabla1[[#This Row],[2.1]]</f>
        <v>0 F</v>
      </c>
      <c r="S64" s="39" t="str">
        <f>[2]!Tabla1[[#This Row],[2.2]]</f>
        <v>1 P</v>
      </c>
      <c r="T64" s="39" t="str">
        <f>[2]!Tabla1[[#This Row],[2.3]]</f>
        <v>1 P</v>
      </c>
      <c r="U64" s="39" t="str">
        <f>[2]!Tabla1[[#This Row],[2.4]]</f>
        <v>0 F</v>
      </c>
      <c r="V64" s="39" t="str">
        <f>[2]!Tabla1[[#This Row],[2.5]]</f>
        <v>0 F</v>
      </c>
      <c r="W64" s="39" t="str">
        <f>[2]!Tabla1[[#This Row],[2.6]]</f>
        <v>1 P</v>
      </c>
      <c r="X64">
        <f>[2]!Tabla1[[#This Row],[Fallos Nivel A]]</f>
        <v>7</v>
      </c>
      <c r="Y64">
        <f>[2]!Tabla1[[#This Row],[Fallos Nivel AA]]</f>
        <v>3</v>
      </c>
      <c r="Z64" s="1">
        <f>[2]!Tabla1[[#This Row],[Nivel de adecuación estimado original]]</f>
        <v>0</v>
      </c>
      <c r="AA64" s="1" t="str">
        <f>[2]!Tabla1[[#This Row],[Check original]]</f>
        <v>No válido</v>
      </c>
      <c r="AB64" s="1" t="str">
        <f>[2]!Tabla1[[#This Row],[Nivel de adecuación estimado sin 1.7 y 2.1]]</f>
        <v>No válido</v>
      </c>
    </row>
    <row r="65" spans="1:28" x14ac:dyDescent="0.25">
      <c r="A65" t="str">
        <f>[2]!Tabla1[[#This Row],[Archivo]]</f>
        <v>4.1 GrPRI 15</v>
      </c>
      <c r="B65" s="1" t="str">
        <f>[2]!Tabla1[[#This Row],[Página]]</f>
        <v>Página 1</v>
      </c>
      <c r="C65" s="22" t="str">
        <f>[2]!Tabla1[[#This Row],[URL]]</f>
        <v>https://naturalfire.es</v>
      </c>
      <c r="D65" s="39" t="str">
        <f>[2]!Tabla1[[#This Row],[1.1]]</f>
        <v>1 P</v>
      </c>
      <c r="E65" s="39" t="str">
        <f>[2]!Tabla1[[#This Row],[1.2]]</f>
        <v>0 F</v>
      </c>
      <c r="F65" s="39" t="str">
        <f>[2]!Tabla1[[#This Row],[1.3]]</f>
        <v>1 P</v>
      </c>
      <c r="G65" s="39" t="str">
        <f>[2]!Tabla1[[#This Row],[1.4]]</f>
        <v>- P</v>
      </c>
      <c r="H65" s="39" t="str">
        <f>[2]!Tabla1[[#This Row],[1.5]]</f>
        <v>1 P</v>
      </c>
      <c r="I65" s="39" t="str">
        <f>[2]!Tabla1[[#This Row],[1.6]]</f>
        <v>0 F</v>
      </c>
      <c r="J65" s="39" t="str">
        <f>[2]!Tabla1[[#This Row],[1.7]]</f>
        <v>0 F</v>
      </c>
      <c r="K65" s="39" t="str">
        <f>[2]!Tabla1[[#This Row],[1.8]]</f>
        <v>1 P</v>
      </c>
      <c r="L65" s="39" t="str">
        <f>[2]!Tabla1[[#This Row],[1.9]]</f>
        <v>1 P</v>
      </c>
      <c r="M65" s="39" t="str">
        <f>[2]!Tabla1[[#This Row],[1.10]]</f>
        <v>- P</v>
      </c>
      <c r="N65" s="39" t="str">
        <f>[2]!Tabla1[[#This Row],[1.11]]</f>
        <v>0 F</v>
      </c>
      <c r="O65" s="39" t="str">
        <f>[2]!Tabla1[[#This Row],[1.12]]</f>
        <v>0 F</v>
      </c>
      <c r="P65" s="39" t="str">
        <f>[2]!Tabla1[[#This Row],[1.13]]</f>
        <v>1 P</v>
      </c>
      <c r="Q65" s="39" t="str">
        <f>[2]!Tabla1[[#This Row],[1.14]]</f>
        <v>0 F</v>
      </c>
      <c r="R65" s="39" t="str">
        <f>[2]!Tabla1[[#This Row],[2.1]]</f>
        <v>0 F</v>
      </c>
      <c r="S65" s="39" t="str">
        <f>[2]!Tabla1[[#This Row],[2.2]]</f>
        <v>0 F</v>
      </c>
      <c r="T65" s="39" t="str">
        <f>[2]!Tabla1[[#This Row],[2.3]]</f>
        <v>1 P</v>
      </c>
      <c r="U65" s="39" t="str">
        <f>[2]!Tabla1[[#This Row],[2.4]]</f>
        <v>0 F</v>
      </c>
      <c r="V65" s="39" t="str">
        <f>[2]!Tabla1[[#This Row],[2.5]]</f>
        <v>0 F</v>
      </c>
      <c r="W65" s="39" t="str">
        <f>[2]!Tabla1[[#This Row],[2.6]]</f>
        <v>1 P</v>
      </c>
      <c r="X65">
        <f>[2]!Tabla1[[#This Row],[Fallos Nivel A]]</f>
        <v>6</v>
      </c>
      <c r="Y65">
        <f>[2]!Tabla1[[#This Row],[Fallos Nivel AA]]</f>
        <v>4</v>
      </c>
      <c r="Z65" s="1">
        <f>[2]!Tabla1[[#This Row],[Nivel de adecuación estimado original]]</f>
        <v>0</v>
      </c>
      <c r="AA65" s="1" t="str">
        <f>[2]!Tabla1[[#This Row],[Check original]]</f>
        <v>No válido</v>
      </c>
      <c r="AB65" s="1" t="str">
        <f>[2]!Tabla1[[#This Row],[Nivel de adecuación estimado sin 1.7 y 2.1]]</f>
        <v>No válido</v>
      </c>
    </row>
    <row r="66" spans="1:28" x14ac:dyDescent="0.25">
      <c r="C66" s="33" t="s">
        <v>232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</row>
    <row r="67" spans="1:28" x14ac:dyDescent="0.25">
      <c r="C67" s="40" t="s">
        <v>224</v>
      </c>
      <c r="D67" s="1">
        <f t="shared" ref="D67:S70" si="0">COUNTIF(D$2:D$65,$C67)</f>
        <v>32</v>
      </c>
      <c r="E67" s="1">
        <f t="shared" si="0"/>
        <v>6</v>
      </c>
      <c r="F67" s="1">
        <f t="shared" si="0"/>
        <v>42</v>
      </c>
      <c r="G67" s="1">
        <f t="shared" si="0"/>
        <v>4</v>
      </c>
      <c r="H67" s="1">
        <f t="shared" si="0"/>
        <v>18</v>
      </c>
      <c r="I67" s="1">
        <f t="shared" si="0"/>
        <v>23</v>
      </c>
      <c r="J67" s="1">
        <f t="shared" si="0"/>
        <v>0</v>
      </c>
      <c r="K67" s="1">
        <f t="shared" si="0"/>
        <v>56</v>
      </c>
      <c r="L67" s="1">
        <f t="shared" si="0"/>
        <v>23</v>
      </c>
      <c r="M67" s="1">
        <f t="shared" si="0"/>
        <v>36</v>
      </c>
      <c r="N67" s="1">
        <f t="shared" si="0"/>
        <v>47</v>
      </c>
      <c r="O67" s="1">
        <f t="shared" si="0"/>
        <v>8</v>
      </c>
      <c r="P67" s="1">
        <f t="shared" si="0"/>
        <v>64</v>
      </c>
      <c r="Q67" s="1">
        <f t="shared" si="0"/>
        <v>17</v>
      </c>
      <c r="R67" s="1">
        <f t="shared" si="0"/>
        <v>2</v>
      </c>
      <c r="S67" s="1">
        <f t="shared" si="0"/>
        <v>39</v>
      </c>
      <c r="T67" s="1">
        <f t="shared" ref="N67:W70" si="1">COUNTIF(T$2:T$65,$C67)</f>
        <v>49</v>
      </c>
      <c r="U67" s="1">
        <f t="shared" si="1"/>
        <v>23</v>
      </c>
      <c r="V67" s="1">
        <f t="shared" si="1"/>
        <v>20</v>
      </c>
      <c r="W67" s="1">
        <f t="shared" si="1"/>
        <v>56</v>
      </c>
      <c r="X67" s="85" t="s">
        <v>52</v>
      </c>
      <c r="Y67" s="85"/>
      <c r="Z67" s="1">
        <f>COUNTIF(Tabla13[Nivel de adecuación estimado original],"AA")</f>
        <v>1</v>
      </c>
      <c r="AA67" s="1">
        <f>COUNTIF(Tabla13[Check original],"AA")</f>
        <v>2</v>
      </c>
      <c r="AB67" s="1">
        <f>COUNTIF(Tabla13[Nivel de adecuación estimado sin 1.7 y 2.1],"AA")</f>
        <v>5</v>
      </c>
    </row>
    <row r="68" spans="1:28" x14ac:dyDescent="0.25">
      <c r="C68" s="40" t="s">
        <v>43</v>
      </c>
      <c r="D68" s="1">
        <f t="shared" si="0"/>
        <v>0</v>
      </c>
      <c r="E68" s="1">
        <f t="shared" si="0"/>
        <v>0</v>
      </c>
      <c r="F68" s="1">
        <f t="shared" si="0"/>
        <v>0</v>
      </c>
      <c r="G68" s="1">
        <f t="shared" si="0"/>
        <v>59</v>
      </c>
      <c r="H68" s="1">
        <f t="shared" si="0"/>
        <v>0</v>
      </c>
      <c r="I68" s="1">
        <f t="shared" si="0"/>
        <v>0</v>
      </c>
      <c r="J68" s="1">
        <f t="shared" si="0"/>
        <v>0</v>
      </c>
      <c r="K68" s="1">
        <f t="shared" si="0"/>
        <v>0</v>
      </c>
      <c r="L68" s="1">
        <f t="shared" si="0"/>
        <v>9</v>
      </c>
      <c r="M68" s="1">
        <f t="shared" si="0"/>
        <v>23</v>
      </c>
      <c r="N68" s="1">
        <f t="shared" si="1"/>
        <v>0</v>
      </c>
      <c r="O68" s="1">
        <f t="shared" si="1"/>
        <v>0</v>
      </c>
      <c r="P68" s="1">
        <f t="shared" si="1"/>
        <v>0</v>
      </c>
      <c r="Q68" s="1">
        <f t="shared" si="1"/>
        <v>0</v>
      </c>
      <c r="R68" s="1">
        <f t="shared" si="1"/>
        <v>0</v>
      </c>
      <c r="S68" s="1">
        <f t="shared" si="1"/>
        <v>0</v>
      </c>
      <c r="T68" s="1">
        <f t="shared" si="1"/>
        <v>0</v>
      </c>
      <c r="U68" s="1">
        <f t="shared" si="1"/>
        <v>0</v>
      </c>
      <c r="V68" s="1">
        <f t="shared" si="1"/>
        <v>0</v>
      </c>
      <c r="W68" s="1">
        <f t="shared" si="1"/>
        <v>0</v>
      </c>
      <c r="X68" s="85" t="s">
        <v>53</v>
      </c>
      <c r="Y68" s="85"/>
      <c r="Z68" s="1">
        <f>COUNTIF(Tabla13[Nivel de adecuación estimado original],"A")</f>
        <v>1</v>
      </c>
      <c r="AA68" s="1">
        <f>COUNTIF(Tabla13[Check original],"A")</f>
        <v>2</v>
      </c>
      <c r="AB68" s="1">
        <f>COUNTIF(Tabla13[Nivel de adecuación estimado sin 1.7 y 2.1],"A")</f>
        <v>0</v>
      </c>
    </row>
    <row r="69" spans="1:28" x14ac:dyDescent="0.25">
      <c r="C69" s="40" t="s">
        <v>225</v>
      </c>
      <c r="D69" s="1">
        <f t="shared" si="0"/>
        <v>0</v>
      </c>
      <c r="E69" s="1">
        <f t="shared" si="0"/>
        <v>2</v>
      </c>
      <c r="F69" s="1">
        <f t="shared" si="0"/>
        <v>0</v>
      </c>
      <c r="G69" s="1">
        <f t="shared" si="0"/>
        <v>0</v>
      </c>
      <c r="H69" s="1">
        <f t="shared" si="0"/>
        <v>0</v>
      </c>
      <c r="I69" s="1">
        <f t="shared" si="0"/>
        <v>0</v>
      </c>
      <c r="J69" s="1">
        <f t="shared" si="0"/>
        <v>0</v>
      </c>
      <c r="K69" s="1">
        <f t="shared" si="0"/>
        <v>0</v>
      </c>
      <c r="L69" s="1">
        <f t="shared" si="0"/>
        <v>0</v>
      </c>
      <c r="M69" s="1">
        <f t="shared" si="0"/>
        <v>0</v>
      </c>
      <c r="N69" s="1">
        <f t="shared" si="1"/>
        <v>0</v>
      </c>
      <c r="O69" s="1">
        <f t="shared" si="1"/>
        <v>0</v>
      </c>
      <c r="P69" s="1">
        <f t="shared" si="1"/>
        <v>0</v>
      </c>
      <c r="Q69" s="1">
        <f t="shared" si="1"/>
        <v>0</v>
      </c>
      <c r="R69" s="1">
        <f t="shared" si="1"/>
        <v>0</v>
      </c>
      <c r="S69" s="1">
        <f t="shared" si="1"/>
        <v>0</v>
      </c>
      <c r="T69" s="1">
        <f t="shared" si="1"/>
        <v>0</v>
      </c>
      <c r="U69" s="1">
        <f t="shared" si="1"/>
        <v>0</v>
      </c>
      <c r="V69" s="1">
        <f t="shared" si="1"/>
        <v>0</v>
      </c>
      <c r="W69" s="1">
        <f t="shared" si="1"/>
        <v>0</v>
      </c>
      <c r="X69" s="85" t="s">
        <v>54</v>
      </c>
      <c r="Y69" s="85"/>
      <c r="Z69" s="1">
        <f>COUNTIF(Tabla13[Nivel de adecuación estimado original],"No Válido")</f>
        <v>29</v>
      </c>
      <c r="AA69" s="1">
        <f>COUNTIF(Tabla13[Check original],"No Válido")</f>
        <v>60</v>
      </c>
      <c r="AB69" s="1">
        <f>COUNTIF(Tabla13[Nivel de adecuación estimado sin 1.7 y 2.1],"No Válido")</f>
        <v>59</v>
      </c>
    </row>
    <row r="70" spans="1:28" x14ac:dyDescent="0.25">
      <c r="C70" s="40" t="s">
        <v>226</v>
      </c>
      <c r="D70" s="1">
        <f t="shared" si="0"/>
        <v>32</v>
      </c>
      <c r="E70" s="1">
        <f t="shared" si="0"/>
        <v>56</v>
      </c>
      <c r="F70" s="1">
        <f t="shared" si="0"/>
        <v>22</v>
      </c>
      <c r="G70" s="1">
        <f t="shared" si="0"/>
        <v>1</v>
      </c>
      <c r="H70" s="1">
        <f t="shared" si="0"/>
        <v>46</v>
      </c>
      <c r="I70" s="1">
        <f t="shared" si="0"/>
        <v>41</v>
      </c>
      <c r="J70" s="1">
        <f t="shared" si="0"/>
        <v>64</v>
      </c>
      <c r="K70" s="1">
        <f t="shared" si="0"/>
        <v>8</v>
      </c>
      <c r="L70" s="1">
        <f t="shared" si="0"/>
        <v>32</v>
      </c>
      <c r="M70" s="1">
        <f t="shared" si="0"/>
        <v>5</v>
      </c>
      <c r="N70" s="1">
        <f t="shared" si="1"/>
        <v>17</v>
      </c>
      <c r="O70" s="1">
        <f t="shared" si="1"/>
        <v>56</v>
      </c>
      <c r="P70" s="1">
        <f t="shared" si="1"/>
        <v>0</v>
      </c>
      <c r="Q70" s="1">
        <f t="shared" si="1"/>
        <v>47</v>
      </c>
      <c r="R70" s="1">
        <f t="shared" si="1"/>
        <v>62</v>
      </c>
      <c r="S70" s="1">
        <f t="shared" si="1"/>
        <v>25</v>
      </c>
      <c r="T70" s="1">
        <f t="shared" si="1"/>
        <v>15</v>
      </c>
      <c r="U70" s="1">
        <f t="shared" si="1"/>
        <v>41</v>
      </c>
      <c r="V70" s="1">
        <f t="shared" si="1"/>
        <v>44</v>
      </c>
      <c r="W70" s="1">
        <f t="shared" si="1"/>
        <v>8</v>
      </c>
      <c r="X70" s="85" t="s">
        <v>52</v>
      </c>
      <c r="Y70" s="85"/>
      <c r="Z70" s="41">
        <f>Z67/(Z$67+Z$68+Z$69)</f>
        <v>3.2258064516129031E-2</v>
      </c>
      <c r="AA70" s="41">
        <f t="shared" ref="AA70:AB70" si="2">AA67/(AA$67+AA$68+AA$69)</f>
        <v>3.125E-2</v>
      </c>
      <c r="AB70" s="41">
        <f t="shared" si="2"/>
        <v>7.8125E-2</v>
      </c>
    </row>
    <row r="71" spans="1:28" x14ac:dyDescent="0.25">
      <c r="C71" s="40" t="s">
        <v>233</v>
      </c>
      <c r="D71" s="1">
        <f>D70+D69+D68+D67</f>
        <v>64</v>
      </c>
      <c r="E71" s="1">
        <f t="shared" ref="E71:W71" si="3">E70+E69+E68+E67</f>
        <v>64</v>
      </c>
      <c r="F71" s="1">
        <f t="shared" si="3"/>
        <v>64</v>
      </c>
      <c r="G71" s="1">
        <f t="shared" si="3"/>
        <v>64</v>
      </c>
      <c r="H71" s="1">
        <f t="shared" si="3"/>
        <v>64</v>
      </c>
      <c r="I71" s="1">
        <f t="shared" si="3"/>
        <v>64</v>
      </c>
      <c r="J71" s="1">
        <f t="shared" si="3"/>
        <v>64</v>
      </c>
      <c r="K71" s="1">
        <f t="shared" si="3"/>
        <v>64</v>
      </c>
      <c r="L71" s="1">
        <f t="shared" si="3"/>
        <v>64</v>
      </c>
      <c r="M71" s="1">
        <f t="shared" si="3"/>
        <v>64</v>
      </c>
      <c r="N71" s="1">
        <f t="shared" si="3"/>
        <v>64</v>
      </c>
      <c r="O71" s="1">
        <f t="shared" si="3"/>
        <v>64</v>
      </c>
      <c r="P71" s="1">
        <f t="shared" si="3"/>
        <v>64</v>
      </c>
      <c r="Q71" s="1">
        <f t="shared" si="3"/>
        <v>64</v>
      </c>
      <c r="R71" s="1">
        <f t="shared" si="3"/>
        <v>64</v>
      </c>
      <c r="S71" s="1">
        <f t="shared" si="3"/>
        <v>64</v>
      </c>
      <c r="T71" s="1">
        <f t="shared" si="3"/>
        <v>64</v>
      </c>
      <c r="U71" s="1">
        <f t="shared" si="3"/>
        <v>64</v>
      </c>
      <c r="V71" s="1">
        <f t="shared" si="3"/>
        <v>64</v>
      </c>
      <c r="W71" s="1">
        <f t="shared" si="3"/>
        <v>64</v>
      </c>
      <c r="X71" s="85" t="s">
        <v>53</v>
      </c>
      <c r="Y71" s="85"/>
      <c r="Z71" s="41">
        <f t="shared" ref="Z71:AB72" si="4">Z68/(Z$67+Z$68+Z$69)</f>
        <v>3.2258064516129031E-2</v>
      </c>
      <c r="AA71" s="41">
        <f t="shared" si="4"/>
        <v>3.125E-2</v>
      </c>
      <c r="AB71" s="41">
        <f t="shared" si="4"/>
        <v>0</v>
      </c>
    </row>
    <row r="72" spans="1:28" x14ac:dyDescent="0.25">
      <c r="C72" s="40" t="s">
        <v>234</v>
      </c>
      <c r="D72" s="1" t="str">
        <f>IF(OR(D71=D67,D71=D68,D71=D69,D71=D70),"Si","No")</f>
        <v>No</v>
      </c>
      <c r="E72" s="1" t="str">
        <f t="shared" ref="E72:W72" si="5">IF(OR(E71=E67,E71=E68,E71=E69,E71=E70),"Si","No")</f>
        <v>No</v>
      </c>
      <c r="F72" s="1" t="str">
        <f t="shared" si="5"/>
        <v>No</v>
      </c>
      <c r="G72" s="1" t="str">
        <f t="shared" si="5"/>
        <v>No</v>
      </c>
      <c r="H72" s="1" t="str">
        <f t="shared" si="5"/>
        <v>No</v>
      </c>
      <c r="I72" s="1" t="str">
        <f t="shared" si="5"/>
        <v>No</v>
      </c>
      <c r="J72" s="1" t="str">
        <f t="shared" si="5"/>
        <v>Si</v>
      </c>
      <c r="K72" s="1" t="str">
        <f t="shared" si="5"/>
        <v>No</v>
      </c>
      <c r="L72" s="1" t="str">
        <f t="shared" si="5"/>
        <v>No</v>
      </c>
      <c r="M72" s="1" t="str">
        <f t="shared" si="5"/>
        <v>No</v>
      </c>
      <c r="N72" s="1" t="str">
        <f t="shared" si="5"/>
        <v>No</v>
      </c>
      <c r="O72" s="1" t="str">
        <f t="shared" si="5"/>
        <v>No</v>
      </c>
      <c r="P72" s="1" t="str">
        <f t="shared" si="5"/>
        <v>Si</v>
      </c>
      <c r="Q72" s="1" t="str">
        <f t="shared" si="5"/>
        <v>No</v>
      </c>
      <c r="R72" s="1" t="str">
        <f t="shared" si="5"/>
        <v>No</v>
      </c>
      <c r="S72" s="1" t="str">
        <f t="shared" si="5"/>
        <v>No</v>
      </c>
      <c r="T72" s="1" t="str">
        <f t="shared" si="5"/>
        <v>No</v>
      </c>
      <c r="U72" s="1" t="str">
        <f t="shared" si="5"/>
        <v>No</v>
      </c>
      <c r="V72" s="1" t="str">
        <f t="shared" si="5"/>
        <v>No</v>
      </c>
      <c r="W72" s="1" t="str">
        <f t="shared" si="5"/>
        <v>No</v>
      </c>
      <c r="X72" s="85" t="s">
        <v>54</v>
      </c>
      <c r="Y72" s="85"/>
      <c r="Z72" s="41">
        <f t="shared" si="4"/>
        <v>0.93548387096774188</v>
      </c>
      <c r="AA72" s="41">
        <f t="shared" si="4"/>
        <v>0.9375</v>
      </c>
      <c r="AB72" s="41">
        <f t="shared" si="4"/>
        <v>0.921875</v>
      </c>
    </row>
  </sheetData>
  <mergeCells count="6">
    <mergeCell ref="X72:Y72"/>
    <mergeCell ref="X67:Y67"/>
    <mergeCell ref="X68:Y68"/>
    <mergeCell ref="X69:Y69"/>
    <mergeCell ref="X70:Y70"/>
    <mergeCell ref="X71:Y71"/>
  </mergeCells>
  <conditionalFormatting sqref="D2:W2 D3:Y65">
    <cfRule type="containsText" dxfId="4" priority="2" operator="containsText" text="0 F">
      <formula>NOT(ISERROR(SEARCH("0 F",D2)))</formula>
    </cfRule>
  </conditionalFormatting>
  <conditionalFormatting sqref="D72:W72">
    <cfRule type="containsText" dxfId="3" priority="3" operator="containsText" text="Si">
      <formula>NOT(ISERROR(SEARCH("Si",D72)))</formula>
    </cfRule>
  </conditionalFormatting>
  <conditionalFormatting sqref="X2:Y2">
    <cfRule type="containsText" dxfId="2" priority="1" operator="containsText" text="0 F">
      <formula>NOT(ISERROR(SEARCH("0 F",X2)))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87061-4467-42FF-AC0F-8738375B7DCC}">
  <dimension ref="A1:AB72"/>
  <sheetViews>
    <sheetView topLeftCell="A34" workbookViewId="0">
      <selection activeCell="D38" sqref="D38"/>
    </sheetView>
  </sheetViews>
  <sheetFormatPr baseColWidth="10" defaultRowHeight="15" x14ac:dyDescent="0.25"/>
  <cols>
    <col min="1" max="1" width="14.7109375" bestFit="1" customWidth="1"/>
    <col min="2" max="2" width="10.140625" style="1" bestFit="1" customWidth="1"/>
    <col min="3" max="3" width="49.28515625" bestFit="1" customWidth="1"/>
    <col min="4" max="12" width="5.7109375" style="1" customWidth="1"/>
    <col min="13" max="17" width="6.7109375" style="1" customWidth="1"/>
    <col min="18" max="23" width="5.7109375" style="1" customWidth="1"/>
    <col min="24" max="24" width="7.42578125" bestFit="1" customWidth="1"/>
    <col min="25" max="25" width="8.7109375" bestFit="1" customWidth="1"/>
    <col min="26" max="26" width="20.7109375" customWidth="1"/>
    <col min="28" max="28" width="20.7109375" customWidth="1"/>
    <col min="29" max="29" width="9.42578125" bestFit="1" customWidth="1"/>
    <col min="30" max="30" width="20.7109375" customWidth="1"/>
  </cols>
  <sheetData>
    <row r="1" spans="1:28" s="38" customFormat="1" ht="30" x14ac:dyDescent="0.25">
      <c r="A1" s="35" t="s">
        <v>55</v>
      </c>
      <c r="B1" s="21" t="s">
        <v>56</v>
      </c>
      <c r="C1" s="35" t="s">
        <v>57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8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15</v>
      </c>
      <c r="R1" s="36" t="s">
        <v>16</v>
      </c>
      <c r="S1" s="36" t="s">
        <v>17</v>
      </c>
      <c r="T1" s="36" t="s">
        <v>18</v>
      </c>
      <c r="U1" s="36" t="s">
        <v>19</v>
      </c>
      <c r="V1" s="36" t="s">
        <v>20</v>
      </c>
      <c r="W1" s="36" t="s">
        <v>21</v>
      </c>
      <c r="X1" s="37" t="s">
        <v>227</v>
      </c>
      <c r="Y1" s="37" t="s">
        <v>228</v>
      </c>
      <c r="Z1" s="21" t="s">
        <v>229</v>
      </c>
      <c r="AA1" s="37" t="s">
        <v>230</v>
      </c>
      <c r="AB1" s="21" t="s">
        <v>231</v>
      </c>
    </row>
    <row r="2" spans="1:28" x14ac:dyDescent="0.25">
      <c r="A2" s="1" t="str">
        <f>[1]!Tabla1[[#This Row],[Archivo]]</f>
        <v>4.0 GrPUB 1-37</v>
      </c>
      <c r="B2" s="1" t="str">
        <f>[1]!Tabla1[[#This Row],[Página]]</f>
        <v>Página 1</v>
      </c>
      <c r="C2" s="1" t="str">
        <f>[1]!Tabla1[[#This Row],[URL]]</f>
        <v>https://mpt.gob.es/index.html</v>
      </c>
      <c r="D2" s="39" t="str">
        <f>[1]!Tabla1[[#This Row],[1.1]]</f>
        <v>1 P</v>
      </c>
      <c r="E2" s="39" t="str">
        <f>[1]!Tabla1[[#This Row],[1.2]]</f>
        <v>1 P</v>
      </c>
      <c r="F2" s="39" t="str">
        <f>[1]!Tabla1[[#This Row],[1.3]]</f>
        <v>1 P</v>
      </c>
      <c r="G2" s="39" t="str">
        <f>[1]!Tabla1[[#This Row],[1.4]]</f>
        <v>1 P</v>
      </c>
      <c r="H2" s="39" t="str">
        <f>[1]!Tabla1[[#This Row],[1.5]]</f>
        <v>1 P</v>
      </c>
      <c r="I2" s="39" t="str">
        <f>[1]!Tabla1[[#This Row],[1.6]]</f>
        <v>1 P</v>
      </c>
      <c r="J2" s="39" t="str">
        <f>[1]!Tabla1[[#This Row],[1.7]]</f>
        <v>0 F</v>
      </c>
      <c r="K2" s="39" t="str">
        <f>[1]!Tabla1[[#This Row],[1.8]]</f>
        <v>1 P</v>
      </c>
      <c r="L2" s="39" t="str">
        <f>[1]!Tabla1[[#This Row],[1.9]]</f>
        <v>1 P</v>
      </c>
      <c r="M2" s="39" t="str">
        <f>[1]!Tabla1[[#This Row],[1.10]]</f>
        <v>1 P</v>
      </c>
      <c r="N2" s="39" t="str">
        <f>[1]!Tabla1[[#This Row],[1.11]]</f>
        <v>0 F</v>
      </c>
      <c r="O2" s="39" t="str">
        <f>[1]!Tabla1[[#This Row],[1.12]]</f>
        <v>0 F</v>
      </c>
      <c r="P2" s="39" t="str">
        <f>[1]!Tabla1[[#This Row],[1.13]]</f>
        <v>1 P</v>
      </c>
      <c r="Q2" s="39" t="str">
        <f>[1]!Tabla1[[#This Row],[1.14]]</f>
        <v>0 F</v>
      </c>
      <c r="R2" s="39" t="str">
        <f>[1]!Tabla1[[#This Row],[2.1]]</f>
        <v>0 F</v>
      </c>
      <c r="S2" s="39" t="str">
        <f>[1]!Tabla1[[#This Row],[2.2]]</f>
        <v>1 P</v>
      </c>
      <c r="T2" s="39" t="str">
        <f>[1]!Tabla1[[#This Row],[2.3]]</f>
        <v>1 P</v>
      </c>
      <c r="U2" s="39" t="str">
        <f>[1]!Tabla1[[#This Row],[2.4]]</f>
        <v>1 P</v>
      </c>
      <c r="V2" s="39" t="str">
        <f>[1]!Tabla1[[#This Row],[2.5]]</f>
        <v>1 P</v>
      </c>
      <c r="W2" s="39" t="str">
        <f>[1]!Tabla1[[#This Row],[2.6]]</f>
        <v>1 P</v>
      </c>
      <c r="X2" s="1">
        <f>[1]!Tabla1[[#This Row],[Fallos Nivel A]]</f>
        <v>4</v>
      </c>
      <c r="Y2" s="1">
        <f>[1]!Tabla1[[#This Row],[Fallos Nivel AA]]</f>
        <v>1</v>
      </c>
      <c r="Z2" s="1" t="str">
        <f>[1]!Tabla1[[#This Row],[Nivel de adecuación estimado original]]</f>
        <v>No Válido</v>
      </c>
      <c r="AA2" s="1" t="str">
        <f>[1]!Tabla1[[#This Row],[Check original]]</f>
        <v>No válido</v>
      </c>
      <c r="AB2" s="1" t="str">
        <f>[1]!Tabla1[[#This Row],[Nivel de adecuación estimado sin 1.7 y 2.1]]</f>
        <v>No válido</v>
      </c>
    </row>
    <row r="3" spans="1:28" x14ac:dyDescent="0.25">
      <c r="A3" s="1" t="str">
        <f>[1]!Tabla1[[#This Row],[Archivo]]</f>
        <v>4.0 GrPUB 1-37</v>
      </c>
      <c r="B3" s="1" t="str">
        <f>[1]!Tabla1[[#This Row],[Página]]</f>
        <v>Página 2</v>
      </c>
      <c r="C3" s="1" t="str">
        <f>[1]!Tabla1[[#This Row],[URL]]</f>
        <v>https://administracion.gob.es</v>
      </c>
      <c r="D3" s="39" t="str">
        <f>[1]!Tabla1[[#This Row],[1.1]]</f>
        <v>1 P</v>
      </c>
      <c r="E3" s="39" t="str">
        <f>[1]!Tabla1[[#This Row],[1.2]]</f>
        <v>0 F</v>
      </c>
      <c r="F3" s="39" t="str">
        <f>[1]!Tabla1[[#This Row],[1.3]]</f>
        <v>1 P</v>
      </c>
      <c r="G3" s="39" t="str">
        <f>[1]!Tabla1[[#This Row],[1.4]]</f>
        <v>- P</v>
      </c>
      <c r="H3" s="39" t="str">
        <f>[1]!Tabla1[[#This Row],[1.5]]</f>
        <v>1 P</v>
      </c>
      <c r="I3" s="39" t="str">
        <f>[1]!Tabla1[[#This Row],[1.6]]</f>
        <v>1 P</v>
      </c>
      <c r="J3" s="39" t="str">
        <f>[1]!Tabla1[[#This Row],[1.7]]</f>
        <v>0 F</v>
      </c>
      <c r="K3" s="39" t="str">
        <f>[1]!Tabla1[[#This Row],[1.8]]</f>
        <v>1 P</v>
      </c>
      <c r="L3" s="39" t="str">
        <f>[1]!Tabla1[[#This Row],[1.9]]</f>
        <v>1 P</v>
      </c>
      <c r="M3" s="39" t="str">
        <f>[1]!Tabla1[[#This Row],[1.10]]</f>
        <v>1 P</v>
      </c>
      <c r="N3" s="39" t="str">
        <f>[1]!Tabla1[[#This Row],[1.11]]</f>
        <v>1 P</v>
      </c>
      <c r="O3" s="39" t="str">
        <f>[1]!Tabla1[[#This Row],[1.12]]</f>
        <v>0 F</v>
      </c>
      <c r="P3" s="39" t="str">
        <f>[1]!Tabla1[[#This Row],[1.13]]</f>
        <v>1 P</v>
      </c>
      <c r="Q3" s="39" t="str">
        <f>[1]!Tabla1[[#This Row],[1.14]]</f>
        <v>1 P</v>
      </c>
      <c r="R3" s="39" t="str">
        <f>[1]!Tabla1[[#This Row],[2.1]]</f>
        <v>0 F</v>
      </c>
      <c r="S3" s="39" t="str">
        <f>[1]!Tabla1[[#This Row],[2.2]]</f>
        <v>1 P</v>
      </c>
      <c r="T3" s="39" t="str">
        <f>[1]!Tabla1[[#This Row],[2.3]]</f>
        <v>1 P</v>
      </c>
      <c r="U3" s="39" t="str">
        <f>[1]!Tabla1[[#This Row],[2.4]]</f>
        <v>1 P</v>
      </c>
      <c r="V3" s="39" t="str">
        <f>[1]!Tabla1[[#This Row],[2.5]]</f>
        <v>1 P</v>
      </c>
      <c r="W3" s="39" t="str">
        <f>[1]!Tabla1[[#This Row],[2.6]]</f>
        <v>1 P</v>
      </c>
      <c r="X3" s="1">
        <f>[1]!Tabla1[[#This Row],[Fallos Nivel A]]</f>
        <v>3</v>
      </c>
      <c r="Y3" s="1">
        <f>[1]!Tabla1[[#This Row],[Fallos Nivel AA]]</f>
        <v>1</v>
      </c>
      <c r="Z3" s="1" t="str">
        <f>[1]!Tabla1[[#This Row],[Nivel de adecuación estimado original]]</f>
        <v>No Válido</v>
      </c>
      <c r="AA3" s="1" t="str">
        <f>[1]!Tabla1[[#This Row],[Check original]]</f>
        <v>No válido</v>
      </c>
      <c r="AB3" s="1" t="str">
        <f>[1]!Tabla1[[#This Row],[Nivel de adecuación estimado sin 1.7 y 2.1]]</f>
        <v>AA</v>
      </c>
    </row>
    <row r="4" spans="1:28" x14ac:dyDescent="0.25">
      <c r="A4" s="1" t="str">
        <f>[1]!Tabla1[[#This Row],[Archivo]]</f>
        <v>4.0 GrPUB 1-37</v>
      </c>
      <c r="B4" s="1" t="str">
        <f>[1]!Tabla1[[#This Row],[Página]]</f>
        <v>Página 3</v>
      </c>
      <c r="C4" s="1" t="str">
        <f>[1]!Tabla1[[#This Row],[URL]]</f>
        <v>https://administracionelectronica.gob.es/pae_Home</v>
      </c>
      <c r="D4" s="39" t="str">
        <f>[1]!Tabla1[[#This Row],[1.1]]</f>
        <v>0 F</v>
      </c>
      <c r="E4" s="39" t="str">
        <f>[1]!Tabla1[[#This Row],[1.2]]</f>
        <v>1 P</v>
      </c>
      <c r="F4" s="39" t="str">
        <f>[1]!Tabla1[[#This Row],[1.3]]</f>
        <v>1 P</v>
      </c>
      <c r="G4" s="39" t="str">
        <f>[1]!Tabla1[[#This Row],[1.4]]</f>
        <v>1 P</v>
      </c>
      <c r="H4" s="39" t="str">
        <f>[1]!Tabla1[[#This Row],[1.5]]</f>
        <v>1 P</v>
      </c>
      <c r="I4" s="39" t="str">
        <f>[1]!Tabla1[[#This Row],[1.6]]</f>
        <v>1 P</v>
      </c>
      <c r="J4" s="39" t="str">
        <f>[1]!Tabla1[[#This Row],[1.7]]</f>
        <v>0 F</v>
      </c>
      <c r="K4" s="39" t="str">
        <f>[1]!Tabla1[[#This Row],[1.8]]</f>
        <v>1 P</v>
      </c>
      <c r="L4" s="39" t="str">
        <f>[1]!Tabla1[[#This Row],[1.9]]</f>
        <v>1 P</v>
      </c>
      <c r="M4" s="39" t="str">
        <f>[1]!Tabla1[[#This Row],[1.10]]</f>
        <v>1 P</v>
      </c>
      <c r="N4" s="39" t="str">
        <f>[1]!Tabla1[[#This Row],[1.11]]</f>
        <v>0 F</v>
      </c>
      <c r="O4" s="39" t="str">
        <f>[1]!Tabla1[[#This Row],[1.12]]</f>
        <v>0 F</v>
      </c>
      <c r="P4" s="39" t="str">
        <f>[1]!Tabla1[[#This Row],[1.13]]</f>
        <v>1 P</v>
      </c>
      <c r="Q4" s="39" t="str">
        <f>[1]!Tabla1[[#This Row],[1.14]]</f>
        <v>0 F</v>
      </c>
      <c r="R4" s="39" t="str">
        <f>[1]!Tabla1[[#This Row],[2.1]]</f>
        <v>0 F</v>
      </c>
      <c r="S4" s="39" t="str">
        <f>[1]!Tabla1[[#This Row],[2.2]]</f>
        <v>1 P</v>
      </c>
      <c r="T4" s="39" t="str">
        <f>[1]!Tabla1[[#This Row],[2.3]]</f>
        <v>1 P</v>
      </c>
      <c r="U4" s="39" t="str">
        <f>[1]!Tabla1[[#This Row],[2.4]]</f>
        <v>1 P</v>
      </c>
      <c r="V4" s="39" t="str">
        <f>[1]!Tabla1[[#This Row],[2.5]]</f>
        <v>1 P</v>
      </c>
      <c r="W4" s="39" t="str">
        <f>[1]!Tabla1[[#This Row],[2.6]]</f>
        <v>1 P</v>
      </c>
      <c r="X4" s="1">
        <f>[1]!Tabla1[[#This Row],[Fallos Nivel A]]</f>
        <v>5</v>
      </c>
      <c r="Y4" s="1">
        <f>[1]!Tabla1[[#This Row],[Fallos Nivel AA]]</f>
        <v>1</v>
      </c>
      <c r="Z4" s="1" t="str">
        <f>[1]!Tabla1[[#This Row],[Nivel de adecuación estimado original]]</f>
        <v>No Válido</v>
      </c>
      <c r="AA4" s="1" t="str">
        <f>[1]!Tabla1[[#This Row],[Check original]]</f>
        <v>No válido</v>
      </c>
      <c r="AB4" s="1" t="str">
        <f>[1]!Tabla1[[#This Row],[Nivel de adecuación estimado sin 1.7 y 2.1]]</f>
        <v>No válido</v>
      </c>
    </row>
    <row r="5" spans="1:28" x14ac:dyDescent="0.25">
      <c r="A5" s="1" t="str">
        <f>[1]!Tabla1[[#This Row],[Archivo]]</f>
        <v>4.0 GrPUB 1-37</v>
      </c>
      <c r="B5" s="1" t="str">
        <f>[1]!Tabla1[[#This Row],[Página]]</f>
        <v>Página 4</v>
      </c>
      <c r="C5" s="1" t="str">
        <f>[1]!Tabla1[[#This Row],[URL]]</f>
        <v>https://bonoculturajoven.gob.es</v>
      </c>
      <c r="D5" s="39" t="str">
        <f>[1]!Tabla1[[#This Row],[1.1]]</f>
        <v>0 F</v>
      </c>
      <c r="E5" s="39" t="str">
        <f>[1]!Tabla1[[#This Row],[1.2]]</f>
        <v>0 F</v>
      </c>
      <c r="F5" s="39" t="str">
        <f>[1]!Tabla1[[#This Row],[1.3]]</f>
        <v>1 P</v>
      </c>
      <c r="G5" s="39" t="str">
        <f>[1]!Tabla1[[#This Row],[1.4]]</f>
        <v>- P</v>
      </c>
      <c r="H5" s="39" t="str">
        <f>[1]!Tabla1[[#This Row],[1.5]]</f>
        <v>1 P</v>
      </c>
      <c r="I5" s="39" t="str">
        <f>[1]!Tabla1[[#This Row],[1.6]]</f>
        <v>1 P</v>
      </c>
      <c r="J5" s="39" t="str">
        <f>[1]!Tabla1[[#This Row],[1.7]]</f>
        <v>0 F</v>
      </c>
      <c r="K5" s="39" t="str">
        <f>[1]!Tabla1[[#This Row],[1.8]]</f>
        <v>1 P</v>
      </c>
      <c r="L5" s="39" t="str">
        <f>[1]!Tabla1[[#This Row],[1.9]]</f>
        <v>- P</v>
      </c>
      <c r="M5" s="39" t="str">
        <f>[1]!Tabla1[[#This Row],[1.10]]</f>
        <v>- P</v>
      </c>
      <c r="N5" s="39" t="str">
        <f>[1]!Tabla1[[#This Row],[1.11]]</f>
        <v>1 P</v>
      </c>
      <c r="O5" s="39" t="str">
        <f>[1]!Tabla1[[#This Row],[1.12]]</f>
        <v>0 F</v>
      </c>
      <c r="P5" s="39" t="str">
        <f>[1]!Tabla1[[#This Row],[1.13]]</f>
        <v>1 P</v>
      </c>
      <c r="Q5" s="39" t="str">
        <f>[1]!Tabla1[[#This Row],[1.14]]</f>
        <v>1 P</v>
      </c>
      <c r="R5" s="39" t="str">
        <f>[1]!Tabla1[[#This Row],[2.1]]</f>
        <v>0 F</v>
      </c>
      <c r="S5" s="39" t="str">
        <f>[1]!Tabla1[[#This Row],[2.2]]</f>
        <v>1 P</v>
      </c>
      <c r="T5" s="39" t="str">
        <f>[1]!Tabla1[[#This Row],[2.3]]</f>
        <v>1 P</v>
      </c>
      <c r="U5" s="39" t="str">
        <f>[1]!Tabla1[[#This Row],[2.4]]</f>
        <v>0 F</v>
      </c>
      <c r="V5" s="39" t="str">
        <f>[1]!Tabla1[[#This Row],[2.5]]</f>
        <v>1 P</v>
      </c>
      <c r="W5" s="39" t="str">
        <f>[1]!Tabla1[[#This Row],[2.6]]</f>
        <v>1 P</v>
      </c>
      <c r="X5" s="1">
        <f>[1]!Tabla1[[#This Row],[Fallos Nivel A]]</f>
        <v>4</v>
      </c>
      <c r="Y5" s="1">
        <f>[1]!Tabla1[[#This Row],[Fallos Nivel AA]]</f>
        <v>2</v>
      </c>
      <c r="Z5" s="1" t="str">
        <f>[1]!Tabla1[[#This Row],[Nivel de adecuación estimado original]]</f>
        <v>No Válido</v>
      </c>
      <c r="AA5" s="1" t="str">
        <f>[1]!Tabla1[[#This Row],[Check original]]</f>
        <v>No válido</v>
      </c>
      <c r="AB5" s="1" t="str">
        <f>[1]!Tabla1[[#This Row],[Nivel de adecuación estimado sin 1.7 y 2.1]]</f>
        <v>No válido</v>
      </c>
    </row>
    <row r="6" spans="1:28" x14ac:dyDescent="0.25">
      <c r="A6" s="1" t="str">
        <f>[1]!Tabla1[[#This Row],[Archivo]]</f>
        <v>4.0 GrPUB 1-37</v>
      </c>
      <c r="B6" s="1" t="str">
        <f>[1]!Tabla1[[#This Row],[Página]]</f>
        <v>Página 5</v>
      </c>
      <c r="C6" s="1" t="str">
        <f>[1]!Tabla1[[#This Row],[URL]]</f>
        <v>https://transparencia.gob.es</v>
      </c>
      <c r="D6" s="39" t="str">
        <f>[1]!Tabla1[[#This Row],[1.1]]</f>
        <v>1 P</v>
      </c>
      <c r="E6" s="39" t="str">
        <f>[1]!Tabla1[[#This Row],[1.2]]</f>
        <v>1 P</v>
      </c>
      <c r="F6" s="39" t="str">
        <f>[1]!Tabla1[[#This Row],[1.3]]</f>
        <v>0 F</v>
      </c>
      <c r="G6" s="39" t="str">
        <f>[1]!Tabla1[[#This Row],[1.4]]</f>
        <v>- P</v>
      </c>
      <c r="H6" s="39" t="str">
        <f>[1]!Tabla1[[#This Row],[1.5]]</f>
        <v>1 P</v>
      </c>
      <c r="I6" s="39" t="str">
        <f>[1]!Tabla1[[#This Row],[1.6]]</f>
        <v>0 F</v>
      </c>
      <c r="J6" s="39" t="str">
        <f>[1]!Tabla1[[#This Row],[1.7]]</f>
        <v>0 F</v>
      </c>
      <c r="K6" s="39" t="str">
        <f>[1]!Tabla1[[#This Row],[1.8]]</f>
        <v>1 P</v>
      </c>
      <c r="L6" s="39" t="str">
        <f>[1]!Tabla1[[#This Row],[1.9]]</f>
        <v>1 P</v>
      </c>
      <c r="M6" s="39" t="str">
        <f>[1]!Tabla1[[#This Row],[1.10]]</f>
        <v>1 P</v>
      </c>
      <c r="N6" s="39" t="str">
        <f>[1]!Tabla1[[#This Row],[1.11]]</f>
        <v>1 P</v>
      </c>
      <c r="O6" s="39" t="str">
        <f>[1]!Tabla1[[#This Row],[1.12]]</f>
        <v>0 F</v>
      </c>
      <c r="P6" s="39" t="str">
        <f>[1]!Tabla1[[#This Row],[1.13]]</f>
        <v>1 P</v>
      </c>
      <c r="Q6" s="39" t="str">
        <f>[1]!Tabla1[[#This Row],[1.14]]</f>
        <v>0 F</v>
      </c>
      <c r="R6" s="39" t="str">
        <f>[1]!Tabla1[[#This Row],[2.1]]</f>
        <v>0 F</v>
      </c>
      <c r="S6" s="39" t="str">
        <f>[1]!Tabla1[[#This Row],[2.2]]</f>
        <v>1 P</v>
      </c>
      <c r="T6" s="39" t="str">
        <f>[1]!Tabla1[[#This Row],[2.3]]</f>
        <v>1 P</v>
      </c>
      <c r="U6" s="39" t="str">
        <f>[1]!Tabla1[[#This Row],[2.4]]</f>
        <v>1 P</v>
      </c>
      <c r="V6" s="39" t="str">
        <f>[1]!Tabla1[[#This Row],[2.5]]</f>
        <v>0 F</v>
      </c>
      <c r="W6" s="39" t="str">
        <f>[1]!Tabla1[[#This Row],[2.6]]</f>
        <v>1 P</v>
      </c>
      <c r="X6" s="1">
        <f>[1]!Tabla1[[#This Row],[Fallos Nivel A]]</f>
        <v>5</v>
      </c>
      <c r="Y6" s="1">
        <f>[1]!Tabla1[[#This Row],[Fallos Nivel AA]]</f>
        <v>2</v>
      </c>
      <c r="Z6" s="1" t="str">
        <f>[1]!Tabla1[[#This Row],[Nivel de adecuación estimado original]]</f>
        <v>No Válido</v>
      </c>
      <c r="AA6" s="1" t="str">
        <f>[1]!Tabla1[[#This Row],[Check original]]</f>
        <v>No válido</v>
      </c>
      <c r="AB6" s="1" t="str">
        <f>[1]!Tabla1[[#This Row],[Nivel de adecuación estimado sin 1.7 y 2.1]]</f>
        <v>No válido</v>
      </c>
    </row>
    <row r="7" spans="1:28" x14ac:dyDescent="0.25">
      <c r="A7" s="1" t="str">
        <f>[1]!Tabla1[[#This Row],[Archivo]]</f>
        <v>4.0 GrPUB 1-37</v>
      </c>
      <c r="B7" s="1" t="str">
        <f>[1]!Tabla1[[#This Row],[Página]]</f>
        <v>Página 6</v>
      </c>
      <c r="C7" s="1" t="str">
        <f>[1]!Tabla1[[#This Row],[URL]]</f>
        <v>https://sede.imserso.gob.es</v>
      </c>
      <c r="D7" s="39" t="str">
        <f>[1]!Tabla1[[#This Row],[1.1]]</f>
        <v>1 P</v>
      </c>
      <c r="E7" s="39" t="str">
        <f>[1]!Tabla1[[#This Row],[1.2]]</f>
        <v>1 P</v>
      </c>
      <c r="F7" s="39" t="str">
        <f>[1]!Tabla1[[#This Row],[1.3]]</f>
        <v>1 P</v>
      </c>
      <c r="G7" s="39" t="str">
        <f>[1]!Tabla1[[#This Row],[1.4]]</f>
        <v>- P</v>
      </c>
      <c r="H7" s="39" t="str">
        <f>[1]!Tabla1[[#This Row],[1.5]]</f>
        <v>1 P</v>
      </c>
      <c r="I7" s="39" t="str">
        <f>[1]!Tabla1[[#This Row],[1.6]]</f>
        <v>1 P</v>
      </c>
      <c r="J7" s="39" t="str">
        <f>[1]!Tabla1[[#This Row],[1.7]]</f>
        <v>0 F</v>
      </c>
      <c r="K7" s="39" t="str">
        <f>[1]!Tabla1[[#This Row],[1.8]]</f>
        <v>1 P</v>
      </c>
      <c r="L7" s="39" t="str">
        <f>[1]!Tabla1[[#This Row],[1.9]]</f>
        <v>1 P</v>
      </c>
      <c r="M7" s="39" t="str">
        <f>[1]!Tabla1[[#This Row],[1.10]]</f>
        <v>1 P</v>
      </c>
      <c r="N7" s="39" t="str">
        <f>[1]!Tabla1[[#This Row],[1.11]]</f>
        <v>1 P</v>
      </c>
      <c r="O7" s="39" t="str">
        <f>[1]!Tabla1[[#This Row],[1.12]]</f>
        <v>1 P</v>
      </c>
      <c r="P7" s="39" t="str">
        <f>[1]!Tabla1[[#This Row],[1.13]]</f>
        <v>1 P</v>
      </c>
      <c r="Q7" s="39" t="str">
        <f>[1]!Tabla1[[#This Row],[1.14]]</f>
        <v>1 P</v>
      </c>
      <c r="R7" s="39" t="str">
        <f>[1]!Tabla1[[#This Row],[2.1]]</f>
        <v>0 F</v>
      </c>
      <c r="S7" s="39" t="str">
        <f>[1]!Tabla1[[#This Row],[2.2]]</f>
        <v>1 P</v>
      </c>
      <c r="T7" s="39" t="str">
        <f>[1]!Tabla1[[#This Row],[2.3]]</f>
        <v>1 P</v>
      </c>
      <c r="U7" s="39" t="str">
        <f>[1]!Tabla1[[#This Row],[2.4]]</f>
        <v>1 P</v>
      </c>
      <c r="V7" s="39" t="str">
        <f>[1]!Tabla1[[#This Row],[2.5]]</f>
        <v>1 P</v>
      </c>
      <c r="W7" s="39" t="str">
        <f>[1]!Tabla1[[#This Row],[2.6]]</f>
        <v>1 P</v>
      </c>
      <c r="X7" s="1">
        <f>[1]!Tabla1[[#This Row],[Fallos Nivel A]]</f>
        <v>1</v>
      </c>
      <c r="Y7" s="1">
        <f>[1]!Tabla1[[#This Row],[Fallos Nivel AA]]</f>
        <v>1</v>
      </c>
      <c r="Z7" s="1" t="str">
        <f>[1]!Tabla1[[#This Row],[Nivel de adecuación estimado original]]</f>
        <v>AA</v>
      </c>
      <c r="AA7" s="1" t="str">
        <f>[1]!Tabla1[[#This Row],[Check original]]</f>
        <v>AA</v>
      </c>
      <c r="AB7" s="1" t="str">
        <f>[1]!Tabla1[[#This Row],[Nivel de adecuación estimado sin 1.7 y 2.1]]</f>
        <v>AA</v>
      </c>
    </row>
    <row r="8" spans="1:28" x14ac:dyDescent="0.25">
      <c r="A8" s="1" t="str">
        <f>[1]!Tabla1[[#This Row],[Archivo]]</f>
        <v>4.0 GrPUB 1-37</v>
      </c>
      <c r="B8" s="1" t="str">
        <f>[1]!Tabla1[[#This Row],[Página]]</f>
        <v>Página 7</v>
      </c>
      <c r="C8" s="1" t="str">
        <f>[1]!Tabla1[[#This Row],[URL]]</f>
        <v>https://www.consejodetransparencia.es/ct_Home/index.html</v>
      </c>
      <c r="D8" s="39" t="str">
        <f>[1]!Tabla1[[#This Row],[1.1]]</f>
        <v>0 F</v>
      </c>
      <c r="E8" s="39" t="str">
        <f>[1]!Tabla1[[#This Row],[1.2]]</f>
        <v>1 P</v>
      </c>
      <c r="F8" s="39" t="str">
        <f>[1]!Tabla1[[#This Row],[1.3]]</f>
        <v>0 F</v>
      </c>
      <c r="G8" s="39" t="str">
        <f>[1]!Tabla1[[#This Row],[1.4]]</f>
        <v>0 F</v>
      </c>
      <c r="H8" s="39" t="str">
        <f>[1]!Tabla1[[#This Row],[1.5]]</f>
        <v>1 P</v>
      </c>
      <c r="I8" s="39" t="str">
        <f>[1]!Tabla1[[#This Row],[1.6]]</f>
        <v>1 P</v>
      </c>
      <c r="J8" s="39" t="str">
        <f>[1]!Tabla1[[#This Row],[1.7]]</f>
        <v>0 F</v>
      </c>
      <c r="K8" s="39" t="str">
        <f>[1]!Tabla1[[#This Row],[1.8]]</f>
        <v>1 P</v>
      </c>
      <c r="L8" s="39" t="str">
        <f>[1]!Tabla1[[#This Row],[1.9]]</f>
        <v>0 F</v>
      </c>
      <c r="M8" s="39" t="str">
        <f>[1]!Tabla1[[#This Row],[1.10]]</f>
        <v>1 P</v>
      </c>
      <c r="N8" s="39" t="str">
        <f>[1]!Tabla1[[#This Row],[1.11]]</f>
        <v>1 P</v>
      </c>
      <c r="O8" s="39" t="str">
        <f>[1]!Tabla1[[#This Row],[1.12]]</f>
        <v>0 F</v>
      </c>
      <c r="P8" s="39" t="str">
        <f>[1]!Tabla1[[#This Row],[1.13]]</f>
        <v>1 P</v>
      </c>
      <c r="Q8" s="39" t="str">
        <f>[1]!Tabla1[[#This Row],[1.14]]</f>
        <v>0 F</v>
      </c>
      <c r="R8" s="39" t="str">
        <f>[1]!Tabla1[[#This Row],[2.1]]</f>
        <v>0 F</v>
      </c>
      <c r="S8" s="39" t="str">
        <f>[1]!Tabla1[[#This Row],[2.2]]</f>
        <v>1 P</v>
      </c>
      <c r="T8" s="39" t="str">
        <f>[1]!Tabla1[[#This Row],[2.3]]</f>
        <v>1 P</v>
      </c>
      <c r="U8" s="39" t="str">
        <f>[1]!Tabla1[[#This Row],[2.4]]</f>
        <v>1 P</v>
      </c>
      <c r="V8" s="39" t="str">
        <f>[1]!Tabla1[[#This Row],[2.5]]</f>
        <v>0 F</v>
      </c>
      <c r="W8" s="39" t="str">
        <f>[1]!Tabla1[[#This Row],[2.6]]</f>
        <v>1 P</v>
      </c>
      <c r="X8" s="1">
        <f>[1]!Tabla1[[#This Row],[Fallos Nivel A]]</f>
        <v>7</v>
      </c>
      <c r="Y8" s="1">
        <f>[1]!Tabla1[[#This Row],[Fallos Nivel AA]]</f>
        <v>2</v>
      </c>
      <c r="Z8" s="1" t="str">
        <f>[1]!Tabla1[[#This Row],[Nivel de adecuación estimado original]]</f>
        <v>No Válido</v>
      </c>
      <c r="AA8" s="1" t="str">
        <f>[1]!Tabla1[[#This Row],[Check original]]</f>
        <v>No válido</v>
      </c>
      <c r="AB8" s="1" t="str">
        <f>[1]!Tabla1[[#This Row],[Nivel de adecuación estimado sin 1.7 y 2.1]]</f>
        <v>No válido</v>
      </c>
    </row>
    <row r="9" spans="1:28" x14ac:dyDescent="0.25">
      <c r="A9" s="1" t="str">
        <f>[1]!Tabla1[[#This Row],[Archivo]]</f>
        <v>4.0 GrPUB 1-37</v>
      </c>
      <c r="B9" s="1" t="str">
        <f>[1]!Tabla1[[#This Row],[Página]]</f>
        <v>Página 8</v>
      </c>
      <c r="C9" s="1" t="str">
        <f>[1]!Tabla1[[#This Row],[URL]]</f>
        <v>https://energia.gob.es/es-es/Paginas/index.aspx</v>
      </c>
      <c r="D9" s="39" t="str">
        <f>[1]!Tabla1[[#This Row],[1.1]]</f>
        <v>1 P</v>
      </c>
      <c r="E9" s="39" t="str">
        <f>[1]!Tabla1[[#This Row],[1.2]]</f>
        <v>1 P</v>
      </c>
      <c r="F9" s="39" t="str">
        <f>[1]!Tabla1[[#This Row],[1.3]]</f>
        <v>1 P</v>
      </c>
      <c r="G9" s="39" t="str">
        <f>[1]!Tabla1[[#This Row],[1.4]]</f>
        <v>- P</v>
      </c>
      <c r="H9" s="39" t="str">
        <f>[1]!Tabla1[[#This Row],[1.5]]</f>
        <v>1 P</v>
      </c>
      <c r="I9" s="39" t="str">
        <f>[1]!Tabla1[[#This Row],[1.6]]</f>
        <v>1 P</v>
      </c>
      <c r="J9" s="39" t="str">
        <f>[1]!Tabla1[[#This Row],[1.7]]</f>
        <v>0 F</v>
      </c>
      <c r="K9" s="39" t="str">
        <f>[1]!Tabla1[[#This Row],[1.8]]</f>
        <v>1 P</v>
      </c>
      <c r="L9" s="39" t="str">
        <f>[1]!Tabla1[[#This Row],[1.9]]</f>
        <v>1 P</v>
      </c>
      <c r="M9" s="39" t="str">
        <f>[1]!Tabla1[[#This Row],[1.10]]</f>
        <v>1 P</v>
      </c>
      <c r="N9" s="39" t="str">
        <f>[1]!Tabla1[[#This Row],[1.11]]</f>
        <v>1 P</v>
      </c>
      <c r="O9" s="39" t="str">
        <f>[1]!Tabla1[[#This Row],[1.12]]</f>
        <v>1 P</v>
      </c>
      <c r="P9" s="39" t="str">
        <f>[1]!Tabla1[[#This Row],[1.13]]</f>
        <v>1 P</v>
      </c>
      <c r="Q9" s="39" t="str">
        <f>[1]!Tabla1[[#This Row],[1.14]]</f>
        <v>1 P</v>
      </c>
      <c r="R9" s="39" t="str">
        <f>[1]!Tabla1[[#This Row],[2.1]]</f>
        <v>0 F</v>
      </c>
      <c r="S9" s="39" t="str">
        <f>[1]!Tabla1[[#This Row],[2.2]]</f>
        <v>1 P</v>
      </c>
      <c r="T9" s="39" t="str">
        <f>[1]!Tabla1[[#This Row],[2.3]]</f>
        <v>1 P</v>
      </c>
      <c r="U9" s="39" t="str">
        <f>[1]!Tabla1[[#This Row],[2.4]]</f>
        <v>1 P</v>
      </c>
      <c r="V9" s="39" t="str">
        <f>[1]!Tabla1[[#This Row],[2.5]]</f>
        <v>1 P</v>
      </c>
      <c r="W9" s="39" t="str">
        <f>[1]!Tabla1[[#This Row],[2.6]]</f>
        <v>1 P</v>
      </c>
      <c r="X9" s="1">
        <f>[1]!Tabla1[[#This Row],[Fallos Nivel A]]</f>
        <v>1</v>
      </c>
      <c r="Y9" s="1">
        <f>[1]!Tabla1[[#This Row],[Fallos Nivel AA]]</f>
        <v>1</v>
      </c>
      <c r="Z9" s="1" t="str">
        <f>[1]!Tabla1[[#This Row],[Nivel de adecuación estimado original]]</f>
        <v>AA</v>
      </c>
      <c r="AA9" s="1" t="str">
        <f>[1]!Tabla1[[#This Row],[Check original]]</f>
        <v>AA</v>
      </c>
      <c r="AB9" s="1" t="str">
        <f>[1]!Tabla1[[#This Row],[Nivel de adecuación estimado sin 1.7 y 2.1]]</f>
        <v>AA</v>
      </c>
    </row>
    <row r="10" spans="1:28" x14ac:dyDescent="0.25">
      <c r="A10" s="1" t="str">
        <f>[1]!Tabla1[[#This Row],[Archivo]]</f>
        <v>4.0 GrPUB 1-37</v>
      </c>
      <c r="B10" s="1" t="str">
        <f>[1]!Tabla1[[#This Row],[Página]]</f>
        <v>Página 9</v>
      </c>
      <c r="C10" s="1" t="str">
        <f>[1]!Tabla1[[#This Row],[URL]]</f>
        <v>https://www.defensa.gob.es</v>
      </c>
      <c r="D10" s="39" t="str">
        <f>[1]!Tabla1[[#This Row],[1.1]]</f>
        <v>1 P</v>
      </c>
      <c r="E10" s="39" t="str">
        <f>[1]!Tabla1[[#This Row],[1.2]]</f>
        <v>1 P</v>
      </c>
      <c r="F10" s="39" t="str">
        <f>[1]!Tabla1[[#This Row],[1.3]]</f>
        <v>1 P</v>
      </c>
      <c r="G10" s="39" t="str">
        <f>[1]!Tabla1[[#This Row],[1.4]]</f>
        <v>- P</v>
      </c>
      <c r="H10" s="39" t="str">
        <f>[1]!Tabla1[[#This Row],[1.5]]</f>
        <v>1 P</v>
      </c>
      <c r="I10" s="39" t="str">
        <f>[1]!Tabla1[[#This Row],[1.6]]</f>
        <v>0 F</v>
      </c>
      <c r="J10" s="39" t="str">
        <f>[1]!Tabla1[[#This Row],[1.7]]</f>
        <v>0 F</v>
      </c>
      <c r="K10" s="39" t="str">
        <f>[1]!Tabla1[[#This Row],[1.8]]</f>
        <v>1 P</v>
      </c>
      <c r="L10" s="39" t="str">
        <f>[1]!Tabla1[[#This Row],[1.9]]</f>
        <v>1 P</v>
      </c>
      <c r="M10" s="39" t="str">
        <f>[1]!Tabla1[[#This Row],[1.10]]</f>
        <v>1 P</v>
      </c>
      <c r="N10" s="39" t="str">
        <f>[1]!Tabla1[[#This Row],[1.11]]</f>
        <v>1 P</v>
      </c>
      <c r="O10" s="39" t="str">
        <f>[1]!Tabla1[[#This Row],[1.12]]</f>
        <v>1 P</v>
      </c>
      <c r="P10" s="39" t="str">
        <f>[1]!Tabla1[[#This Row],[1.13]]</f>
        <v>0 F</v>
      </c>
      <c r="Q10" s="39" t="str">
        <f>[1]!Tabla1[[#This Row],[1.14]]</f>
        <v>1 P</v>
      </c>
      <c r="R10" s="39" t="str">
        <f>[1]!Tabla1[[#This Row],[2.1]]</f>
        <v>0 F</v>
      </c>
      <c r="S10" s="39" t="str">
        <f>[1]!Tabla1[[#This Row],[2.2]]</f>
        <v>1 P</v>
      </c>
      <c r="T10" s="39" t="str">
        <f>[1]!Tabla1[[#This Row],[2.3]]</f>
        <v>1 P</v>
      </c>
      <c r="U10" s="39" t="str">
        <f>[1]!Tabla1[[#This Row],[2.4]]</f>
        <v>1 P</v>
      </c>
      <c r="V10" s="39" t="str">
        <f>[1]!Tabla1[[#This Row],[2.5]]</f>
        <v>0 F</v>
      </c>
      <c r="W10" s="39" t="str">
        <f>[1]!Tabla1[[#This Row],[2.6]]</f>
        <v>1 P</v>
      </c>
      <c r="X10" s="1">
        <f>[1]!Tabla1[[#This Row],[Fallos Nivel A]]</f>
        <v>3</v>
      </c>
      <c r="Y10" s="1">
        <f>[1]!Tabla1[[#This Row],[Fallos Nivel AA]]</f>
        <v>2</v>
      </c>
      <c r="Z10" s="1" t="str">
        <f>[1]!Tabla1[[#This Row],[Nivel de adecuación estimado original]]</f>
        <v>No Válido</v>
      </c>
      <c r="AA10" s="1" t="str">
        <f>[1]!Tabla1[[#This Row],[Check original]]</f>
        <v>No válido</v>
      </c>
      <c r="AB10" s="1" t="str">
        <f>[1]!Tabla1[[#This Row],[Nivel de adecuación estimado sin 1.7 y 2.1]]</f>
        <v>AA</v>
      </c>
    </row>
    <row r="11" spans="1:28" x14ac:dyDescent="0.25">
      <c r="A11" s="1" t="str">
        <f>[1]!Tabla1[[#This Row],[Archivo]]</f>
        <v>4.0 GrPUB 1-37</v>
      </c>
      <c r="B11" s="1" t="str">
        <f>[1]!Tabla1[[#This Row],[Página]]</f>
        <v>Página 10</v>
      </c>
      <c r="C11" s="1" t="str">
        <f>[1]!Tabla1[[#This Row],[URL]]</f>
        <v>https://www.inmujeres.gob.es</v>
      </c>
      <c r="D11" s="39" t="str">
        <f>[1]!Tabla1[[#This Row],[1.1]]</f>
        <v>0 F</v>
      </c>
      <c r="E11" s="39" t="str">
        <f>[1]!Tabla1[[#This Row],[1.2]]</f>
        <v>0.5 P</v>
      </c>
      <c r="F11" s="39" t="str">
        <f>[1]!Tabla1[[#This Row],[1.3]]</f>
        <v>1 P</v>
      </c>
      <c r="G11" s="39" t="str">
        <f>[1]!Tabla1[[#This Row],[1.4]]</f>
        <v>- P</v>
      </c>
      <c r="H11" s="39" t="str">
        <f>[1]!Tabla1[[#This Row],[1.5]]</f>
        <v>0 F</v>
      </c>
      <c r="I11" s="39" t="str">
        <f>[1]!Tabla1[[#This Row],[1.6]]</f>
        <v>1 P</v>
      </c>
      <c r="J11" s="39" t="str">
        <f>[1]!Tabla1[[#This Row],[1.7]]</f>
        <v>0 F</v>
      </c>
      <c r="K11" s="39" t="str">
        <f>[1]!Tabla1[[#This Row],[1.8]]</f>
        <v>1 P</v>
      </c>
      <c r="L11" s="39" t="str">
        <f>[1]!Tabla1[[#This Row],[1.9]]</f>
        <v>- P</v>
      </c>
      <c r="M11" s="39" t="str">
        <f>[1]!Tabla1[[#This Row],[1.10]]</f>
        <v>- P</v>
      </c>
      <c r="N11" s="39" t="str">
        <f>[1]!Tabla1[[#This Row],[1.11]]</f>
        <v>1 P</v>
      </c>
      <c r="O11" s="39" t="str">
        <f>[1]!Tabla1[[#This Row],[1.12]]</f>
        <v>0 F</v>
      </c>
      <c r="P11" s="39" t="str">
        <f>[1]!Tabla1[[#This Row],[1.13]]</f>
        <v>1 P</v>
      </c>
      <c r="Q11" s="39" t="str">
        <f>[1]!Tabla1[[#This Row],[1.14]]</f>
        <v>1 P</v>
      </c>
      <c r="R11" s="39" t="str">
        <f>[1]!Tabla1[[#This Row],[2.1]]</f>
        <v>0 F</v>
      </c>
      <c r="S11" s="39" t="str">
        <f>[1]!Tabla1[[#This Row],[2.2]]</f>
        <v>1 P</v>
      </c>
      <c r="T11" s="39" t="str">
        <f>[1]!Tabla1[[#This Row],[2.3]]</f>
        <v>1 P</v>
      </c>
      <c r="U11" s="39" t="str">
        <f>[1]!Tabla1[[#This Row],[2.4]]</f>
        <v>1 P</v>
      </c>
      <c r="V11" s="39" t="str">
        <f>[1]!Tabla1[[#This Row],[2.5]]</f>
        <v>1 P</v>
      </c>
      <c r="W11" s="39" t="str">
        <f>[1]!Tabla1[[#This Row],[2.6]]</f>
        <v>1 P</v>
      </c>
      <c r="X11" s="1">
        <f>[1]!Tabla1[[#This Row],[Fallos Nivel A]]</f>
        <v>4</v>
      </c>
      <c r="Y11" s="1">
        <f>[1]!Tabla1[[#This Row],[Fallos Nivel AA]]</f>
        <v>1</v>
      </c>
      <c r="Z11" s="1" t="str">
        <f>[1]!Tabla1[[#This Row],[Nivel de adecuación estimado original]]</f>
        <v>No Válido</v>
      </c>
      <c r="AA11" s="1" t="str">
        <f>[1]!Tabla1[[#This Row],[Check original]]</f>
        <v>No válido</v>
      </c>
      <c r="AB11" s="1" t="str">
        <f>[1]!Tabla1[[#This Row],[Nivel de adecuación estimado sin 1.7 y 2.1]]</f>
        <v>No válido</v>
      </c>
    </row>
    <row r="12" spans="1:28" x14ac:dyDescent="0.25">
      <c r="A12" s="1" t="str">
        <f>[1]!Tabla1[[#This Row],[Archivo]]</f>
        <v>4.0 GrPUB 1-37</v>
      </c>
      <c r="B12" s="1" t="str">
        <f>[1]!Tabla1[[#This Row],[Página]]</f>
        <v>Página 11</v>
      </c>
      <c r="C12" s="1" t="str">
        <f>[1]!Tabla1[[#This Row],[URL]]</f>
        <v>https://universidades.sede.gob.es</v>
      </c>
      <c r="D12" s="39" t="str">
        <f>[1]!Tabla1[[#This Row],[1.1]]</f>
        <v>1 P</v>
      </c>
      <c r="E12" s="39" t="str">
        <f>[1]!Tabla1[[#This Row],[1.2]]</f>
        <v>1 P</v>
      </c>
      <c r="F12" s="39" t="str">
        <f>[1]!Tabla1[[#This Row],[1.3]]</f>
        <v>1 P</v>
      </c>
      <c r="G12" s="39" t="str">
        <f>[1]!Tabla1[[#This Row],[1.4]]</f>
        <v>- P</v>
      </c>
      <c r="H12" s="39" t="str">
        <f>[1]!Tabla1[[#This Row],[1.5]]</f>
        <v>1 P</v>
      </c>
      <c r="I12" s="39" t="str">
        <f>[1]!Tabla1[[#This Row],[1.6]]</f>
        <v>1 P</v>
      </c>
      <c r="J12" s="39" t="str">
        <f>[1]!Tabla1[[#This Row],[1.7]]</f>
        <v>0 F</v>
      </c>
      <c r="K12" s="39" t="str">
        <f>[1]!Tabla1[[#This Row],[1.8]]</f>
        <v>1 P</v>
      </c>
      <c r="L12" s="39" t="str">
        <f>[1]!Tabla1[[#This Row],[1.9]]</f>
        <v>- P</v>
      </c>
      <c r="M12" s="39" t="str">
        <f>[1]!Tabla1[[#This Row],[1.10]]</f>
        <v>- P</v>
      </c>
      <c r="N12" s="39" t="str">
        <f>[1]!Tabla1[[#This Row],[1.11]]</f>
        <v>1 P</v>
      </c>
      <c r="O12" s="39" t="str">
        <f>[1]!Tabla1[[#This Row],[1.12]]</f>
        <v>0 F</v>
      </c>
      <c r="P12" s="39" t="str">
        <f>[1]!Tabla1[[#This Row],[1.13]]</f>
        <v>1 P</v>
      </c>
      <c r="Q12" s="39" t="str">
        <f>[1]!Tabla1[[#This Row],[1.14]]</f>
        <v>1 P</v>
      </c>
      <c r="R12" s="39" t="str">
        <f>[1]!Tabla1[[#This Row],[2.1]]</f>
        <v>0 F</v>
      </c>
      <c r="S12" s="39" t="str">
        <f>[1]!Tabla1[[#This Row],[2.2]]</f>
        <v>0 F</v>
      </c>
      <c r="T12" s="39" t="str">
        <f>[1]!Tabla1[[#This Row],[2.3]]</f>
        <v>1 P</v>
      </c>
      <c r="U12" s="39" t="str">
        <f>[1]!Tabla1[[#This Row],[2.4]]</f>
        <v>0 F</v>
      </c>
      <c r="V12" s="39" t="str">
        <f>[1]!Tabla1[[#This Row],[2.5]]</f>
        <v>1 P</v>
      </c>
      <c r="W12" s="39" t="str">
        <f>[1]!Tabla1[[#This Row],[2.6]]</f>
        <v>1 P</v>
      </c>
      <c r="X12" s="1">
        <f>[1]!Tabla1[[#This Row],[Fallos Nivel A]]</f>
        <v>2</v>
      </c>
      <c r="Y12" s="1">
        <f>[1]!Tabla1[[#This Row],[Fallos Nivel AA]]</f>
        <v>3</v>
      </c>
      <c r="Z12" s="1" t="str">
        <f>[1]!Tabla1[[#This Row],[Nivel de adecuación estimado original]]</f>
        <v>A</v>
      </c>
      <c r="AA12" s="1" t="str">
        <f>[1]!Tabla1[[#This Row],[Check original]]</f>
        <v>A</v>
      </c>
      <c r="AB12" s="1" t="str">
        <f>[1]!Tabla1[[#This Row],[Nivel de adecuación estimado sin 1.7 y 2.1]]</f>
        <v>AA</v>
      </c>
    </row>
    <row r="13" spans="1:28" x14ac:dyDescent="0.25">
      <c r="A13" s="1" t="str">
        <f>[1]!Tabla1[[#This Row],[Archivo]]</f>
        <v>4.0 GrPUB 1-37</v>
      </c>
      <c r="B13" s="1" t="str">
        <f>[1]!Tabla1[[#This Row],[Página]]</f>
        <v>Página 12</v>
      </c>
      <c r="C13" s="1" t="str">
        <f>[1]!Tabla1[[#This Row],[URL]]</f>
        <v>https://www.universidades.gob.es</v>
      </c>
      <c r="D13" s="39" t="str">
        <f>[1]!Tabla1[[#This Row],[1.1]]</f>
        <v>0 F</v>
      </c>
      <c r="E13" s="39" t="str">
        <f>[1]!Tabla1[[#This Row],[1.2]]</f>
        <v>0 F</v>
      </c>
      <c r="F13" s="39" t="str">
        <f>[1]!Tabla1[[#This Row],[1.3]]</f>
        <v>1 P</v>
      </c>
      <c r="G13" s="39" t="str">
        <f>[1]!Tabla1[[#This Row],[1.4]]</f>
        <v>- P</v>
      </c>
      <c r="H13" s="39" t="str">
        <f>[1]!Tabla1[[#This Row],[1.5]]</f>
        <v>1 P</v>
      </c>
      <c r="I13" s="39" t="str">
        <f>[1]!Tabla1[[#This Row],[1.6]]</f>
        <v>0 F</v>
      </c>
      <c r="J13" s="39" t="str">
        <f>[1]!Tabla1[[#This Row],[1.7]]</f>
        <v>0 F</v>
      </c>
      <c r="K13" s="39" t="str">
        <f>[1]!Tabla1[[#This Row],[1.8]]</f>
        <v>1 P</v>
      </c>
      <c r="L13" s="39" t="str">
        <f>[1]!Tabla1[[#This Row],[1.9]]</f>
        <v>0 F</v>
      </c>
      <c r="M13" s="39" t="str">
        <f>[1]!Tabla1[[#This Row],[1.10]]</f>
        <v>0 F</v>
      </c>
      <c r="N13" s="39" t="str">
        <f>[1]!Tabla1[[#This Row],[1.11]]</f>
        <v>0 F</v>
      </c>
      <c r="O13" s="39" t="str">
        <f>[1]!Tabla1[[#This Row],[1.12]]</f>
        <v>0 F</v>
      </c>
      <c r="P13" s="39" t="str">
        <f>[1]!Tabla1[[#This Row],[1.13]]</f>
        <v>1 P</v>
      </c>
      <c r="Q13" s="39" t="str">
        <f>[1]!Tabla1[[#This Row],[1.14]]</f>
        <v>0 F</v>
      </c>
      <c r="R13" s="39" t="str">
        <f>[1]!Tabla1[[#This Row],[2.1]]</f>
        <v>0 F</v>
      </c>
      <c r="S13" s="39" t="str">
        <f>[1]!Tabla1[[#This Row],[2.2]]</f>
        <v>0 F</v>
      </c>
      <c r="T13" s="39" t="str">
        <f>[1]!Tabla1[[#This Row],[2.3]]</f>
        <v>1 P</v>
      </c>
      <c r="U13" s="39" t="str">
        <f>[1]!Tabla1[[#This Row],[2.4]]</f>
        <v>1 P</v>
      </c>
      <c r="V13" s="39" t="str">
        <f>[1]!Tabla1[[#This Row],[2.5]]</f>
        <v>0 F</v>
      </c>
      <c r="W13" s="39" t="str">
        <f>[1]!Tabla1[[#This Row],[2.6]]</f>
        <v>1 P</v>
      </c>
      <c r="X13" s="1">
        <f>[1]!Tabla1[[#This Row],[Fallos Nivel A]]</f>
        <v>9</v>
      </c>
      <c r="Y13" s="1">
        <f>[1]!Tabla1[[#This Row],[Fallos Nivel AA]]</f>
        <v>3</v>
      </c>
      <c r="Z13" s="1" t="str">
        <f>[1]!Tabla1[[#This Row],[Nivel de adecuación estimado original]]</f>
        <v>No Válido</v>
      </c>
      <c r="AA13" s="1" t="str">
        <f>[1]!Tabla1[[#This Row],[Check original]]</f>
        <v>No válido</v>
      </c>
      <c r="AB13" s="1" t="str">
        <f>[1]!Tabla1[[#This Row],[Nivel de adecuación estimado sin 1.7 y 2.1]]</f>
        <v>No válido</v>
      </c>
    </row>
    <row r="14" spans="1:28" x14ac:dyDescent="0.25">
      <c r="A14" s="1" t="str">
        <f>[1]!Tabla1[[#This Row],[Archivo]]</f>
        <v>4.0 GrPUB 1-37</v>
      </c>
      <c r="B14" s="1" t="str">
        <f>[1]!Tabla1[[#This Row],[Página]]</f>
        <v>Página 13</v>
      </c>
      <c r="C14" s="1" t="str">
        <f>[1]!Tabla1[[#This Row],[URL]]</f>
        <v>https://www.aica.gob.es</v>
      </c>
      <c r="D14" s="39" t="str">
        <f>[1]!Tabla1[[#This Row],[1.1]]</f>
        <v>0 F</v>
      </c>
      <c r="E14" s="39" t="str">
        <f>[1]!Tabla1[[#This Row],[1.2]]</f>
        <v>1 P</v>
      </c>
      <c r="F14" s="39" t="str">
        <f>[1]!Tabla1[[#This Row],[1.3]]</f>
        <v>1 P</v>
      </c>
      <c r="G14" s="39" t="str">
        <f>[1]!Tabla1[[#This Row],[1.4]]</f>
        <v>- P</v>
      </c>
      <c r="H14" s="39" t="str">
        <f>[1]!Tabla1[[#This Row],[1.5]]</f>
        <v>0 F</v>
      </c>
      <c r="I14" s="39" t="str">
        <f>[1]!Tabla1[[#This Row],[1.6]]</f>
        <v>1 P</v>
      </c>
      <c r="J14" s="39" t="str">
        <f>[1]!Tabla1[[#This Row],[1.7]]</f>
        <v>0 F</v>
      </c>
      <c r="K14" s="39" t="str">
        <f>[1]!Tabla1[[#This Row],[1.8]]</f>
        <v>0 F</v>
      </c>
      <c r="L14" s="39" t="str">
        <f>[1]!Tabla1[[#This Row],[1.9]]</f>
        <v>0 F</v>
      </c>
      <c r="M14" s="39" t="str">
        <f>[1]!Tabla1[[#This Row],[1.10]]</f>
        <v>1 P</v>
      </c>
      <c r="N14" s="39" t="str">
        <f>[1]!Tabla1[[#This Row],[1.11]]</f>
        <v>1 P</v>
      </c>
      <c r="O14" s="39" t="str">
        <f>[1]!Tabla1[[#This Row],[1.12]]</f>
        <v>0 F</v>
      </c>
      <c r="P14" s="39" t="str">
        <f>[1]!Tabla1[[#This Row],[1.13]]</f>
        <v>1 P</v>
      </c>
      <c r="Q14" s="39" t="str">
        <f>[1]!Tabla1[[#This Row],[1.14]]</f>
        <v>0 F</v>
      </c>
      <c r="R14" s="39" t="str">
        <f>[1]!Tabla1[[#This Row],[2.1]]</f>
        <v>0 F</v>
      </c>
      <c r="S14" s="39" t="str">
        <f>[1]!Tabla1[[#This Row],[2.2]]</f>
        <v>1 P</v>
      </c>
      <c r="T14" s="39" t="str">
        <f>[1]!Tabla1[[#This Row],[2.3]]</f>
        <v>1 P</v>
      </c>
      <c r="U14" s="39" t="str">
        <f>[1]!Tabla1[[#This Row],[2.4]]</f>
        <v>1 P</v>
      </c>
      <c r="V14" s="39" t="str">
        <f>[1]!Tabla1[[#This Row],[2.5]]</f>
        <v>1 P</v>
      </c>
      <c r="W14" s="39" t="str">
        <f>[1]!Tabla1[[#This Row],[2.6]]</f>
        <v>1 P</v>
      </c>
      <c r="X14" s="1">
        <f>[1]!Tabla1[[#This Row],[Fallos Nivel A]]</f>
        <v>7</v>
      </c>
      <c r="Y14" s="1">
        <f>[1]!Tabla1[[#This Row],[Fallos Nivel AA]]</f>
        <v>1</v>
      </c>
      <c r="Z14" s="1" t="str">
        <f>[1]!Tabla1[[#This Row],[Nivel de adecuación estimado original]]</f>
        <v>No Válido</v>
      </c>
      <c r="AA14" s="1" t="str">
        <f>[1]!Tabla1[[#This Row],[Check original]]</f>
        <v>No válido</v>
      </c>
      <c r="AB14" s="1" t="str">
        <f>[1]!Tabla1[[#This Row],[Nivel de adecuación estimado sin 1.7 y 2.1]]</f>
        <v>No válido</v>
      </c>
    </row>
    <row r="15" spans="1:28" x14ac:dyDescent="0.25">
      <c r="A15" s="1" t="str">
        <f>[1]!Tabla1[[#This Row],[Archivo]]</f>
        <v>4.0 GrPUB 1-37</v>
      </c>
      <c r="B15" s="1" t="str">
        <f>[1]!Tabla1[[#This Row],[Página]]</f>
        <v>Página 14</v>
      </c>
      <c r="C15" s="1" t="str">
        <f>[1]!Tabla1[[#This Row],[URL]]</f>
        <v>https://sede.administracionespublicas.gob.es</v>
      </c>
      <c r="D15" s="39" t="str">
        <f>[1]!Tabla1[[#This Row],[1.1]]</f>
        <v>1 P</v>
      </c>
      <c r="E15" s="39" t="str">
        <f>[1]!Tabla1[[#This Row],[1.2]]</f>
        <v>1 P</v>
      </c>
      <c r="F15" s="39" t="str">
        <f>[1]!Tabla1[[#This Row],[1.3]]</f>
        <v>1 P</v>
      </c>
      <c r="G15" s="39" t="str">
        <f>[1]!Tabla1[[#This Row],[1.4]]</f>
        <v>- P</v>
      </c>
      <c r="H15" s="39" t="str">
        <f>[1]!Tabla1[[#This Row],[1.5]]</f>
        <v>1 P</v>
      </c>
      <c r="I15" s="39" t="str">
        <f>[1]!Tabla1[[#This Row],[1.6]]</f>
        <v>1 P</v>
      </c>
      <c r="J15" s="39" t="str">
        <f>[1]!Tabla1[[#This Row],[1.7]]</f>
        <v>0 F</v>
      </c>
      <c r="K15" s="39" t="str">
        <f>[1]!Tabla1[[#This Row],[1.8]]</f>
        <v>1 P</v>
      </c>
      <c r="L15" s="39" t="str">
        <f>[1]!Tabla1[[#This Row],[1.9]]</f>
        <v>- P</v>
      </c>
      <c r="M15" s="39" t="str">
        <f>[1]!Tabla1[[#This Row],[1.10]]</f>
        <v>- P</v>
      </c>
      <c r="N15" s="39" t="str">
        <f>[1]!Tabla1[[#This Row],[1.11]]</f>
        <v>0 F</v>
      </c>
      <c r="O15" s="39" t="str">
        <f>[1]!Tabla1[[#This Row],[1.12]]</f>
        <v>1 P</v>
      </c>
      <c r="P15" s="39" t="str">
        <f>[1]!Tabla1[[#This Row],[1.13]]</f>
        <v>1 P</v>
      </c>
      <c r="Q15" s="39" t="str">
        <f>[1]!Tabla1[[#This Row],[1.14]]</f>
        <v>1 P</v>
      </c>
      <c r="R15" s="39" t="str">
        <f>[1]!Tabla1[[#This Row],[2.1]]</f>
        <v>0 F</v>
      </c>
      <c r="S15" s="39" t="str">
        <f>[1]!Tabla1[[#This Row],[2.2]]</f>
        <v>0 F</v>
      </c>
      <c r="T15" s="39" t="str">
        <f>[1]!Tabla1[[#This Row],[2.3]]</f>
        <v>1 P</v>
      </c>
      <c r="U15" s="39" t="str">
        <f>[1]!Tabla1[[#This Row],[2.4]]</f>
        <v>0 F</v>
      </c>
      <c r="V15" s="39" t="str">
        <f>[1]!Tabla1[[#This Row],[2.5]]</f>
        <v>1 P</v>
      </c>
      <c r="W15" s="39" t="str">
        <f>[1]!Tabla1[[#This Row],[2.6]]</f>
        <v>1 P</v>
      </c>
      <c r="X15" s="1">
        <f>[1]!Tabla1[[#This Row],[Fallos Nivel A]]</f>
        <v>2</v>
      </c>
      <c r="Y15" s="1">
        <f>[1]!Tabla1[[#This Row],[Fallos Nivel AA]]</f>
        <v>3</v>
      </c>
      <c r="Z15" s="1" t="str">
        <f>[1]!Tabla1[[#This Row],[Nivel de adecuación estimado original]]</f>
        <v>A</v>
      </c>
      <c r="AA15" s="1" t="str">
        <f>[1]!Tabla1[[#This Row],[Check original]]</f>
        <v>A</v>
      </c>
      <c r="AB15" s="1" t="str">
        <f>[1]!Tabla1[[#This Row],[Nivel de adecuación estimado sin 1.7 y 2.1]]</f>
        <v>AA</v>
      </c>
    </row>
    <row r="16" spans="1:28" x14ac:dyDescent="0.25">
      <c r="A16" s="1" t="str">
        <f>[1]!Tabla1[[#This Row],[Archivo]]</f>
        <v>4.0 GrPUB 1-37</v>
      </c>
      <c r="B16" s="1" t="str">
        <f>[1]!Tabla1[[#This Row],[Página]]</f>
        <v>Página 15</v>
      </c>
      <c r="C16" s="1" t="str">
        <f>[1]!Tabla1[[#This Row],[URL]]</f>
        <v>https://www.sanidad.gob.es</v>
      </c>
      <c r="D16" s="39" t="str">
        <f>[1]!Tabla1[[#This Row],[1.1]]</f>
        <v>1 P</v>
      </c>
      <c r="E16" s="39" t="str">
        <f>[1]!Tabla1[[#This Row],[1.2]]</f>
        <v>1 P</v>
      </c>
      <c r="F16" s="39" t="str">
        <f>[1]!Tabla1[[#This Row],[1.3]]</f>
        <v>1 P</v>
      </c>
      <c r="G16" s="39" t="str">
        <f>[1]!Tabla1[[#This Row],[1.4]]</f>
        <v>- P</v>
      </c>
      <c r="H16" s="39" t="str">
        <f>[1]!Tabla1[[#This Row],[1.5]]</f>
        <v>1 P</v>
      </c>
      <c r="I16" s="39" t="str">
        <f>[1]!Tabla1[[#This Row],[1.6]]</f>
        <v>1 P</v>
      </c>
      <c r="J16" s="39" t="str">
        <f>[1]!Tabla1[[#This Row],[1.7]]</f>
        <v>0 F</v>
      </c>
      <c r="K16" s="39" t="str">
        <f>[1]!Tabla1[[#This Row],[1.8]]</f>
        <v>1 P</v>
      </c>
      <c r="L16" s="39" t="str">
        <f>[1]!Tabla1[[#This Row],[1.9]]</f>
        <v>1 P</v>
      </c>
      <c r="M16" s="39" t="str">
        <f>[1]!Tabla1[[#This Row],[1.10]]</f>
        <v>1 P</v>
      </c>
      <c r="N16" s="39" t="str">
        <f>[1]!Tabla1[[#This Row],[1.11]]</f>
        <v>1 P</v>
      </c>
      <c r="O16" s="39" t="str">
        <f>[1]!Tabla1[[#This Row],[1.12]]</f>
        <v>0 F</v>
      </c>
      <c r="P16" s="39" t="str">
        <f>[1]!Tabla1[[#This Row],[1.13]]</f>
        <v>1 P</v>
      </c>
      <c r="Q16" s="39" t="str">
        <f>[1]!Tabla1[[#This Row],[1.14]]</f>
        <v>1 P</v>
      </c>
      <c r="R16" s="39" t="str">
        <f>[1]!Tabla1[[#This Row],[2.1]]</f>
        <v>0 F</v>
      </c>
      <c r="S16" s="39" t="str">
        <f>[1]!Tabla1[[#This Row],[2.2]]</f>
        <v>1 P</v>
      </c>
      <c r="T16" s="39" t="str">
        <f>[1]!Tabla1[[#This Row],[2.3]]</f>
        <v>1 P</v>
      </c>
      <c r="U16" s="39" t="str">
        <f>[1]!Tabla1[[#This Row],[2.4]]</f>
        <v>1 P</v>
      </c>
      <c r="V16" s="39" t="str">
        <f>[1]!Tabla1[[#This Row],[2.5]]</f>
        <v>1 P</v>
      </c>
      <c r="W16" s="39" t="str">
        <f>[1]!Tabla1[[#This Row],[2.6]]</f>
        <v>1 P</v>
      </c>
      <c r="X16" s="1">
        <f>[1]!Tabla1[[#This Row],[Fallos Nivel A]]</f>
        <v>2</v>
      </c>
      <c r="Y16" s="1">
        <f>[1]!Tabla1[[#This Row],[Fallos Nivel AA]]</f>
        <v>1</v>
      </c>
      <c r="Z16" s="1" t="str">
        <f>[1]!Tabla1[[#This Row],[Nivel de adecuación estimado original]]</f>
        <v>AA</v>
      </c>
      <c r="AA16" s="1" t="str">
        <f>[1]!Tabla1[[#This Row],[Check original]]</f>
        <v>AA</v>
      </c>
      <c r="AB16" s="1" t="str">
        <f>[1]!Tabla1[[#This Row],[Nivel de adecuación estimado sin 1.7 y 2.1]]</f>
        <v>AA</v>
      </c>
    </row>
    <row r="17" spans="1:28" x14ac:dyDescent="0.25">
      <c r="A17" s="1" t="str">
        <f>[1]!Tabla1[[#This Row],[Archivo]]</f>
        <v>4.0 GrPUB 1-37</v>
      </c>
      <c r="B17" s="1" t="str">
        <f>[1]!Tabla1[[#This Row],[Página]]</f>
        <v>Página 16</v>
      </c>
      <c r="C17" s="1" t="str">
        <f>[1]!Tabla1[[#This Row],[URL]]</f>
        <v>https://www.imserso.gob.es</v>
      </c>
      <c r="D17" s="39" t="str">
        <f>[1]!Tabla1[[#This Row],[1.1]]</f>
        <v>1 P</v>
      </c>
      <c r="E17" s="39" t="str">
        <f>[1]!Tabla1[[#This Row],[1.2]]</f>
        <v>1 P</v>
      </c>
      <c r="F17" s="39" t="str">
        <f>[1]!Tabla1[[#This Row],[1.3]]</f>
        <v>1 P</v>
      </c>
      <c r="G17" s="39" t="str">
        <f>[1]!Tabla1[[#This Row],[1.4]]</f>
        <v>- P</v>
      </c>
      <c r="H17" s="39" t="str">
        <f>[1]!Tabla1[[#This Row],[1.5]]</f>
        <v>1 P</v>
      </c>
      <c r="I17" s="39" t="str">
        <f>[1]!Tabla1[[#This Row],[1.6]]</f>
        <v>1 P</v>
      </c>
      <c r="J17" s="39" t="str">
        <f>[1]!Tabla1[[#This Row],[1.7]]</f>
        <v>0 F</v>
      </c>
      <c r="K17" s="39" t="str">
        <f>[1]!Tabla1[[#This Row],[1.8]]</f>
        <v>1 P</v>
      </c>
      <c r="L17" s="39" t="str">
        <f>[1]!Tabla1[[#This Row],[1.9]]</f>
        <v>1 P</v>
      </c>
      <c r="M17" s="39" t="str">
        <f>[1]!Tabla1[[#This Row],[1.10]]</f>
        <v>1 P</v>
      </c>
      <c r="N17" s="39" t="str">
        <f>[1]!Tabla1[[#This Row],[1.11]]</f>
        <v>1 P</v>
      </c>
      <c r="O17" s="39" t="str">
        <f>[1]!Tabla1[[#This Row],[1.12]]</f>
        <v>1 P</v>
      </c>
      <c r="P17" s="39" t="str">
        <f>[1]!Tabla1[[#This Row],[1.13]]</f>
        <v>1 P</v>
      </c>
      <c r="Q17" s="39" t="str">
        <f>[1]!Tabla1[[#This Row],[1.14]]</f>
        <v>1 P</v>
      </c>
      <c r="R17" s="39" t="str">
        <f>[1]!Tabla1[[#This Row],[2.1]]</f>
        <v>0 F</v>
      </c>
      <c r="S17" s="39" t="str">
        <f>[1]!Tabla1[[#This Row],[2.2]]</f>
        <v>1 P</v>
      </c>
      <c r="T17" s="39" t="str">
        <f>[1]!Tabla1[[#This Row],[2.3]]</f>
        <v>1 P</v>
      </c>
      <c r="U17" s="39" t="str">
        <f>[1]!Tabla1[[#This Row],[2.4]]</f>
        <v>1 P</v>
      </c>
      <c r="V17" s="39" t="str">
        <f>[1]!Tabla1[[#This Row],[2.5]]</f>
        <v>1 P</v>
      </c>
      <c r="W17" s="39" t="str">
        <f>[1]!Tabla1[[#This Row],[2.6]]</f>
        <v>1 P</v>
      </c>
      <c r="X17" s="1">
        <f>[1]!Tabla1[[#This Row],[Fallos Nivel A]]</f>
        <v>1</v>
      </c>
      <c r="Y17" s="1">
        <f>[1]!Tabla1[[#This Row],[Fallos Nivel AA]]</f>
        <v>1</v>
      </c>
      <c r="Z17" s="1" t="str">
        <f>[1]!Tabla1[[#This Row],[Nivel de adecuación estimado original]]</f>
        <v>AA</v>
      </c>
      <c r="AA17" s="1" t="str">
        <f>[1]!Tabla1[[#This Row],[Check original]]</f>
        <v>AA</v>
      </c>
      <c r="AB17" s="1" t="str">
        <f>[1]!Tabla1[[#This Row],[Nivel de adecuación estimado sin 1.7 y 2.1]]</f>
        <v>AA</v>
      </c>
    </row>
    <row r="18" spans="1:28" x14ac:dyDescent="0.25">
      <c r="A18" s="1" t="str">
        <f>[1]!Tabla1[[#This Row],[Archivo]]</f>
        <v>4.0 GrPUB 1-37</v>
      </c>
      <c r="B18" s="1" t="str">
        <f>[1]!Tabla1[[#This Row],[Página]]</f>
        <v>Página 17</v>
      </c>
      <c r="C18" s="1" t="str">
        <f>[1]!Tabla1[[#This Row],[URL]]</f>
        <v>https://datos.gob.es/es/</v>
      </c>
      <c r="D18" s="39" t="str">
        <f>[1]!Tabla1[[#This Row],[1.1]]</f>
        <v>0 F</v>
      </c>
      <c r="E18" s="39" t="str">
        <f>[1]!Tabla1[[#This Row],[1.2]]</f>
        <v>0 F</v>
      </c>
      <c r="F18" s="39" t="str">
        <f>[1]!Tabla1[[#This Row],[1.3]]</f>
        <v>1 P</v>
      </c>
      <c r="G18" s="39" t="str">
        <f>[1]!Tabla1[[#This Row],[1.4]]</f>
        <v>- P</v>
      </c>
      <c r="H18" s="39" t="str">
        <f>[1]!Tabla1[[#This Row],[1.5]]</f>
        <v>1 P</v>
      </c>
      <c r="I18" s="39" t="str">
        <f>[1]!Tabla1[[#This Row],[1.6]]</f>
        <v>1 P</v>
      </c>
      <c r="J18" s="39" t="str">
        <f>[1]!Tabla1[[#This Row],[1.7]]</f>
        <v>0 F</v>
      </c>
      <c r="K18" s="39" t="str">
        <f>[1]!Tabla1[[#This Row],[1.8]]</f>
        <v>1 P</v>
      </c>
      <c r="L18" s="39" t="str">
        <f>[1]!Tabla1[[#This Row],[1.9]]</f>
        <v>1 P</v>
      </c>
      <c r="M18" s="39" t="str">
        <f>[1]!Tabla1[[#This Row],[1.10]]</f>
        <v>1 P</v>
      </c>
      <c r="N18" s="39" t="str">
        <f>[1]!Tabla1[[#This Row],[1.11]]</f>
        <v>1 P</v>
      </c>
      <c r="O18" s="39" t="str">
        <f>[1]!Tabla1[[#This Row],[1.12]]</f>
        <v>0 F</v>
      </c>
      <c r="P18" s="39" t="str">
        <f>[1]!Tabla1[[#This Row],[1.13]]</f>
        <v>1 P</v>
      </c>
      <c r="Q18" s="39" t="str">
        <f>[1]!Tabla1[[#This Row],[1.14]]</f>
        <v>1 P</v>
      </c>
      <c r="R18" s="39" t="str">
        <f>[1]!Tabla1[[#This Row],[2.1]]</f>
        <v>0 F</v>
      </c>
      <c r="S18" s="39" t="str">
        <f>[1]!Tabla1[[#This Row],[2.2]]</f>
        <v>1 P</v>
      </c>
      <c r="T18" s="39" t="str">
        <f>[1]!Tabla1[[#This Row],[2.3]]</f>
        <v>1 P</v>
      </c>
      <c r="U18" s="39" t="str">
        <f>[1]!Tabla1[[#This Row],[2.4]]</f>
        <v>1 P</v>
      </c>
      <c r="V18" s="39" t="str">
        <f>[1]!Tabla1[[#This Row],[2.5]]</f>
        <v>1 P</v>
      </c>
      <c r="W18" s="39" t="str">
        <f>[1]!Tabla1[[#This Row],[2.6]]</f>
        <v>1 P</v>
      </c>
      <c r="X18" s="1">
        <f>[1]!Tabla1[[#This Row],[Fallos Nivel A]]</f>
        <v>4</v>
      </c>
      <c r="Y18" s="1">
        <f>[1]!Tabla1[[#This Row],[Fallos Nivel AA]]</f>
        <v>1</v>
      </c>
      <c r="Z18" s="1" t="str">
        <f>[1]!Tabla1[[#This Row],[Nivel de adecuación estimado original]]</f>
        <v>No Válido</v>
      </c>
      <c r="AA18" s="1" t="str">
        <f>[1]!Tabla1[[#This Row],[Check original]]</f>
        <v>No válido</v>
      </c>
      <c r="AB18" s="1" t="str">
        <f>[1]!Tabla1[[#This Row],[Nivel de adecuación estimado sin 1.7 y 2.1]]</f>
        <v>No válido</v>
      </c>
    </row>
    <row r="19" spans="1:28" x14ac:dyDescent="0.25">
      <c r="A19" s="1" t="str">
        <f>[1]!Tabla1[[#This Row],[Archivo]]</f>
        <v>4.0 GrPUB 1-37</v>
      </c>
      <c r="B19" s="1" t="str">
        <f>[1]!Tabla1[[#This Row],[Página]]</f>
        <v>Página 18</v>
      </c>
      <c r="C19" s="1" t="str">
        <f>[1]!Tabla1[[#This Row],[URL]]</f>
        <v>https://www.ciencia.gob.es</v>
      </c>
      <c r="D19" s="39" t="str">
        <f>[1]!Tabla1[[#This Row],[1.1]]</f>
        <v>0 F</v>
      </c>
      <c r="E19" s="39" t="str">
        <f>[1]!Tabla1[[#This Row],[1.2]]</f>
        <v>0 F</v>
      </c>
      <c r="F19" s="39" t="str">
        <f>[1]!Tabla1[[#This Row],[1.3]]</f>
        <v>0 F</v>
      </c>
      <c r="G19" s="39" t="str">
        <f>[1]!Tabla1[[#This Row],[1.4]]</f>
        <v>1 P</v>
      </c>
      <c r="H19" s="39" t="str">
        <f>[1]!Tabla1[[#This Row],[1.5]]</f>
        <v>1 P</v>
      </c>
      <c r="I19" s="39" t="str">
        <f>[1]!Tabla1[[#This Row],[1.6]]</f>
        <v>0 F</v>
      </c>
      <c r="J19" s="39" t="str">
        <f>[1]!Tabla1[[#This Row],[1.7]]</f>
        <v>0 F</v>
      </c>
      <c r="K19" s="39" t="str">
        <f>[1]!Tabla1[[#This Row],[1.8]]</f>
        <v>0 F</v>
      </c>
      <c r="L19" s="39" t="str">
        <f>[1]!Tabla1[[#This Row],[1.9]]</f>
        <v>0 F</v>
      </c>
      <c r="M19" s="39" t="str">
        <f>[1]!Tabla1[[#This Row],[1.10]]</f>
        <v>1 P</v>
      </c>
      <c r="N19" s="39" t="str">
        <f>[1]!Tabla1[[#This Row],[1.11]]</f>
        <v>1 P</v>
      </c>
      <c r="O19" s="39" t="str">
        <f>[1]!Tabla1[[#This Row],[1.12]]</f>
        <v>0 F</v>
      </c>
      <c r="P19" s="39" t="str">
        <f>[1]!Tabla1[[#This Row],[1.13]]</f>
        <v>1 P</v>
      </c>
      <c r="Q19" s="39" t="str">
        <f>[1]!Tabla1[[#This Row],[1.14]]</f>
        <v>0 F</v>
      </c>
      <c r="R19" s="39" t="str">
        <f>[1]!Tabla1[[#This Row],[2.1]]</f>
        <v>0 F</v>
      </c>
      <c r="S19" s="39" t="str">
        <f>[1]!Tabla1[[#This Row],[2.2]]</f>
        <v>1 P</v>
      </c>
      <c r="T19" s="39" t="str">
        <f>[1]!Tabla1[[#This Row],[2.3]]</f>
        <v>1 P</v>
      </c>
      <c r="U19" s="39" t="str">
        <f>[1]!Tabla1[[#This Row],[2.4]]</f>
        <v>1 P</v>
      </c>
      <c r="V19" s="39" t="str">
        <f>[1]!Tabla1[[#This Row],[2.5]]</f>
        <v>0 F</v>
      </c>
      <c r="W19" s="39" t="str">
        <f>[1]!Tabla1[[#This Row],[2.6]]</f>
        <v>1 P</v>
      </c>
      <c r="X19" s="1">
        <f>[1]!Tabla1[[#This Row],[Fallos Nivel A]]</f>
        <v>9</v>
      </c>
      <c r="Y19" s="1">
        <f>[1]!Tabla1[[#This Row],[Fallos Nivel AA]]</f>
        <v>2</v>
      </c>
      <c r="Z19" s="1" t="str">
        <f>[1]!Tabla1[[#This Row],[Nivel de adecuación estimado original]]</f>
        <v>No Válido</v>
      </c>
      <c r="AA19" s="1" t="str">
        <f>[1]!Tabla1[[#This Row],[Check original]]</f>
        <v>No válido</v>
      </c>
      <c r="AB19" s="1" t="str">
        <f>[1]!Tabla1[[#This Row],[Nivel de adecuación estimado sin 1.7 y 2.1]]</f>
        <v>No válido</v>
      </c>
    </row>
    <row r="20" spans="1:28" x14ac:dyDescent="0.25">
      <c r="A20" s="1" t="str">
        <f>[1]!Tabla1[[#This Row],[Archivo]]</f>
        <v>4.0 GrPUB 1-37</v>
      </c>
      <c r="B20" s="1" t="str">
        <f>[1]!Tabla1[[#This Row],[Página]]</f>
        <v>Página 19</v>
      </c>
      <c r="C20" s="1" t="str">
        <f>[1]!Tabla1[[#This Row],[URL]]</f>
        <v>https://pnsd.sanidad.gob.es</v>
      </c>
      <c r="D20" s="39" t="str">
        <f>[1]!Tabla1[[#This Row],[1.1]]</f>
        <v>1 P</v>
      </c>
      <c r="E20" s="39" t="str">
        <f>[1]!Tabla1[[#This Row],[1.2]]</f>
        <v>1 P</v>
      </c>
      <c r="F20" s="39" t="str">
        <f>[1]!Tabla1[[#This Row],[1.3]]</f>
        <v>1 P</v>
      </c>
      <c r="G20" s="39" t="str">
        <f>[1]!Tabla1[[#This Row],[1.4]]</f>
        <v>- P</v>
      </c>
      <c r="H20" s="39" t="str">
        <f>[1]!Tabla1[[#This Row],[1.5]]</f>
        <v>1 P</v>
      </c>
      <c r="I20" s="39" t="str">
        <f>[1]!Tabla1[[#This Row],[1.6]]</f>
        <v>1 P</v>
      </c>
      <c r="J20" s="39" t="str">
        <f>[1]!Tabla1[[#This Row],[1.7]]</f>
        <v>0 F</v>
      </c>
      <c r="K20" s="39" t="str">
        <f>[1]!Tabla1[[#This Row],[1.8]]</f>
        <v>1 P</v>
      </c>
      <c r="L20" s="39" t="str">
        <f>[1]!Tabla1[[#This Row],[1.9]]</f>
        <v>1 P</v>
      </c>
      <c r="M20" s="39" t="str">
        <f>[1]!Tabla1[[#This Row],[1.10]]</f>
        <v>1 P</v>
      </c>
      <c r="N20" s="39" t="str">
        <f>[1]!Tabla1[[#This Row],[1.11]]</f>
        <v>1 P</v>
      </c>
      <c r="O20" s="39" t="str">
        <f>[1]!Tabla1[[#This Row],[1.12]]</f>
        <v>1 P</v>
      </c>
      <c r="P20" s="39" t="str">
        <f>[1]!Tabla1[[#This Row],[1.13]]</f>
        <v>1 P</v>
      </c>
      <c r="Q20" s="39" t="str">
        <f>[1]!Tabla1[[#This Row],[1.14]]</f>
        <v>0 F</v>
      </c>
      <c r="R20" s="39" t="str">
        <f>[1]!Tabla1[[#This Row],[2.1]]</f>
        <v>0 F</v>
      </c>
      <c r="S20" s="39" t="str">
        <f>[1]!Tabla1[[#This Row],[2.2]]</f>
        <v>0 F</v>
      </c>
      <c r="T20" s="39" t="str">
        <f>[1]!Tabla1[[#This Row],[2.3]]</f>
        <v>1 P</v>
      </c>
      <c r="U20" s="39" t="str">
        <f>[1]!Tabla1[[#This Row],[2.4]]</f>
        <v>1 P</v>
      </c>
      <c r="V20" s="39" t="str">
        <f>[1]!Tabla1[[#This Row],[2.5]]</f>
        <v>1 P</v>
      </c>
      <c r="W20" s="39" t="str">
        <f>[1]!Tabla1[[#This Row],[2.6]]</f>
        <v>1 P</v>
      </c>
      <c r="X20" s="1">
        <f>[1]!Tabla1[[#This Row],[Fallos Nivel A]]</f>
        <v>2</v>
      </c>
      <c r="Y20" s="1">
        <f>[1]!Tabla1[[#This Row],[Fallos Nivel AA]]</f>
        <v>2</v>
      </c>
      <c r="Z20" s="1" t="str">
        <f>[1]!Tabla1[[#This Row],[Nivel de adecuación estimado original]]</f>
        <v>AA</v>
      </c>
      <c r="AA20" s="1" t="str">
        <f>[1]!Tabla1[[#This Row],[Check original]]</f>
        <v>AA</v>
      </c>
      <c r="AB20" s="1" t="str">
        <f>[1]!Tabla1[[#This Row],[Nivel de adecuación estimado sin 1.7 y 2.1]]</f>
        <v>AA</v>
      </c>
    </row>
    <row r="21" spans="1:28" x14ac:dyDescent="0.25">
      <c r="A21" s="1" t="str">
        <f>[1]!Tabla1[[#This Row],[Archivo]]</f>
        <v>4.0 GrPUB 1-37</v>
      </c>
      <c r="B21" s="1" t="str">
        <f>[1]!Tabla1[[#This Row],[Página]]</f>
        <v>Página 20</v>
      </c>
      <c r="C21" s="1" t="str">
        <f>[1]!Tabla1[[#This Row],[URL]]</f>
        <v>https://www.lamoncloa.gob.es/Paginas/index.aspx</v>
      </c>
      <c r="D21" s="39" t="str">
        <f>[1]!Tabla1[[#This Row],[1.1]]</f>
        <v>0 F</v>
      </c>
      <c r="E21" s="39" t="str">
        <f>[1]!Tabla1[[#This Row],[1.2]]</f>
        <v>1 P</v>
      </c>
      <c r="F21" s="39" t="str">
        <f>[1]!Tabla1[[#This Row],[1.3]]</f>
        <v>1 P</v>
      </c>
      <c r="G21" s="39" t="str">
        <f>[1]!Tabla1[[#This Row],[1.4]]</f>
        <v>- P</v>
      </c>
      <c r="H21" s="39" t="str">
        <f>[1]!Tabla1[[#This Row],[1.5]]</f>
        <v>1 P</v>
      </c>
      <c r="I21" s="39" t="str">
        <f>[1]!Tabla1[[#This Row],[1.6]]</f>
        <v>1 P</v>
      </c>
      <c r="J21" s="39" t="str">
        <f>[1]!Tabla1[[#This Row],[1.7]]</f>
        <v>0 F</v>
      </c>
      <c r="K21" s="39" t="str">
        <f>[1]!Tabla1[[#This Row],[1.8]]</f>
        <v>1 P</v>
      </c>
      <c r="L21" s="39" t="str">
        <f>[1]!Tabla1[[#This Row],[1.9]]</f>
        <v>1 P</v>
      </c>
      <c r="M21" s="39" t="str">
        <f>[1]!Tabla1[[#This Row],[1.10]]</f>
        <v>1 P</v>
      </c>
      <c r="N21" s="39" t="str">
        <f>[1]!Tabla1[[#This Row],[1.11]]</f>
        <v>1 P</v>
      </c>
      <c r="O21" s="39" t="str">
        <f>[1]!Tabla1[[#This Row],[1.12]]</f>
        <v>0 F</v>
      </c>
      <c r="P21" s="39" t="str">
        <f>[1]!Tabla1[[#This Row],[1.13]]</f>
        <v>1 P</v>
      </c>
      <c r="Q21" s="39" t="str">
        <f>[1]!Tabla1[[#This Row],[1.14]]</f>
        <v>1 P</v>
      </c>
      <c r="R21" s="39" t="str">
        <f>[1]!Tabla1[[#This Row],[2.1]]</f>
        <v>0 F</v>
      </c>
      <c r="S21" s="39" t="str">
        <f>[1]!Tabla1[[#This Row],[2.2]]</f>
        <v>1 P</v>
      </c>
      <c r="T21" s="39" t="str">
        <f>[1]!Tabla1[[#This Row],[2.3]]</f>
        <v>1 P</v>
      </c>
      <c r="U21" s="39" t="str">
        <f>[1]!Tabla1[[#This Row],[2.4]]</f>
        <v>1 P</v>
      </c>
      <c r="V21" s="39" t="str">
        <f>[1]!Tabla1[[#This Row],[2.5]]</f>
        <v>1 P</v>
      </c>
      <c r="W21" s="39" t="str">
        <f>[1]!Tabla1[[#This Row],[2.6]]</f>
        <v>1 P</v>
      </c>
      <c r="X21" s="1">
        <f>[1]!Tabla1[[#This Row],[Fallos Nivel A]]</f>
        <v>3</v>
      </c>
      <c r="Y21" s="1">
        <f>[1]!Tabla1[[#This Row],[Fallos Nivel AA]]</f>
        <v>1</v>
      </c>
      <c r="Z21" s="1" t="str">
        <f>[1]!Tabla1[[#This Row],[Nivel de adecuación estimado original]]</f>
        <v>No Válido</v>
      </c>
      <c r="AA21" s="1" t="str">
        <f>[1]!Tabla1[[#This Row],[Check original]]</f>
        <v>No válido</v>
      </c>
      <c r="AB21" s="1" t="str">
        <f>[1]!Tabla1[[#This Row],[Nivel de adecuación estimado sin 1.7 y 2.1]]</f>
        <v>AA</v>
      </c>
    </row>
    <row r="22" spans="1:28" x14ac:dyDescent="0.25">
      <c r="A22" s="1" t="str">
        <f>[1]!Tabla1[[#This Row],[Archivo]]</f>
        <v>4.0 GrPUB 1-37</v>
      </c>
      <c r="B22" s="1" t="str">
        <f>[1]!Tabla1[[#This Row],[Página]]</f>
        <v>Página 21</v>
      </c>
      <c r="C22" s="1" t="str">
        <f>[1]!Tabla1[[#This Row],[URL]]</f>
        <v>https://www.culturaydeporte.gob.es/portada.html</v>
      </c>
      <c r="D22" s="39" t="str">
        <f>[1]!Tabla1[[#This Row],[1.1]]</f>
        <v>- P</v>
      </c>
      <c r="E22" s="39" t="str">
        <f>[1]!Tabla1[[#This Row],[1.2]]</f>
        <v>1 P</v>
      </c>
      <c r="F22" s="39" t="str">
        <f>[1]!Tabla1[[#This Row],[1.3]]</f>
        <v>0 F</v>
      </c>
      <c r="G22" s="39" t="str">
        <f>[1]!Tabla1[[#This Row],[1.4]]</f>
        <v>- P</v>
      </c>
      <c r="H22" s="39" t="str">
        <f>[1]!Tabla1[[#This Row],[1.5]]</f>
        <v>1 P</v>
      </c>
      <c r="I22" s="39" t="str">
        <f>[1]!Tabla1[[#This Row],[1.6]]</f>
        <v>1 P</v>
      </c>
      <c r="J22" s="39" t="str">
        <f>[1]!Tabla1[[#This Row],[1.7]]</f>
        <v>0 F</v>
      </c>
      <c r="K22" s="39" t="str">
        <f>[1]!Tabla1[[#This Row],[1.8]]</f>
        <v>1 P</v>
      </c>
      <c r="L22" s="39" t="str">
        <f>[1]!Tabla1[[#This Row],[1.9]]</f>
        <v>- P</v>
      </c>
      <c r="M22" s="39" t="str">
        <f>[1]!Tabla1[[#This Row],[1.10]]</f>
        <v>- P</v>
      </c>
      <c r="N22" s="39" t="str">
        <f>[1]!Tabla1[[#This Row],[1.11]]</f>
        <v>1 P</v>
      </c>
      <c r="O22" s="39" t="str">
        <f>[1]!Tabla1[[#This Row],[1.12]]</f>
        <v>1 P</v>
      </c>
      <c r="P22" s="39" t="str">
        <f>[1]!Tabla1[[#This Row],[1.13]]</f>
        <v>1 P</v>
      </c>
      <c r="Q22" s="39" t="str">
        <f>[1]!Tabla1[[#This Row],[1.14]]</f>
        <v>1 P</v>
      </c>
      <c r="R22" s="39" t="str">
        <f>[1]!Tabla1[[#This Row],[2.1]]</f>
        <v>0 F</v>
      </c>
      <c r="S22" s="39" t="str">
        <f>[1]!Tabla1[[#This Row],[2.2]]</f>
        <v>1 P</v>
      </c>
      <c r="T22" s="39" t="str">
        <f>[1]!Tabla1[[#This Row],[2.3]]</f>
        <v>1 P</v>
      </c>
      <c r="U22" s="39" t="str">
        <f>[1]!Tabla1[[#This Row],[2.4]]</f>
        <v>1 P</v>
      </c>
      <c r="V22" s="39" t="str">
        <f>[1]!Tabla1[[#This Row],[2.5]]</f>
        <v>1 P</v>
      </c>
      <c r="W22" s="39" t="str">
        <f>[1]!Tabla1[[#This Row],[2.6]]</f>
        <v>1 P</v>
      </c>
      <c r="X22" s="1">
        <f>[1]!Tabla1[[#This Row],[Fallos Nivel A]]</f>
        <v>2</v>
      </c>
      <c r="Y22" s="1">
        <f>[1]!Tabla1[[#This Row],[Fallos Nivel AA]]</f>
        <v>1</v>
      </c>
      <c r="Z22" s="1" t="str">
        <f>[1]!Tabla1[[#This Row],[Nivel de adecuación estimado original]]</f>
        <v>AA</v>
      </c>
      <c r="AA22" s="1" t="str">
        <f>[1]!Tabla1[[#This Row],[Check original]]</f>
        <v>AA</v>
      </c>
      <c r="AB22" s="1" t="str">
        <f>[1]!Tabla1[[#This Row],[Nivel de adecuación estimado sin 1.7 y 2.1]]</f>
        <v>AA</v>
      </c>
    </row>
    <row r="23" spans="1:28" x14ac:dyDescent="0.25">
      <c r="A23" s="1" t="str">
        <f>[1]!Tabla1[[#This Row],[Archivo]]</f>
        <v>4.0 GrPUB 1-37</v>
      </c>
      <c r="B23" s="1" t="str">
        <f>[1]!Tabla1[[#This Row],[Página]]</f>
        <v>Página 22</v>
      </c>
      <c r="C23" s="1" t="str">
        <f>[1]!Tabla1[[#This Row],[URL]]</f>
        <v>https://aneca.sede.gob.es</v>
      </c>
      <c r="D23" s="39" t="str">
        <f>[1]!Tabla1[[#This Row],[1.1]]</f>
        <v>1 P</v>
      </c>
      <c r="E23" s="39" t="str">
        <f>[1]!Tabla1[[#This Row],[1.2]]</f>
        <v>0 F</v>
      </c>
      <c r="F23" s="39" t="str">
        <f>[1]!Tabla1[[#This Row],[1.3]]</f>
        <v>0 F</v>
      </c>
      <c r="G23" s="39" t="str">
        <f>[1]!Tabla1[[#This Row],[1.4]]</f>
        <v>- P</v>
      </c>
      <c r="H23" s="39" t="str">
        <f>[1]!Tabla1[[#This Row],[1.5]]</f>
        <v>1 P</v>
      </c>
      <c r="I23" s="39" t="str">
        <f>[1]!Tabla1[[#This Row],[1.6]]</f>
        <v>1 P</v>
      </c>
      <c r="J23" s="39" t="str">
        <f>[1]!Tabla1[[#This Row],[1.7]]</f>
        <v>0 F</v>
      </c>
      <c r="K23" s="39" t="str">
        <f>[1]!Tabla1[[#This Row],[1.8]]</f>
        <v>1 P</v>
      </c>
      <c r="L23" s="39" t="str">
        <f>[1]!Tabla1[[#This Row],[1.9]]</f>
        <v>- P</v>
      </c>
      <c r="M23" s="39" t="str">
        <f>[1]!Tabla1[[#This Row],[1.10]]</f>
        <v>- P</v>
      </c>
      <c r="N23" s="39" t="str">
        <f>[1]!Tabla1[[#This Row],[1.11]]</f>
        <v>0 F</v>
      </c>
      <c r="O23" s="39" t="str">
        <f>[1]!Tabla1[[#This Row],[1.12]]</f>
        <v>0 F</v>
      </c>
      <c r="P23" s="39" t="str">
        <f>[1]!Tabla1[[#This Row],[1.13]]</f>
        <v>1 P</v>
      </c>
      <c r="Q23" s="39" t="str">
        <f>[1]!Tabla1[[#This Row],[1.14]]</f>
        <v>1 P</v>
      </c>
      <c r="R23" s="39" t="str">
        <f>[1]!Tabla1[[#This Row],[2.1]]</f>
        <v>0 F</v>
      </c>
      <c r="S23" s="39" t="str">
        <f>[1]!Tabla1[[#This Row],[2.2]]</f>
        <v>0 F</v>
      </c>
      <c r="T23" s="39" t="str">
        <f>[1]!Tabla1[[#This Row],[2.3]]</f>
        <v>1 P</v>
      </c>
      <c r="U23" s="39" t="str">
        <f>[1]!Tabla1[[#This Row],[2.4]]</f>
        <v>0 F</v>
      </c>
      <c r="V23" s="39" t="str">
        <f>[1]!Tabla1[[#This Row],[2.5]]</f>
        <v>1 P</v>
      </c>
      <c r="W23" s="39" t="str">
        <f>[1]!Tabla1[[#This Row],[2.6]]</f>
        <v>1 P</v>
      </c>
      <c r="X23" s="1">
        <f>[1]!Tabla1[[#This Row],[Fallos Nivel A]]</f>
        <v>5</v>
      </c>
      <c r="Y23" s="1">
        <f>[1]!Tabla1[[#This Row],[Fallos Nivel AA]]</f>
        <v>3</v>
      </c>
      <c r="Z23" s="1" t="str">
        <f>[1]!Tabla1[[#This Row],[Nivel de adecuación estimado original]]</f>
        <v>No Válido</v>
      </c>
      <c r="AA23" s="1" t="str">
        <f>[1]!Tabla1[[#This Row],[Check original]]</f>
        <v>No válido</v>
      </c>
      <c r="AB23" s="1" t="str">
        <f>[1]!Tabla1[[#This Row],[Nivel de adecuación estimado sin 1.7 y 2.1]]</f>
        <v>No válido</v>
      </c>
    </row>
    <row r="24" spans="1:28" x14ac:dyDescent="0.25">
      <c r="A24" s="1" t="str">
        <f>[1]!Tabla1[[#This Row],[Archivo]]</f>
        <v>4.0 GrPUB 1-37</v>
      </c>
      <c r="B24" s="1" t="str">
        <f>[1]!Tabla1[[#This Row],[Página]]</f>
        <v>Página 23</v>
      </c>
      <c r="C24" s="1" t="str">
        <f>[1]!Tabla1[[#This Row],[URL]]</f>
        <v>https://www.sepe.es/HomeSepe/Personas/encontrar-trabajo/Garantia-Juvenil.html</v>
      </c>
      <c r="D24" s="39" t="str">
        <f>[1]!Tabla1[[#This Row],[1.1]]</f>
        <v>1 P</v>
      </c>
      <c r="E24" s="39" t="str">
        <f>[1]!Tabla1[[#This Row],[1.2]]</f>
        <v>1 P</v>
      </c>
      <c r="F24" s="39" t="str">
        <f>[1]!Tabla1[[#This Row],[1.3]]</f>
        <v>0 F</v>
      </c>
      <c r="G24" s="39" t="str">
        <f>[1]!Tabla1[[#This Row],[1.4]]</f>
        <v>- P</v>
      </c>
      <c r="H24" s="39" t="str">
        <f>[1]!Tabla1[[#This Row],[1.5]]</f>
        <v>1 P</v>
      </c>
      <c r="I24" s="39" t="str">
        <f>[1]!Tabla1[[#This Row],[1.6]]</f>
        <v>0 F</v>
      </c>
      <c r="J24" s="39" t="str">
        <f>[1]!Tabla1[[#This Row],[1.7]]</f>
        <v>0 F</v>
      </c>
      <c r="K24" s="39" t="str">
        <f>[1]!Tabla1[[#This Row],[1.8]]</f>
        <v>1 P</v>
      </c>
      <c r="L24" s="39" t="str">
        <f>[1]!Tabla1[[#This Row],[1.9]]</f>
        <v>1 P</v>
      </c>
      <c r="M24" s="39" t="str">
        <f>[1]!Tabla1[[#This Row],[1.10]]</f>
        <v>1 P</v>
      </c>
      <c r="N24" s="39" t="str">
        <f>[1]!Tabla1[[#This Row],[1.11]]</f>
        <v>1 P</v>
      </c>
      <c r="O24" s="39" t="str">
        <f>[1]!Tabla1[[#This Row],[1.12]]</f>
        <v>1 P</v>
      </c>
      <c r="P24" s="39" t="str">
        <f>[1]!Tabla1[[#This Row],[1.13]]</f>
        <v>1 P</v>
      </c>
      <c r="Q24" s="39" t="str">
        <f>[1]!Tabla1[[#This Row],[1.14]]</f>
        <v>0 F</v>
      </c>
      <c r="R24" s="39" t="str">
        <f>[1]!Tabla1[[#This Row],[2.1]]</f>
        <v>0 F</v>
      </c>
      <c r="S24" s="39" t="str">
        <f>[1]!Tabla1[[#This Row],[2.2]]</f>
        <v>1 P</v>
      </c>
      <c r="T24" s="39" t="str">
        <f>[1]!Tabla1[[#This Row],[2.3]]</f>
        <v>1 P</v>
      </c>
      <c r="U24" s="39" t="str">
        <f>[1]!Tabla1[[#This Row],[2.4]]</f>
        <v>1 P</v>
      </c>
      <c r="V24" s="39" t="str">
        <f>[1]!Tabla1[[#This Row],[2.5]]</f>
        <v>0 F</v>
      </c>
      <c r="W24" s="39" t="str">
        <f>[1]!Tabla1[[#This Row],[2.6]]</f>
        <v>1 P</v>
      </c>
      <c r="X24" s="1">
        <f>[1]!Tabla1[[#This Row],[Fallos Nivel A]]</f>
        <v>4</v>
      </c>
      <c r="Y24" s="1">
        <f>[1]!Tabla1[[#This Row],[Fallos Nivel AA]]</f>
        <v>2</v>
      </c>
      <c r="Z24" s="1" t="str">
        <f>[1]!Tabla1[[#This Row],[Nivel de adecuación estimado original]]</f>
        <v>No Válido</v>
      </c>
      <c r="AA24" s="1" t="str">
        <f>[1]!Tabla1[[#This Row],[Check original]]</f>
        <v>No válido</v>
      </c>
      <c r="AB24" s="1" t="str">
        <f>[1]!Tabla1[[#This Row],[Nivel de adecuación estimado sin 1.7 y 2.1]]</f>
        <v>No válido</v>
      </c>
    </row>
    <row r="25" spans="1:28" x14ac:dyDescent="0.25">
      <c r="A25" s="1" t="str">
        <f>[1]!Tabla1[[#This Row],[Archivo]]</f>
        <v>4.0 GrPUB 1-37</v>
      </c>
      <c r="B25" s="1" t="str">
        <f>[1]!Tabla1[[#This Row],[Página]]</f>
        <v>Página 24</v>
      </c>
      <c r="C25" s="1" t="str">
        <f>[1]!Tabla1[[#This Row],[URL]]</f>
        <v>https://sede.administracion.gob.es/PAG_Sede/HomeSede.html</v>
      </c>
      <c r="D25" s="39" t="str">
        <f>[1]!Tabla1[[#This Row],[1.1]]</f>
        <v>1 P</v>
      </c>
      <c r="E25" s="39" t="str">
        <f>[1]!Tabla1[[#This Row],[1.2]]</f>
        <v>0 F</v>
      </c>
      <c r="F25" s="39" t="str">
        <f>[1]!Tabla1[[#This Row],[1.3]]</f>
        <v>1 P</v>
      </c>
      <c r="G25" s="39" t="str">
        <f>[1]!Tabla1[[#This Row],[1.4]]</f>
        <v>- P</v>
      </c>
      <c r="H25" s="39" t="str">
        <f>[1]!Tabla1[[#This Row],[1.5]]</f>
        <v>1 P</v>
      </c>
      <c r="I25" s="39" t="str">
        <f>[1]!Tabla1[[#This Row],[1.6]]</f>
        <v>1 P</v>
      </c>
      <c r="J25" s="39" t="str">
        <f>[1]!Tabla1[[#This Row],[1.7]]</f>
        <v>0 F</v>
      </c>
      <c r="K25" s="39" t="str">
        <f>[1]!Tabla1[[#This Row],[1.8]]</f>
        <v>1 P</v>
      </c>
      <c r="L25" s="39" t="str">
        <f>[1]!Tabla1[[#This Row],[1.9]]</f>
        <v>1 P</v>
      </c>
      <c r="M25" s="39" t="str">
        <f>[1]!Tabla1[[#This Row],[1.10]]</f>
        <v>1 P</v>
      </c>
      <c r="N25" s="39" t="str">
        <f>[1]!Tabla1[[#This Row],[1.11]]</f>
        <v>1 P</v>
      </c>
      <c r="O25" s="39" t="str">
        <f>[1]!Tabla1[[#This Row],[1.12]]</f>
        <v>0 F</v>
      </c>
      <c r="P25" s="39" t="str">
        <f>[1]!Tabla1[[#This Row],[1.13]]</f>
        <v>1 P</v>
      </c>
      <c r="Q25" s="39" t="str">
        <f>[1]!Tabla1[[#This Row],[1.14]]</f>
        <v>1 P</v>
      </c>
      <c r="R25" s="39" t="str">
        <f>[1]!Tabla1[[#This Row],[2.1]]</f>
        <v>0 F</v>
      </c>
      <c r="S25" s="39" t="str">
        <f>[1]!Tabla1[[#This Row],[2.2]]</f>
        <v>1 P</v>
      </c>
      <c r="T25" s="39" t="str">
        <f>[1]!Tabla1[[#This Row],[2.3]]</f>
        <v>1 P</v>
      </c>
      <c r="U25" s="39" t="str">
        <f>[1]!Tabla1[[#This Row],[2.4]]</f>
        <v>1 P</v>
      </c>
      <c r="V25" s="39" t="str">
        <f>[1]!Tabla1[[#This Row],[2.5]]</f>
        <v>1 P</v>
      </c>
      <c r="W25" s="39" t="str">
        <f>[1]!Tabla1[[#This Row],[2.6]]</f>
        <v>1 P</v>
      </c>
      <c r="X25" s="1">
        <f>[1]!Tabla1[[#This Row],[Fallos Nivel A]]</f>
        <v>3</v>
      </c>
      <c r="Y25" s="1">
        <f>[1]!Tabla1[[#This Row],[Fallos Nivel AA]]</f>
        <v>1</v>
      </c>
      <c r="Z25" s="1" t="str">
        <f>[1]!Tabla1[[#This Row],[Nivel de adecuación estimado original]]</f>
        <v>No Válido</v>
      </c>
      <c r="AA25" s="1" t="str">
        <f>[1]!Tabla1[[#This Row],[Check original]]</f>
        <v>No válido</v>
      </c>
      <c r="AB25" s="1" t="str">
        <f>[1]!Tabla1[[#This Row],[Nivel de adecuación estimado sin 1.7 y 2.1]]</f>
        <v>AA</v>
      </c>
    </row>
    <row r="26" spans="1:28" x14ac:dyDescent="0.25">
      <c r="A26" s="1" t="str">
        <f>[1]!Tabla1[[#This Row],[Archivo]]</f>
        <v>4.0 GrPUB 1-37</v>
      </c>
      <c r="B26" s="1" t="str">
        <f>[1]!Tabla1[[#This Row],[Página]]</f>
        <v>Página 25</v>
      </c>
      <c r="C26" s="1" t="str">
        <f>[1]!Tabla1[[#This Row],[URL]]</f>
        <v>https://cpage.mpr.gob.es</v>
      </c>
      <c r="D26" s="39" t="str">
        <f>[1]!Tabla1[[#This Row],[1.1]]</f>
        <v>0 F</v>
      </c>
      <c r="E26" s="39" t="str">
        <f>[1]!Tabla1[[#This Row],[1.2]]</f>
        <v>0 F</v>
      </c>
      <c r="F26" s="39" t="str">
        <f>[1]!Tabla1[[#This Row],[1.3]]</f>
        <v>1 P</v>
      </c>
      <c r="G26" s="39" t="str">
        <f>[1]!Tabla1[[#This Row],[1.4]]</f>
        <v>- P</v>
      </c>
      <c r="H26" s="39" t="str">
        <f>[1]!Tabla1[[#This Row],[1.5]]</f>
        <v>0 F</v>
      </c>
      <c r="I26" s="39" t="str">
        <f>[1]!Tabla1[[#This Row],[1.6]]</f>
        <v>0 F</v>
      </c>
      <c r="J26" s="39" t="str">
        <f>[1]!Tabla1[[#This Row],[1.7]]</f>
        <v>0 F</v>
      </c>
      <c r="K26" s="39" t="str">
        <f>[1]!Tabla1[[#This Row],[1.8]]</f>
        <v>1 P</v>
      </c>
      <c r="L26" s="39" t="str">
        <f>[1]!Tabla1[[#This Row],[1.9]]</f>
        <v>0 F</v>
      </c>
      <c r="M26" s="39" t="str">
        <f>[1]!Tabla1[[#This Row],[1.10]]</f>
        <v>0 F</v>
      </c>
      <c r="N26" s="39" t="str">
        <f>[1]!Tabla1[[#This Row],[1.11]]</f>
        <v>0 F</v>
      </c>
      <c r="O26" s="39" t="str">
        <f>[1]!Tabla1[[#This Row],[1.12]]</f>
        <v>1 P</v>
      </c>
      <c r="P26" s="39" t="str">
        <f>[1]!Tabla1[[#This Row],[1.13]]</f>
        <v>1 P</v>
      </c>
      <c r="Q26" s="1" t="str">
        <f>[1]!Tabla1[[#This Row],[1.14]]</f>
        <v>0 F</v>
      </c>
      <c r="R26" s="39" t="str">
        <f>[1]!Tabla1[[#This Row],[2.1]]</f>
        <v>0 F</v>
      </c>
      <c r="S26" s="39" t="str">
        <f>[1]!Tabla1[[#This Row],[2.2]]</f>
        <v>1 P</v>
      </c>
      <c r="T26" s="39" t="str">
        <f>[1]!Tabla1[[#This Row],[2.3]]</f>
        <v>1 P</v>
      </c>
      <c r="U26" s="39" t="str">
        <f>[1]!Tabla1[[#This Row],[2.4]]</f>
        <v>1 P</v>
      </c>
      <c r="V26" s="39" t="str">
        <f>[1]!Tabla1[[#This Row],[2.5]]</f>
        <v>1 P</v>
      </c>
      <c r="W26" s="39" t="str">
        <f>[1]!Tabla1[[#This Row],[2.6]]</f>
        <v>1 P</v>
      </c>
      <c r="X26" s="1">
        <f>[1]!Tabla1[[#This Row],[Fallos Nivel A]]</f>
        <v>9</v>
      </c>
      <c r="Y26" s="1">
        <f>[1]!Tabla1[[#This Row],[Fallos Nivel AA]]</f>
        <v>1</v>
      </c>
      <c r="Z26" s="1" t="str">
        <f>[1]!Tabla1[[#This Row],[Nivel de adecuación estimado original]]</f>
        <v>No Válido</v>
      </c>
      <c r="AA26" s="1" t="str">
        <f>[1]!Tabla1[[#This Row],[Check original]]</f>
        <v>No válido</v>
      </c>
      <c r="AB26" s="1" t="str">
        <f>[1]!Tabla1[[#This Row],[Nivel de adecuación estimado sin 1.7 y 2.1]]</f>
        <v>No válido</v>
      </c>
    </row>
    <row r="27" spans="1:28" x14ac:dyDescent="0.25">
      <c r="A27" s="1" t="str">
        <f>[1]!Tabla1[[#This Row],[Archivo]]</f>
        <v>4.0 GrPUB 1-37</v>
      </c>
      <c r="B27" s="1" t="str">
        <f>[1]!Tabla1[[#This Row],[Página]]</f>
        <v>Página 26</v>
      </c>
      <c r="C27" s="1" t="str">
        <f>[1]!Tabla1[[#This Row],[URL]]</f>
        <v>https://sede.defensa.gob.es/acceda/index</v>
      </c>
      <c r="D27" s="39" t="str">
        <f>[1]!Tabla1[[#This Row],[1.1]]</f>
        <v>1 P</v>
      </c>
      <c r="E27" s="39" t="str">
        <f>[1]!Tabla1[[#This Row],[1.2]]</f>
        <v>1 P</v>
      </c>
      <c r="F27" s="39" t="str">
        <f>[1]!Tabla1[[#This Row],[1.3]]</f>
        <v>1 P</v>
      </c>
      <c r="G27" s="39" t="str">
        <f>[1]!Tabla1[[#This Row],[1.4]]</f>
        <v>- P</v>
      </c>
      <c r="H27" s="39" t="str">
        <f>[1]!Tabla1[[#This Row],[1.5]]</f>
        <v>1 P</v>
      </c>
      <c r="I27" s="39" t="str">
        <f>[1]!Tabla1[[#This Row],[1.6]]</f>
        <v>1 P</v>
      </c>
      <c r="J27" s="39" t="str">
        <f>[1]!Tabla1[[#This Row],[1.7]]</f>
        <v>0 F</v>
      </c>
      <c r="K27" s="39" t="str">
        <f>[1]!Tabla1[[#This Row],[1.8]]</f>
        <v>1 P</v>
      </c>
      <c r="L27" s="39" t="str">
        <f>[1]!Tabla1[[#This Row],[1.9]]</f>
        <v>1 P</v>
      </c>
      <c r="M27" s="39" t="str">
        <f>[1]!Tabla1[[#This Row],[1.10]]</f>
        <v>1 P</v>
      </c>
      <c r="N27" s="39" t="str">
        <f>[1]!Tabla1[[#This Row],[1.11]]</f>
        <v>1 P</v>
      </c>
      <c r="O27" s="39" t="str">
        <f>[1]!Tabla1[[#This Row],[1.12]]</f>
        <v>1 P</v>
      </c>
      <c r="P27" s="39" t="str">
        <f>[1]!Tabla1[[#This Row],[1.13]]</f>
        <v>1 P</v>
      </c>
      <c r="Q27" s="39" t="str">
        <f>[1]!Tabla1[[#This Row],[1.14]]</f>
        <v>1 P</v>
      </c>
      <c r="R27" s="39" t="str">
        <f>[1]!Tabla1[[#This Row],[2.1]]</f>
        <v>0 F</v>
      </c>
      <c r="S27" s="39" t="str">
        <f>[1]!Tabla1[[#This Row],[2.2]]</f>
        <v>1 P</v>
      </c>
      <c r="T27" s="39" t="str">
        <f>[1]!Tabla1[[#This Row],[2.3]]</f>
        <v>1 P</v>
      </c>
      <c r="U27" s="39" t="str">
        <f>[1]!Tabla1[[#This Row],[2.4]]</f>
        <v>1 P</v>
      </c>
      <c r="V27" s="39" t="str">
        <f>[1]!Tabla1[[#This Row],[2.5]]</f>
        <v>0 F</v>
      </c>
      <c r="W27" s="39" t="str">
        <f>[1]!Tabla1[[#This Row],[2.6]]</f>
        <v>1 P</v>
      </c>
      <c r="X27" s="1">
        <f>[1]!Tabla1[[#This Row],[Fallos Nivel A]]</f>
        <v>1</v>
      </c>
      <c r="Y27" s="1">
        <f>[1]!Tabla1[[#This Row],[Fallos Nivel AA]]</f>
        <v>2</v>
      </c>
      <c r="Z27" s="1" t="str">
        <f>[1]!Tabla1[[#This Row],[Nivel de adecuación estimado original]]</f>
        <v>AA</v>
      </c>
      <c r="AA27" s="1" t="str">
        <f>[1]!Tabla1[[#This Row],[Check original]]</f>
        <v>AA</v>
      </c>
      <c r="AB27" s="1" t="str">
        <f>[1]!Tabla1[[#This Row],[Nivel de adecuación estimado sin 1.7 y 2.1]]</f>
        <v>AA</v>
      </c>
    </row>
    <row r="28" spans="1:28" x14ac:dyDescent="0.25">
      <c r="A28" s="1" t="str">
        <f>[1]!Tabla1[[#This Row],[Archivo]]</f>
        <v>4.0 GrPUB 1-37</v>
      </c>
      <c r="B28" s="1" t="str">
        <f>[1]!Tabla1[[#This Row],[Página]]</f>
        <v>Página 27</v>
      </c>
      <c r="C28" s="1" t="str">
        <f>[1]!Tabla1[[#This Row],[URL]]</f>
        <v>https://face.gob.es</v>
      </c>
      <c r="D28" s="39" t="str">
        <f>[1]!Tabla1[[#This Row],[1.1]]</f>
        <v>0 F</v>
      </c>
      <c r="E28" s="39" t="str">
        <f>[1]!Tabla1[[#This Row],[1.2]]</f>
        <v>0 F</v>
      </c>
      <c r="F28" s="39" t="str">
        <f>[1]!Tabla1[[#This Row],[1.3]]</f>
        <v>1 P</v>
      </c>
      <c r="G28" s="39" t="str">
        <f>[1]!Tabla1[[#This Row],[1.4]]</f>
        <v>- P</v>
      </c>
      <c r="H28" s="39" t="str">
        <f>[1]!Tabla1[[#This Row],[1.5]]</f>
        <v>0 F</v>
      </c>
      <c r="I28" s="39" t="str">
        <f>[1]!Tabla1[[#This Row],[1.6]]</f>
        <v>1 P</v>
      </c>
      <c r="J28" s="39" t="str">
        <f>[1]!Tabla1[[#This Row],[1.7]]</f>
        <v>0 F</v>
      </c>
      <c r="K28" s="39" t="str">
        <f>[1]!Tabla1[[#This Row],[1.8]]</f>
        <v>1 P</v>
      </c>
      <c r="L28" s="39" t="str">
        <f>[1]!Tabla1[[#This Row],[1.9]]</f>
        <v>0 F</v>
      </c>
      <c r="M28" s="39" t="str">
        <f>[1]!Tabla1[[#This Row],[1.10]]</f>
        <v>1 P</v>
      </c>
      <c r="N28" s="39" t="str">
        <f>[1]!Tabla1[[#This Row],[1.11]]</f>
        <v>1 P</v>
      </c>
      <c r="O28" s="39" t="str">
        <f>[1]!Tabla1[[#This Row],[1.12]]</f>
        <v>0 F</v>
      </c>
      <c r="P28" s="39" t="str">
        <f>[1]!Tabla1[[#This Row],[1.13]]</f>
        <v>1 P</v>
      </c>
      <c r="Q28" s="39" t="str">
        <f>[1]!Tabla1[[#This Row],[1.14]]</f>
        <v>1 P</v>
      </c>
      <c r="R28" s="39" t="str">
        <f>[1]!Tabla1[[#This Row],[2.1]]</f>
        <v>0 F</v>
      </c>
      <c r="S28" s="39" t="str">
        <f>[1]!Tabla1[[#This Row],[2.2]]</f>
        <v>0 F</v>
      </c>
      <c r="T28" s="39" t="str">
        <f>[1]!Tabla1[[#This Row],[2.3]]</f>
        <v>1 P</v>
      </c>
      <c r="U28" s="39" t="str">
        <f>[1]!Tabla1[[#This Row],[2.4]]</f>
        <v>0 F</v>
      </c>
      <c r="V28" s="39" t="str">
        <f>[1]!Tabla1[[#This Row],[2.5]]</f>
        <v>0 F</v>
      </c>
      <c r="W28" s="39" t="str">
        <f>[1]!Tabla1[[#This Row],[2.6]]</f>
        <v>1 P</v>
      </c>
      <c r="X28" s="1">
        <f>[1]!Tabla1[[#This Row],[Fallos Nivel A]]</f>
        <v>6</v>
      </c>
      <c r="Y28" s="1">
        <f>[1]!Tabla1[[#This Row],[Fallos Nivel AA]]</f>
        <v>4</v>
      </c>
      <c r="Z28" s="1" t="str">
        <f>[1]!Tabla1[[#This Row],[Nivel de adecuación estimado original]]</f>
        <v>No Válido</v>
      </c>
      <c r="AA28" s="1" t="str">
        <f>[1]!Tabla1[[#This Row],[Check original]]</f>
        <v>No válido</v>
      </c>
      <c r="AB28" s="1" t="str">
        <f>[1]!Tabla1[[#This Row],[Nivel de adecuación estimado sin 1.7 y 2.1]]</f>
        <v>No válido</v>
      </c>
    </row>
    <row r="29" spans="1:28" x14ac:dyDescent="0.25">
      <c r="A29" s="1" t="str">
        <f>[1]!Tabla1[[#This Row],[Archivo]]</f>
        <v>4.0 GrPUB 1-37</v>
      </c>
      <c r="B29" s="1" t="str">
        <f>[1]!Tabla1[[#This Row],[Página]]</f>
        <v>Página 28</v>
      </c>
      <c r="C29" s="1" t="str">
        <f>[1]!Tabla1[[#This Row],[URL]]</f>
        <v>https://generaciond.gob.es</v>
      </c>
      <c r="D29" s="39" t="str">
        <f>[1]!Tabla1[[#This Row],[1.1]]</f>
        <v>0 F</v>
      </c>
      <c r="E29" s="39" t="str">
        <f>[1]!Tabla1[[#This Row],[1.2]]</f>
        <v>0.5 P</v>
      </c>
      <c r="F29" s="39" t="str">
        <f>[1]!Tabla1[[#This Row],[1.3]]</f>
        <v>1 P</v>
      </c>
      <c r="G29" s="39" t="str">
        <f>[1]!Tabla1[[#This Row],[1.4]]</f>
        <v>- P</v>
      </c>
      <c r="H29" s="39" t="str">
        <f>[1]!Tabla1[[#This Row],[1.5]]</f>
        <v>0 F</v>
      </c>
      <c r="I29" s="39" t="str">
        <f>[1]!Tabla1[[#This Row],[1.6]]</f>
        <v>0 F</v>
      </c>
      <c r="J29" s="39" t="str">
        <f>[1]!Tabla1[[#This Row],[1.7]]</f>
        <v>0 F</v>
      </c>
      <c r="K29" s="39" t="str">
        <f>[1]!Tabla1[[#This Row],[1.8]]</f>
        <v>1 P</v>
      </c>
      <c r="L29" s="39" t="str">
        <f>[1]!Tabla1[[#This Row],[1.9]]</f>
        <v>1 P</v>
      </c>
      <c r="M29" s="39" t="str">
        <f>[1]!Tabla1[[#This Row],[1.10]]</f>
        <v>1 P</v>
      </c>
      <c r="N29" s="39" t="str">
        <f>[1]!Tabla1[[#This Row],[1.11]]</f>
        <v>0 F</v>
      </c>
      <c r="O29" s="39" t="str">
        <f>[1]!Tabla1[[#This Row],[1.12]]</f>
        <v>0 F</v>
      </c>
      <c r="P29" s="39" t="str">
        <f>[1]!Tabla1[[#This Row],[1.13]]</f>
        <v>1 P</v>
      </c>
      <c r="Q29" s="39" t="str">
        <f>[1]!Tabla1[[#This Row],[1.14]]</f>
        <v>0 F</v>
      </c>
      <c r="R29" s="39" t="str">
        <f>[1]!Tabla1[[#This Row],[2.1]]</f>
        <v>0 F</v>
      </c>
      <c r="S29" s="39" t="str">
        <f>[1]!Tabla1[[#This Row],[2.2]]</f>
        <v>1 P</v>
      </c>
      <c r="T29" s="39" t="str">
        <f>[1]!Tabla1[[#This Row],[2.3]]</f>
        <v>1 P</v>
      </c>
      <c r="U29" s="39" t="str">
        <f>[1]!Tabla1[[#This Row],[2.4]]</f>
        <v>1 P</v>
      </c>
      <c r="V29" s="39" t="str">
        <f>[1]!Tabla1[[#This Row],[2.5]]</f>
        <v>0 F</v>
      </c>
      <c r="W29" s="39" t="str">
        <f>[1]!Tabla1[[#This Row],[2.6]]</f>
        <v>1 P</v>
      </c>
      <c r="X29" s="1">
        <f>[1]!Tabla1[[#This Row],[Fallos Nivel A]]</f>
        <v>7</v>
      </c>
      <c r="Y29" s="1">
        <f>[1]!Tabla1[[#This Row],[Fallos Nivel AA]]</f>
        <v>2</v>
      </c>
      <c r="Z29" s="1" t="str">
        <f>[1]!Tabla1[[#This Row],[Nivel de adecuación estimado original]]</f>
        <v>No Válido</v>
      </c>
      <c r="AA29" s="1" t="str">
        <f>[1]!Tabla1[[#This Row],[Check original]]</f>
        <v>No válido</v>
      </c>
      <c r="AB29" s="1" t="str">
        <f>[1]!Tabla1[[#This Row],[Nivel de adecuación estimado sin 1.7 y 2.1]]</f>
        <v>No válido</v>
      </c>
    </row>
    <row r="30" spans="1:28" x14ac:dyDescent="0.25">
      <c r="A30" s="1" t="str">
        <f>[1]!Tabla1[[#This Row],[Archivo]]</f>
        <v>4.0 GrPUB 1-37</v>
      </c>
      <c r="B30" s="1" t="str">
        <f>[1]!Tabla1[[#This Row],[Página]]</f>
        <v>Página 29</v>
      </c>
      <c r="C30" s="1" t="str">
        <f>[1]!Tabla1[[#This Row],[URL]]</f>
        <v>https://carpetaciudadana.gob.es</v>
      </c>
      <c r="D30" s="39" t="str">
        <f>[1]!Tabla1[[#This Row],[1.1]]</f>
        <v>1 P</v>
      </c>
      <c r="E30" s="39" t="str">
        <f>[1]!Tabla1[[#This Row],[1.2]]</f>
        <v>1 P</v>
      </c>
      <c r="F30" s="39" t="str">
        <f>[1]!Tabla1[[#This Row],[1.3]]</f>
        <v>1 P</v>
      </c>
      <c r="G30" s="39" t="str">
        <f>[1]!Tabla1[[#This Row],[1.4]]</f>
        <v>- P</v>
      </c>
      <c r="H30" s="39" t="str">
        <f>[1]!Tabla1[[#This Row],[1.5]]</f>
        <v>1 P</v>
      </c>
      <c r="I30" s="39" t="str">
        <f>[1]!Tabla1[[#This Row],[1.6]]</f>
        <v>1 P</v>
      </c>
      <c r="J30" s="39" t="str">
        <f>[1]!Tabla1[[#This Row],[1.7]]</f>
        <v>0 F</v>
      </c>
      <c r="K30" s="39" t="str">
        <f>[1]!Tabla1[[#This Row],[1.8]]</f>
        <v>1 P</v>
      </c>
      <c r="L30" s="39" t="str">
        <f>[1]!Tabla1[[#This Row],[1.9]]</f>
        <v>1 P</v>
      </c>
      <c r="M30" s="39" t="str">
        <f>[1]!Tabla1[[#This Row],[1.10]]</f>
        <v>1 P</v>
      </c>
      <c r="N30" s="39" t="str">
        <f>[1]!Tabla1[[#This Row],[1.11]]</f>
        <v>1 P</v>
      </c>
      <c r="O30" s="39" t="str">
        <f>[1]!Tabla1[[#This Row],[1.12]]</f>
        <v>0 F</v>
      </c>
      <c r="P30" s="39" t="str">
        <f>[1]!Tabla1[[#This Row],[1.13]]</f>
        <v>1 P</v>
      </c>
      <c r="Q30" s="39" t="str">
        <f>[1]!Tabla1[[#This Row],[1.14]]</f>
        <v>1 P</v>
      </c>
      <c r="R30" s="39" t="str">
        <f>[1]!Tabla1[[#This Row],[2.1]]</f>
        <v>0 F</v>
      </c>
      <c r="S30" s="39" t="str">
        <f>[1]!Tabla1[[#This Row],[2.2]]</f>
        <v>1 P</v>
      </c>
      <c r="T30" s="39" t="str">
        <f>[1]!Tabla1[[#This Row],[2.3]]</f>
        <v>1 P</v>
      </c>
      <c r="U30" s="39" t="str">
        <f>[1]!Tabla1[[#This Row],[2.4]]</f>
        <v>1 P</v>
      </c>
      <c r="V30" s="39" t="str">
        <f>[1]!Tabla1[[#This Row],[2.5]]</f>
        <v>1 P</v>
      </c>
      <c r="W30" s="39" t="str">
        <f>[1]!Tabla1[[#This Row],[2.6]]</f>
        <v>1 P</v>
      </c>
      <c r="X30" s="1">
        <f>[1]!Tabla1[[#This Row],[Fallos Nivel A]]</f>
        <v>2</v>
      </c>
      <c r="Y30" s="1">
        <f>[1]!Tabla1[[#This Row],[Fallos Nivel AA]]</f>
        <v>1</v>
      </c>
      <c r="Z30" s="1" t="str">
        <f>[1]!Tabla1[[#This Row],[Nivel de adecuación estimado original]]</f>
        <v>AA</v>
      </c>
      <c r="AA30" s="1" t="str">
        <f>[1]!Tabla1[[#This Row],[Check original]]</f>
        <v>AA</v>
      </c>
      <c r="AB30" s="1" t="str">
        <f>[1]!Tabla1[[#This Row],[Nivel de adecuación estimado sin 1.7 y 2.1]]</f>
        <v>AA</v>
      </c>
    </row>
    <row r="31" spans="1:28" x14ac:dyDescent="0.25">
      <c r="A31" s="1" t="str">
        <f>[1]!Tabla1[[#This Row],[Archivo]]</f>
        <v>4.0 GrPUB 1-37</v>
      </c>
      <c r="B31" s="1" t="str">
        <f>[1]!Tabla1[[#This Row],[Página]]</f>
        <v>Página 30</v>
      </c>
      <c r="C31" s="1" t="str">
        <f>[1]!Tabla1[[#This Row],[URL]]</f>
        <v>https://industria.gob.es/es-es/Paginas/Index.aspx</v>
      </c>
      <c r="D31" s="39" t="str">
        <f>[1]!Tabla1[[#This Row],[1.1]]</f>
        <v>1 P</v>
      </c>
      <c r="E31" s="39" t="str">
        <f>[1]!Tabla1[[#This Row],[1.2]]</f>
        <v>1 P</v>
      </c>
      <c r="F31" s="39" t="str">
        <f>[1]!Tabla1[[#This Row],[1.3]]</f>
        <v>1 P</v>
      </c>
      <c r="G31" s="39" t="str">
        <f>[1]!Tabla1[[#This Row],[1.4]]</f>
        <v>- P</v>
      </c>
      <c r="H31" s="39" t="str">
        <f>[1]!Tabla1[[#This Row],[1.5]]</f>
        <v>1 P</v>
      </c>
      <c r="I31" s="39" t="str">
        <f>[1]!Tabla1[[#This Row],[1.6]]</f>
        <v>1 P</v>
      </c>
      <c r="J31" s="39" t="str">
        <f>[1]!Tabla1[[#This Row],[1.7]]</f>
        <v>0 F</v>
      </c>
      <c r="K31" s="39" t="str">
        <f>[1]!Tabla1[[#This Row],[1.8]]</f>
        <v>1 P</v>
      </c>
      <c r="L31" s="39" t="str">
        <f>[1]!Tabla1[[#This Row],[1.9]]</f>
        <v>1 P</v>
      </c>
      <c r="M31" s="39" t="str">
        <f>[1]!Tabla1[[#This Row],[1.10]]</f>
        <v>1 P</v>
      </c>
      <c r="N31" s="39" t="str">
        <f>[1]!Tabla1[[#This Row],[1.11]]</f>
        <v>1 P</v>
      </c>
      <c r="O31" s="39" t="str">
        <f>[1]!Tabla1[[#This Row],[1.12]]</f>
        <v>1 P</v>
      </c>
      <c r="P31" s="39" t="str">
        <f>[1]!Tabla1[[#This Row],[1.13]]</f>
        <v>1 P</v>
      </c>
      <c r="Q31" s="39" t="str">
        <f>[1]!Tabla1[[#This Row],[1.14]]</f>
        <v>1 P</v>
      </c>
      <c r="R31" s="39" t="str">
        <f>[1]!Tabla1[[#This Row],[2.1]]</f>
        <v>0 F</v>
      </c>
      <c r="S31" s="39" t="str">
        <f>[1]!Tabla1[[#This Row],[2.2]]</f>
        <v>1 P</v>
      </c>
      <c r="T31" s="39" t="str">
        <f>[1]!Tabla1[[#This Row],[2.3]]</f>
        <v>1 P</v>
      </c>
      <c r="U31" s="39" t="str">
        <f>[1]!Tabla1[[#This Row],[2.4]]</f>
        <v>1 P</v>
      </c>
      <c r="V31" s="39" t="str">
        <f>[1]!Tabla1[[#This Row],[2.5]]</f>
        <v>1 P</v>
      </c>
      <c r="W31" s="39" t="str">
        <f>[1]!Tabla1[[#This Row],[2.6]]</f>
        <v>0 F</v>
      </c>
      <c r="X31" s="1">
        <f>[1]!Tabla1[[#This Row],[Fallos Nivel A]]</f>
        <v>1</v>
      </c>
      <c r="Y31" s="1">
        <f>[1]!Tabla1[[#This Row],[Fallos Nivel AA]]</f>
        <v>2</v>
      </c>
      <c r="Z31" s="1" t="str">
        <f>[1]!Tabla1[[#This Row],[Nivel de adecuación estimado original]]</f>
        <v>AA</v>
      </c>
      <c r="AA31" s="1" t="str">
        <f>[1]!Tabla1[[#This Row],[Check original]]</f>
        <v>AA</v>
      </c>
      <c r="AB31" s="1" t="str">
        <f>[1]!Tabla1[[#This Row],[Nivel de adecuación estimado sin 1.7 y 2.1]]</f>
        <v>AA</v>
      </c>
    </row>
    <row r="32" spans="1:28" x14ac:dyDescent="0.25">
      <c r="A32" s="1" t="str">
        <f>[1]!Tabla1[[#This Row],[Archivo]]</f>
        <v>4.0 GrPUB 1-37</v>
      </c>
      <c r="B32" s="1" t="str">
        <f>[1]!Tabla1[[#This Row],[Página]]</f>
        <v>Página 31</v>
      </c>
      <c r="C32" s="1" t="str">
        <f>[1]!Tabla1[[#This Row],[URL]]</f>
        <v>https://ejercito.defensa.gob.es</v>
      </c>
      <c r="D32" s="39" t="str">
        <f>[1]!Tabla1[[#This Row],[1.1]]</f>
        <v>1 P</v>
      </c>
      <c r="E32" s="39" t="str">
        <f>[1]!Tabla1[[#This Row],[1.2]]</f>
        <v>0 F</v>
      </c>
      <c r="F32" s="39" t="str">
        <f>[1]!Tabla1[[#This Row],[1.3]]</f>
        <v>1 P</v>
      </c>
      <c r="G32" s="39" t="str">
        <f>[1]!Tabla1[[#This Row],[1.4]]</f>
        <v>- P</v>
      </c>
      <c r="H32" s="39" t="str">
        <f>[1]!Tabla1[[#This Row],[1.5]]</f>
        <v>1 P</v>
      </c>
      <c r="I32" s="39" t="str">
        <f>[1]!Tabla1[[#This Row],[1.6]]</f>
        <v>0 F</v>
      </c>
      <c r="J32" s="39" t="str">
        <f>[1]!Tabla1[[#This Row],[1.7]]</f>
        <v>0 F</v>
      </c>
      <c r="K32" s="39" t="str">
        <f>[1]!Tabla1[[#This Row],[1.8]]</f>
        <v>1 P</v>
      </c>
      <c r="L32" s="39" t="str">
        <f>[1]!Tabla1[[#This Row],[1.9]]</f>
        <v>1 P</v>
      </c>
      <c r="M32" s="39" t="str">
        <f>[1]!Tabla1[[#This Row],[1.10]]</f>
        <v>1 P</v>
      </c>
      <c r="N32" s="39" t="str">
        <f>[1]!Tabla1[[#This Row],[1.11]]</f>
        <v>0 F</v>
      </c>
      <c r="O32" s="39" t="str">
        <f>[1]!Tabla1[[#This Row],[1.12]]</f>
        <v>0 F</v>
      </c>
      <c r="P32" s="39" t="str">
        <f>[1]!Tabla1[[#This Row],[1.13]]</f>
        <v>1 P</v>
      </c>
      <c r="Q32" s="39" t="str">
        <f>[1]!Tabla1[[#This Row],[1.14]]</f>
        <v>0 F</v>
      </c>
      <c r="R32" s="39" t="str">
        <f>[1]!Tabla1[[#This Row],[2.1]]</f>
        <v>0 F</v>
      </c>
      <c r="S32" s="39" t="str">
        <f>[1]!Tabla1[[#This Row],[2.2]]</f>
        <v>1 P</v>
      </c>
      <c r="T32" s="39" t="str">
        <f>[1]!Tabla1[[#This Row],[2.3]]</f>
        <v>1 P</v>
      </c>
      <c r="U32" s="39" t="str">
        <f>[1]!Tabla1[[#This Row],[2.4]]</f>
        <v>1 P</v>
      </c>
      <c r="V32" s="39" t="str">
        <f>[1]!Tabla1[[#This Row],[2.5]]</f>
        <v>0 F</v>
      </c>
      <c r="W32" s="39" t="str">
        <f>[1]!Tabla1[[#This Row],[2.6]]</f>
        <v>0 F</v>
      </c>
      <c r="X32" s="1">
        <f>[1]!Tabla1[[#This Row],[Fallos Nivel A]]</f>
        <v>6</v>
      </c>
      <c r="Y32" s="1">
        <f>[1]!Tabla1[[#This Row],[Fallos Nivel AA]]</f>
        <v>3</v>
      </c>
      <c r="Z32" s="1" t="str">
        <f>[1]!Tabla1[[#This Row],[Nivel de adecuación estimado original]]</f>
        <v>No Válido</v>
      </c>
      <c r="AA32" s="1" t="str">
        <f>[1]!Tabla1[[#This Row],[Check original]]</f>
        <v>No válido</v>
      </c>
      <c r="AB32" s="1" t="str">
        <f>[1]!Tabla1[[#This Row],[Nivel de adecuación estimado sin 1.7 y 2.1]]</f>
        <v>No válido</v>
      </c>
    </row>
    <row r="33" spans="1:28" x14ac:dyDescent="0.25">
      <c r="A33" s="1" t="str">
        <f>[1]!Tabla1[[#This Row],[Archivo]]</f>
        <v>4.0 GrPUB 1-37</v>
      </c>
      <c r="B33" s="1" t="str">
        <f>[1]!Tabla1[[#This Row],[Página]]</f>
        <v>Página 32</v>
      </c>
      <c r="C33" s="1" t="str">
        <f>[1]!Tabla1[[#This Row],[URL]]</f>
        <v>https://www.empleate.gob.es/empleo/index_nojs.html?JAVASCRIPTSTATUS=NONE</v>
      </c>
      <c r="D33" s="39" t="str">
        <f>[1]!Tabla1[[#This Row],[1.1]]</f>
        <v>0 F</v>
      </c>
      <c r="E33" s="39" t="str">
        <f>[1]!Tabla1[[#This Row],[1.2]]</f>
        <v>1 P</v>
      </c>
      <c r="F33" s="39" t="str">
        <f>[1]!Tabla1[[#This Row],[1.3]]</f>
        <v>0 F</v>
      </c>
      <c r="G33" s="39" t="str">
        <f>[1]!Tabla1[[#This Row],[1.4]]</f>
        <v>- P</v>
      </c>
      <c r="H33" s="39" t="str">
        <f>[1]!Tabla1[[#This Row],[1.5]]</f>
        <v>1 P</v>
      </c>
      <c r="I33" s="39" t="str">
        <f>[1]!Tabla1[[#This Row],[1.6]]</f>
        <v>1 P</v>
      </c>
      <c r="J33" s="39" t="str">
        <f>[1]!Tabla1[[#This Row],[1.7]]</f>
        <v>0 F</v>
      </c>
      <c r="K33" s="39" t="str">
        <f>[1]!Tabla1[[#This Row],[1.8]]</f>
        <v>1 P</v>
      </c>
      <c r="L33" s="39" t="str">
        <f>[1]!Tabla1[[#This Row],[1.9]]</f>
        <v>0 F</v>
      </c>
      <c r="M33" s="39" t="str">
        <f>[1]!Tabla1[[#This Row],[1.10]]</f>
        <v>1 P</v>
      </c>
      <c r="N33" s="39" t="str">
        <f>[1]!Tabla1[[#This Row],[1.11]]</f>
        <v>0 F</v>
      </c>
      <c r="O33" s="39" t="str">
        <f>[1]!Tabla1[[#This Row],[1.12]]</f>
        <v>0 F</v>
      </c>
      <c r="P33" s="39" t="str">
        <f>[1]!Tabla1[[#This Row],[1.13]]</f>
        <v>1 P</v>
      </c>
      <c r="Q33" s="39" t="str">
        <f>[1]!Tabla1[[#This Row],[1.14]]</f>
        <v>0 F</v>
      </c>
      <c r="R33" s="39" t="str">
        <f>[1]!Tabla1[[#This Row],[2.1]]</f>
        <v>0 F</v>
      </c>
      <c r="S33" s="39" t="str">
        <f>[1]!Tabla1[[#This Row],[2.2]]</f>
        <v>1 P</v>
      </c>
      <c r="T33" s="39" t="str">
        <f>[1]!Tabla1[[#This Row],[2.3]]</f>
        <v>1 P</v>
      </c>
      <c r="U33" s="39" t="str">
        <f>[1]!Tabla1[[#This Row],[2.4]]</f>
        <v>0 F</v>
      </c>
      <c r="V33" s="39" t="str">
        <f>[1]!Tabla1[[#This Row],[2.5]]</f>
        <v>1 P</v>
      </c>
      <c r="W33" s="39" t="str">
        <f>[1]!Tabla1[[#This Row],[2.6]]</f>
        <v>0 F</v>
      </c>
      <c r="X33" s="1">
        <f>[1]!Tabla1[[#This Row],[Fallos Nivel A]]</f>
        <v>7</v>
      </c>
      <c r="Y33" s="1">
        <f>[1]!Tabla1[[#This Row],[Fallos Nivel AA]]</f>
        <v>3</v>
      </c>
      <c r="Z33" s="1" t="str">
        <f>[1]!Tabla1[[#This Row],[Nivel de adecuación estimado original]]</f>
        <v>No Válido</v>
      </c>
      <c r="AA33" s="1" t="str">
        <f>[1]!Tabla1[[#This Row],[Check original]]</f>
        <v>No válido</v>
      </c>
      <c r="AB33" s="1" t="str">
        <f>[1]!Tabla1[[#This Row],[Nivel de adecuación estimado sin 1.7 y 2.1]]</f>
        <v>No válido</v>
      </c>
    </row>
    <row r="34" spans="1:28" x14ac:dyDescent="0.25">
      <c r="A34" s="1" t="str">
        <f>[1]!Tabla1[[#This Row],[Archivo]]</f>
        <v>4.0 GrPUB 1-37</v>
      </c>
      <c r="B34" s="1" t="str">
        <f>[1]!Tabla1[[#This Row],[Página]]</f>
        <v>Página 33</v>
      </c>
      <c r="C34" s="1" t="str">
        <f>[1]!Tabla1[[#This Row],[URL]]</f>
        <v>https://sede.ine.gob.es</v>
      </c>
      <c r="D34" s="39" t="str">
        <f>[1]!Tabla1[[#This Row],[1.1]]</f>
        <v>1 P</v>
      </c>
      <c r="E34" s="39" t="str">
        <f>[1]!Tabla1[[#This Row],[1.2]]</f>
        <v>1 P</v>
      </c>
      <c r="F34" s="39" t="str">
        <f>[1]!Tabla1[[#This Row],[1.3]]</f>
        <v>1 P</v>
      </c>
      <c r="G34" s="39" t="str">
        <f>[1]!Tabla1[[#This Row],[1.4]]</f>
        <v>- P</v>
      </c>
      <c r="H34" s="39" t="str">
        <f>[1]!Tabla1[[#This Row],[1.5]]</f>
        <v>1 P</v>
      </c>
      <c r="I34" s="39" t="str">
        <f>[1]!Tabla1[[#This Row],[1.6]]</f>
        <v>1 P</v>
      </c>
      <c r="J34" s="39" t="str">
        <f>[1]!Tabla1[[#This Row],[1.7]]</f>
        <v>0 F</v>
      </c>
      <c r="K34" s="39" t="str">
        <f>[1]!Tabla1[[#This Row],[1.8]]</f>
        <v>1 P</v>
      </c>
      <c r="L34" s="39" t="str">
        <f>[1]!Tabla1[[#This Row],[1.9]]</f>
        <v>1 P</v>
      </c>
      <c r="M34" s="39" t="str">
        <f>[1]!Tabla1[[#This Row],[1.10]]</f>
        <v>1 P</v>
      </c>
      <c r="N34" s="39" t="str">
        <f>[1]!Tabla1[[#This Row],[1.11]]</f>
        <v>1 P</v>
      </c>
      <c r="O34" s="39" t="str">
        <f>[1]!Tabla1[[#This Row],[1.12]]</f>
        <v>1 P</v>
      </c>
      <c r="P34" s="39" t="str">
        <f>[1]!Tabla1[[#This Row],[1.13]]</f>
        <v>1 P</v>
      </c>
      <c r="Q34" s="39" t="str">
        <f>[1]!Tabla1[[#This Row],[1.14]]</f>
        <v>1 P</v>
      </c>
      <c r="R34" s="39" t="str">
        <f>[1]!Tabla1[[#This Row],[2.1]]</f>
        <v>0 F</v>
      </c>
      <c r="S34" s="39" t="str">
        <f>[1]!Tabla1[[#This Row],[2.2]]</f>
        <v>1 P</v>
      </c>
      <c r="T34" s="39" t="str">
        <f>[1]!Tabla1[[#This Row],[2.3]]</f>
        <v>1 P</v>
      </c>
      <c r="U34" s="39" t="str">
        <f>[1]!Tabla1[[#This Row],[2.4]]</f>
        <v>1 P</v>
      </c>
      <c r="V34" s="39" t="str">
        <f>[1]!Tabla1[[#This Row],[2.5]]</f>
        <v>1 P</v>
      </c>
      <c r="W34" s="39" t="str">
        <f>[1]!Tabla1[[#This Row],[2.6]]</f>
        <v>1 P</v>
      </c>
      <c r="X34" s="1">
        <f>[1]!Tabla1[[#This Row],[Fallos Nivel A]]</f>
        <v>1</v>
      </c>
      <c r="Y34" s="1">
        <f>[1]!Tabla1[[#This Row],[Fallos Nivel AA]]</f>
        <v>1</v>
      </c>
      <c r="Z34" s="1" t="str">
        <f>[1]!Tabla1[[#This Row],[Nivel de adecuación estimado original]]</f>
        <v>AA</v>
      </c>
      <c r="AA34" s="1" t="str">
        <f>[1]!Tabla1[[#This Row],[Check original]]</f>
        <v>AA</v>
      </c>
      <c r="AB34" s="1" t="str">
        <f>[1]!Tabla1[[#This Row],[Nivel de adecuación estimado sin 1.7 y 2.1]]</f>
        <v>AA</v>
      </c>
    </row>
    <row r="35" spans="1:28" x14ac:dyDescent="0.25">
      <c r="A35" s="1" t="str">
        <f>[1]!Tabla1[[#This Row],[Archivo]]</f>
        <v>4.0 GrPUB 38-74</v>
      </c>
      <c r="B35" s="1" t="str">
        <f>[1]!Tabla1[[#This Row],[Página]]</f>
        <v>Página 1</v>
      </c>
      <c r="C35" s="1" t="str">
        <f>[1]!Tabla1[[#This Row],[URL]]</f>
        <v>https://reclutamiento.defensa.gob.es</v>
      </c>
      <c r="D35" s="39" t="str">
        <f>[1]!Tabla1[[#This Row],[1.1]]</f>
        <v>0 F</v>
      </c>
      <c r="E35" s="39" t="str">
        <f>[1]!Tabla1[[#This Row],[1.2]]</f>
        <v>0 F</v>
      </c>
      <c r="F35" s="39" t="str">
        <f>[1]!Tabla1[[#This Row],[1.3]]</f>
        <v>1 P</v>
      </c>
      <c r="G35" s="39" t="str">
        <f>[1]!Tabla1[[#This Row],[1.4]]</f>
        <v>- P</v>
      </c>
      <c r="H35" s="39" t="str">
        <f>[1]!Tabla1[[#This Row],[1.5]]</f>
        <v>1 P</v>
      </c>
      <c r="I35" s="39" t="str">
        <f>[1]!Tabla1[[#This Row],[1.6]]</f>
        <v>0 F</v>
      </c>
      <c r="J35" s="39" t="str">
        <f>[1]!Tabla1[[#This Row],[1.7]]</f>
        <v>0 F</v>
      </c>
      <c r="K35" s="39" t="str">
        <f>[1]!Tabla1[[#This Row],[1.8]]</f>
        <v>1 P</v>
      </c>
      <c r="L35" s="39" t="str">
        <f>[1]!Tabla1[[#This Row],[1.9]]</f>
        <v>- P</v>
      </c>
      <c r="M35" s="39" t="str">
        <f>[1]!Tabla1[[#This Row],[1.10]]</f>
        <v>- P</v>
      </c>
      <c r="N35" s="39" t="str">
        <f>[1]!Tabla1[[#This Row],[1.11]]</f>
        <v>1 P</v>
      </c>
      <c r="O35" s="39" t="str">
        <f>[1]!Tabla1[[#This Row],[1.12]]</f>
        <v>1 P</v>
      </c>
      <c r="P35" s="39" t="str">
        <f>[1]!Tabla1[[#This Row],[1.13]]</f>
        <v>1 P</v>
      </c>
      <c r="Q35" s="39" t="str">
        <f>[1]!Tabla1[[#This Row],[1.14]]</f>
        <v>0 F</v>
      </c>
      <c r="R35" s="39" t="str">
        <f>[1]!Tabla1[[#This Row],[2.1]]</f>
        <v>0 F</v>
      </c>
      <c r="S35" s="39" t="str">
        <f>[1]!Tabla1[[#This Row],[2.2]]</f>
        <v>1 P</v>
      </c>
      <c r="T35" s="39" t="str">
        <f>[1]!Tabla1[[#This Row],[2.3]]</f>
        <v>0 F</v>
      </c>
      <c r="U35" s="39" t="str">
        <f>[1]!Tabla1[[#This Row],[2.4]]</f>
        <v>1 P</v>
      </c>
      <c r="V35" s="39" t="str">
        <f>[1]!Tabla1[[#This Row],[2.5]]</f>
        <v>1 P</v>
      </c>
      <c r="W35" s="39" t="str">
        <f>[1]!Tabla1[[#This Row],[2.6]]</f>
        <v>1 P</v>
      </c>
      <c r="X35" s="1">
        <f>[1]!Tabla1[[#This Row],[Fallos Nivel A]]</f>
        <v>5</v>
      </c>
      <c r="Y35" s="1">
        <f>[1]!Tabla1[[#This Row],[Fallos Nivel AA]]</f>
        <v>2</v>
      </c>
      <c r="Z35" s="1" t="str">
        <f>[1]!Tabla1[[#This Row],[Nivel de adecuación estimado original]]</f>
        <v>No Válido</v>
      </c>
      <c r="AA35" s="1" t="str">
        <f>[1]!Tabla1[[#This Row],[Check original]]</f>
        <v>No válido</v>
      </c>
      <c r="AB35" s="1" t="str">
        <f>[1]!Tabla1[[#This Row],[Nivel de adecuación estimado sin 1.7 y 2.1]]</f>
        <v>No válido</v>
      </c>
    </row>
    <row r="36" spans="1:28" x14ac:dyDescent="0.25">
      <c r="A36" s="1" t="str">
        <f>[1]!Tabla1[[#This Row],[Archivo]]</f>
        <v>4.0 GrPUB 38-74</v>
      </c>
      <c r="B36" s="1" t="str">
        <f>[1]!Tabla1[[#This Row],[Página]]</f>
        <v>Página 2</v>
      </c>
      <c r="C36" s="1" t="str">
        <f>[1]!Tabla1[[#This Row],[URL]]</f>
        <v>https://www.inclusion.gob.es/home</v>
      </c>
      <c r="D36" s="39" t="str">
        <f>[1]!Tabla1[[#This Row],[1.1]]</f>
        <v>1 P</v>
      </c>
      <c r="E36" s="39" t="str">
        <f>[1]!Tabla1[[#This Row],[1.2]]</f>
        <v>0 F</v>
      </c>
      <c r="F36" s="39" t="str">
        <f>[1]!Tabla1[[#This Row],[1.3]]</f>
        <v>0 F</v>
      </c>
      <c r="G36" s="39" t="str">
        <f>[1]!Tabla1[[#This Row],[1.4]]</f>
        <v>- P</v>
      </c>
      <c r="H36" s="39" t="str">
        <f>[1]!Tabla1[[#This Row],[1.5]]</f>
        <v>0 F</v>
      </c>
      <c r="I36" s="39" t="str">
        <f>[1]!Tabla1[[#This Row],[1.6]]</f>
        <v>0 F</v>
      </c>
      <c r="J36" s="39" t="str">
        <f>[1]!Tabla1[[#This Row],[1.7]]</f>
        <v>0 F</v>
      </c>
      <c r="K36" s="39" t="str">
        <f>[1]!Tabla1[[#This Row],[1.8]]</f>
        <v>1 P</v>
      </c>
      <c r="L36" s="39" t="str">
        <f>[1]!Tabla1[[#This Row],[1.9]]</f>
        <v>1 P</v>
      </c>
      <c r="M36" s="39" t="str">
        <f>[1]!Tabla1[[#This Row],[1.10]]</f>
        <v>1 P</v>
      </c>
      <c r="N36" s="39" t="str">
        <f>[1]!Tabla1[[#This Row],[1.11]]</f>
        <v>0 F</v>
      </c>
      <c r="O36" s="39" t="str">
        <f>[1]!Tabla1[[#This Row],[1.12]]</f>
        <v>1 P</v>
      </c>
      <c r="P36" s="39" t="str">
        <f>[1]!Tabla1[[#This Row],[1.13]]</f>
        <v>1 P</v>
      </c>
      <c r="Q36" s="39" t="str">
        <f>[1]!Tabla1[[#This Row],[1.14]]</f>
        <v>0 F</v>
      </c>
      <c r="R36" s="39" t="str">
        <f>[1]!Tabla1[[#This Row],[2.1]]</f>
        <v>0 F</v>
      </c>
      <c r="S36" s="39" t="str">
        <f>[1]!Tabla1[[#This Row],[2.2]]</f>
        <v>0 F</v>
      </c>
      <c r="T36" s="39" t="str">
        <f>[1]!Tabla1[[#This Row],[2.3]]</f>
        <v>1 P</v>
      </c>
      <c r="U36" s="39" t="str">
        <f>[1]!Tabla1[[#This Row],[2.4]]</f>
        <v>1 P</v>
      </c>
      <c r="V36" s="39" t="str">
        <f>[1]!Tabla1[[#This Row],[2.5]]</f>
        <v>0 F</v>
      </c>
      <c r="W36" s="39" t="str">
        <f>[1]!Tabla1[[#This Row],[2.6]]</f>
        <v>1 P</v>
      </c>
      <c r="X36" s="1">
        <f>[1]!Tabla1[[#This Row],[Fallos Nivel A]]</f>
        <v>7</v>
      </c>
      <c r="Y36" s="1">
        <f>[1]!Tabla1[[#This Row],[Fallos Nivel AA]]</f>
        <v>3</v>
      </c>
      <c r="Z36" s="1" t="str">
        <f>[1]!Tabla1[[#This Row],[Nivel de adecuación estimado original]]</f>
        <v>No Válido</v>
      </c>
      <c r="AA36" s="1" t="str">
        <f>[1]!Tabla1[[#This Row],[Check original]]</f>
        <v>No válido</v>
      </c>
      <c r="AB36" s="1" t="str">
        <f>[1]!Tabla1[[#This Row],[Nivel de adecuación estimado sin 1.7 y 2.1]]</f>
        <v>No válido</v>
      </c>
    </row>
    <row r="37" spans="1:28" x14ac:dyDescent="0.25">
      <c r="A37" s="1" t="str">
        <f>[1]!Tabla1[[#This Row],[Archivo]]</f>
        <v>4.0 GrPUB 38-74</v>
      </c>
      <c r="B37" s="1" t="str">
        <f>[1]!Tabla1[[#This Row],[Página]]</f>
        <v>Página 3</v>
      </c>
      <c r="C37" s="1" t="str">
        <f>[1]!Tabla1[[#This Row],[URL]]</f>
        <v>https://sede.inap.gob.es</v>
      </c>
      <c r="D37" s="39" t="str">
        <f>[1]!Tabla1[[#This Row],[1.1]]</f>
        <v>1 P</v>
      </c>
      <c r="E37" s="39" t="str">
        <f>[1]!Tabla1[[#This Row],[1.2]]</f>
        <v>1 P</v>
      </c>
      <c r="F37" s="39" t="str">
        <f>[1]!Tabla1[[#This Row],[1.3]]</f>
        <v>1 P</v>
      </c>
      <c r="G37" s="39" t="str">
        <f>[1]!Tabla1[[#This Row],[1.4]]</f>
        <v>- P</v>
      </c>
      <c r="H37" s="39" t="str">
        <f>[1]!Tabla1[[#This Row],[1.5]]</f>
        <v>1 P</v>
      </c>
      <c r="I37" s="39" t="str">
        <f>[1]!Tabla1[[#This Row],[1.6]]</f>
        <v>1 P</v>
      </c>
      <c r="J37" s="39" t="str">
        <f>[1]!Tabla1[[#This Row],[1.7]]</f>
        <v>0 F</v>
      </c>
      <c r="K37" s="39" t="str">
        <f>[1]!Tabla1[[#This Row],[1.8]]</f>
        <v>1 P</v>
      </c>
      <c r="L37" s="39" t="str">
        <f>[1]!Tabla1[[#This Row],[1.9]]</f>
        <v>1 P</v>
      </c>
      <c r="M37" s="39" t="str">
        <f>[1]!Tabla1[[#This Row],[1.10]]</f>
        <v>1 P</v>
      </c>
      <c r="N37" s="39" t="str">
        <f>[1]!Tabla1[[#This Row],[1.11]]</f>
        <v>0 F</v>
      </c>
      <c r="O37" s="39" t="str">
        <f>[1]!Tabla1[[#This Row],[1.12]]</f>
        <v>1 P</v>
      </c>
      <c r="P37" s="39" t="str">
        <f>[1]!Tabla1[[#This Row],[1.13]]</f>
        <v>1 P</v>
      </c>
      <c r="Q37" s="39" t="str">
        <f>[1]!Tabla1[[#This Row],[1.14]]</f>
        <v>0 F</v>
      </c>
      <c r="R37" s="39" t="str">
        <f>[1]!Tabla1[[#This Row],[2.1]]</f>
        <v>0 F</v>
      </c>
      <c r="S37" s="39" t="str">
        <f>[1]!Tabla1[[#This Row],[2.2]]</f>
        <v>0 F</v>
      </c>
      <c r="T37" s="39" t="str">
        <f>[1]!Tabla1[[#This Row],[2.3]]</f>
        <v>1 P</v>
      </c>
      <c r="U37" s="39" t="str">
        <f>[1]!Tabla1[[#This Row],[2.4]]</f>
        <v>1 P</v>
      </c>
      <c r="V37" s="39" t="str">
        <f>[1]!Tabla1[[#This Row],[2.5]]</f>
        <v>1 P</v>
      </c>
      <c r="W37" s="39" t="str">
        <f>[1]!Tabla1[[#This Row],[2.6]]</f>
        <v>1 P</v>
      </c>
      <c r="X37" s="1">
        <f>[1]!Tabla1[[#This Row],[Fallos Nivel A]]</f>
        <v>3</v>
      </c>
      <c r="Y37" s="1">
        <f>[1]!Tabla1[[#This Row],[Fallos Nivel AA]]</f>
        <v>2</v>
      </c>
      <c r="Z37" s="1" t="str">
        <f>[1]!Tabla1[[#This Row],[Nivel de adecuación estimado original]]</f>
        <v>No Válido</v>
      </c>
      <c r="AA37" s="1" t="str">
        <f>[1]!Tabla1[[#This Row],[Check original]]</f>
        <v>No válido</v>
      </c>
      <c r="AB37" s="1" t="str">
        <f>[1]!Tabla1[[#This Row],[Nivel de adecuación estimado sin 1.7 y 2.1]]</f>
        <v>AA</v>
      </c>
    </row>
    <row r="38" spans="1:28" x14ac:dyDescent="0.25">
      <c r="A38" s="1" t="str">
        <f>[1]!Tabla1[[#This Row],[Archivo]]</f>
        <v>4.0 GrPUB 38-74</v>
      </c>
      <c r="B38" s="1" t="str">
        <f>[1]!Tabla1[[#This Row],[Página]]</f>
        <v>Página 4</v>
      </c>
      <c r="C38" s="1" t="str">
        <f>[1]!Tabla1[[#This Row],[URL]]</f>
        <v>https://www.mapa.gob.es/es/</v>
      </c>
      <c r="D38" s="39" t="str">
        <f>[1]!Tabla1[[#This Row],[1.1]]</f>
        <v>1 P</v>
      </c>
      <c r="E38" s="39" t="str">
        <f>[1]!Tabla1[[#This Row],[1.2]]</f>
        <v>1 P</v>
      </c>
      <c r="F38" s="39" t="str">
        <f>[1]!Tabla1[[#This Row],[1.3]]</f>
        <v>1 P</v>
      </c>
      <c r="G38" s="39" t="str">
        <f>[1]!Tabla1[[#This Row],[1.4]]</f>
        <v>- P</v>
      </c>
      <c r="H38" s="39" t="str">
        <f>[1]!Tabla1[[#This Row],[1.5]]</f>
        <v>1 P</v>
      </c>
      <c r="I38" s="39" t="str">
        <f>[1]!Tabla1[[#This Row],[1.6]]</f>
        <v>1 P</v>
      </c>
      <c r="J38" s="39" t="str">
        <f>[1]!Tabla1[[#This Row],[1.7]]</f>
        <v>0 F</v>
      </c>
      <c r="K38" s="39" t="str">
        <f>[1]!Tabla1[[#This Row],[1.8]]</f>
        <v>1 P</v>
      </c>
      <c r="L38" s="39" t="str">
        <f>[1]!Tabla1[[#This Row],[1.9]]</f>
        <v>1 P</v>
      </c>
      <c r="M38" s="39" t="str">
        <f>[1]!Tabla1[[#This Row],[1.10]]</f>
        <v>1 P</v>
      </c>
      <c r="N38" s="39" t="str">
        <f>[1]!Tabla1[[#This Row],[1.11]]</f>
        <v>1 P</v>
      </c>
      <c r="O38" s="39" t="str">
        <f>[1]!Tabla1[[#This Row],[1.12]]</f>
        <v>0 F</v>
      </c>
      <c r="P38" s="39" t="str">
        <f>[1]!Tabla1[[#This Row],[1.13]]</f>
        <v>1 P</v>
      </c>
      <c r="Q38" s="39" t="str">
        <f>[1]!Tabla1[[#This Row],[1.14]]</f>
        <v>1 P</v>
      </c>
      <c r="R38" s="39" t="str">
        <f>[1]!Tabla1[[#This Row],[2.1]]</f>
        <v>0 F</v>
      </c>
      <c r="S38" s="39" t="str">
        <f>[1]!Tabla1[[#This Row],[2.2]]</f>
        <v>1 P</v>
      </c>
      <c r="T38" s="39" t="str">
        <f>[1]!Tabla1[[#This Row],[2.3]]</f>
        <v>1 P</v>
      </c>
      <c r="U38" s="39" t="str">
        <f>[1]!Tabla1[[#This Row],[2.4]]</f>
        <v>1 P</v>
      </c>
      <c r="V38" s="39" t="str">
        <f>[1]!Tabla1[[#This Row],[2.5]]</f>
        <v>1 P</v>
      </c>
      <c r="W38" s="39" t="str">
        <f>[1]!Tabla1[[#This Row],[2.6]]</f>
        <v>0 F</v>
      </c>
      <c r="X38" s="1">
        <f>[1]!Tabla1[[#This Row],[Fallos Nivel A]]</f>
        <v>2</v>
      </c>
      <c r="Y38" s="1">
        <f>[1]!Tabla1[[#This Row],[Fallos Nivel AA]]</f>
        <v>2</v>
      </c>
      <c r="Z38" s="1" t="str">
        <f>[1]!Tabla1[[#This Row],[Nivel de adecuación estimado original]]</f>
        <v>AA</v>
      </c>
      <c r="AA38" s="1" t="str">
        <f>[1]!Tabla1[[#This Row],[Check original]]</f>
        <v>AA</v>
      </c>
      <c r="AB38" s="1" t="str">
        <f>[1]!Tabla1[[#This Row],[Nivel de adecuación estimado sin 1.7 y 2.1]]</f>
        <v>AA</v>
      </c>
    </row>
    <row r="39" spans="1:28" x14ac:dyDescent="0.25">
      <c r="A39" s="1" t="str">
        <f>[1]!Tabla1[[#This Row],[Archivo]]</f>
        <v>4.0 GrPUB 38-74</v>
      </c>
      <c r="B39" s="1" t="str">
        <f>[1]!Tabla1[[#This Row],[Página]]</f>
        <v>Página 5</v>
      </c>
      <c r="C39" s="1" t="str">
        <f>[1]!Tabla1[[#This Row],[URL]]</f>
        <v>https://incual.educacion.gob.es</v>
      </c>
      <c r="D39" s="39" t="str">
        <f>[1]!Tabla1[[#This Row],[1.1]]</f>
        <v>1 P</v>
      </c>
      <c r="E39" s="39" t="str">
        <f>[1]!Tabla1[[#This Row],[1.2]]</f>
        <v>1 P</v>
      </c>
      <c r="F39" s="39" t="str">
        <f>[1]!Tabla1[[#This Row],[1.3]]</f>
        <v>1 P</v>
      </c>
      <c r="G39" s="39" t="str">
        <f>[1]!Tabla1[[#This Row],[1.4]]</f>
        <v>1 P</v>
      </c>
      <c r="H39" s="39" t="str">
        <f>[1]!Tabla1[[#This Row],[1.5]]</f>
        <v>1 P</v>
      </c>
      <c r="I39" s="39" t="str">
        <f>[1]!Tabla1[[#This Row],[1.6]]</f>
        <v>1 P</v>
      </c>
      <c r="J39" s="39" t="str">
        <f>[1]!Tabla1[[#This Row],[1.7]]</f>
        <v>0 F</v>
      </c>
      <c r="K39" s="39" t="str">
        <f>[1]!Tabla1[[#This Row],[1.8]]</f>
        <v>1 P</v>
      </c>
      <c r="L39" s="39" t="str">
        <f>[1]!Tabla1[[#This Row],[1.9]]</f>
        <v>1 P</v>
      </c>
      <c r="M39" s="39" t="str">
        <f>[1]!Tabla1[[#This Row],[1.10]]</f>
        <v>1 P</v>
      </c>
      <c r="N39" s="39" t="str">
        <f>[1]!Tabla1[[#This Row],[1.11]]</f>
        <v>1 P</v>
      </c>
      <c r="O39" s="39" t="str">
        <f>[1]!Tabla1[[#This Row],[1.12]]</f>
        <v>1 P</v>
      </c>
      <c r="P39" s="39" t="str">
        <f>[1]!Tabla1[[#This Row],[1.13]]</f>
        <v>1 P</v>
      </c>
      <c r="Q39" s="39" t="str">
        <f>[1]!Tabla1[[#This Row],[1.14]]</f>
        <v>1 P</v>
      </c>
      <c r="R39" s="39" t="str">
        <f>[1]!Tabla1[[#This Row],[2.1]]</f>
        <v>0 F</v>
      </c>
      <c r="S39" s="39" t="str">
        <f>[1]!Tabla1[[#This Row],[2.2]]</f>
        <v>1 P</v>
      </c>
      <c r="T39" s="39" t="str">
        <f>[1]!Tabla1[[#This Row],[2.3]]</f>
        <v>1 P</v>
      </c>
      <c r="U39" s="39" t="str">
        <f>[1]!Tabla1[[#This Row],[2.4]]</f>
        <v>1 P</v>
      </c>
      <c r="V39" s="39" t="str">
        <f>[1]!Tabla1[[#This Row],[2.5]]</f>
        <v>1 P</v>
      </c>
      <c r="W39" s="39" t="str">
        <f>[1]!Tabla1[[#This Row],[2.6]]</f>
        <v>1 P</v>
      </c>
      <c r="X39" s="1">
        <f>[1]!Tabla1[[#This Row],[Fallos Nivel A]]</f>
        <v>1</v>
      </c>
      <c r="Y39" s="1">
        <f>[1]!Tabla1[[#This Row],[Fallos Nivel AA]]</f>
        <v>1</v>
      </c>
      <c r="Z39" s="1" t="str">
        <f>[1]!Tabla1[[#This Row],[Nivel de adecuación estimado original]]</f>
        <v>AA</v>
      </c>
      <c r="AA39" s="1" t="str">
        <f>[1]!Tabla1[[#This Row],[Check original]]</f>
        <v>AA</v>
      </c>
      <c r="AB39" s="1" t="str">
        <f>[1]!Tabla1[[#This Row],[Nivel de adecuación estimado sin 1.7 y 2.1]]</f>
        <v>AA</v>
      </c>
    </row>
    <row r="40" spans="1:28" x14ac:dyDescent="0.25">
      <c r="A40" s="1" t="str">
        <f>[1]!Tabla1[[#This Row],[Archivo]]</f>
        <v>4.0 GrPUB 38-74</v>
      </c>
      <c r="B40" s="1" t="str">
        <f>[1]!Tabla1[[#This Row],[Página]]</f>
        <v>Página 6</v>
      </c>
      <c r="C40" s="1" t="str">
        <f>[1]!Tabla1[[#This Row],[URL]]</f>
        <v>https://www.miteco.gob.es</v>
      </c>
      <c r="D40" s="39" t="str">
        <f>[1]!Tabla1[[#This Row],[1.1]]</f>
        <v>1 P</v>
      </c>
      <c r="E40" s="39" t="str">
        <f>[1]!Tabla1[[#This Row],[1.2]]</f>
        <v>1 P</v>
      </c>
      <c r="F40" s="39" t="str">
        <f>[1]!Tabla1[[#This Row],[1.3]]</f>
        <v>1 P</v>
      </c>
      <c r="G40" s="39" t="str">
        <f>[1]!Tabla1[[#This Row],[1.4]]</f>
        <v>- P</v>
      </c>
      <c r="H40" s="39" t="str">
        <f>[1]!Tabla1[[#This Row],[1.5]]</f>
        <v>1 P</v>
      </c>
      <c r="I40" s="39" t="str">
        <f>[1]!Tabla1[[#This Row],[1.6]]</f>
        <v>1 P</v>
      </c>
      <c r="J40" s="39" t="str">
        <f>[1]!Tabla1[[#This Row],[1.7]]</f>
        <v>0 F</v>
      </c>
      <c r="K40" s="39" t="str">
        <f>[1]!Tabla1[[#This Row],[1.8]]</f>
        <v>1 P</v>
      </c>
      <c r="L40" s="39" t="str">
        <f>[1]!Tabla1[[#This Row],[1.9]]</f>
        <v>1 P</v>
      </c>
      <c r="M40" s="39" t="str">
        <f>[1]!Tabla1[[#This Row],[1.10]]</f>
        <v>1 P</v>
      </c>
      <c r="N40" s="39" t="str">
        <f>[1]!Tabla1[[#This Row],[1.11]]</f>
        <v>1 P</v>
      </c>
      <c r="O40" s="39" t="str">
        <f>[1]!Tabla1[[#This Row],[1.12]]</f>
        <v>0 F</v>
      </c>
      <c r="P40" s="39" t="str">
        <f>[1]!Tabla1[[#This Row],[1.13]]</f>
        <v>1 P</v>
      </c>
      <c r="Q40" s="39" t="str">
        <f>[1]!Tabla1[[#This Row],[1.14]]</f>
        <v>0 F</v>
      </c>
      <c r="R40" s="39" t="str">
        <f>[1]!Tabla1[[#This Row],[2.1]]</f>
        <v>0 F</v>
      </c>
      <c r="S40" s="39" t="str">
        <f>[1]!Tabla1[[#This Row],[2.2]]</f>
        <v>1 P</v>
      </c>
      <c r="T40" s="39" t="str">
        <f>[1]!Tabla1[[#This Row],[2.3]]</f>
        <v>1 P</v>
      </c>
      <c r="U40" s="39" t="str">
        <f>[1]!Tabla1[[#This Row],[2.4]]</f>
        <v>1 P</v>
      </c>
      <c r="V40" s="39" t="str">
        <f>[1]!Tabla1[[#This Row],[2.5]]</f>
        <v>1 P</v>
      </c>
      <c r="W40" s="39" t="str">
        <f>[1]!Tabla1[[#This Row],[2.6]]</f>
        <v>1 P</v>
      </c>
      <c r="X40" s="1">
        <f>[1]!Tabla1[[#This Row],[Fallos Nivel A]]</f>
        <v>3</v>
      </c>
      <c r="Y40" s="1">
        <f>[1]!Tabla1[[#This Row],[Fallos Nivel AA]]</f>
        <v>1</v>
      </c>
      <c r="Z40" s="1" t="str">
        <f>[1]!Tabla1[[#This Row],[Nivel de adecuación estimado original]]</f>
        <v>No Válido</v>
      </c>
      <c r="AA40" s="1" t="str">
        <f>[1]!Tabla1[[#This Row],[Check original]]</f>
        <v>No válido</v>
      </c>
      <c r="AB40" s="1" t="str">
        <f>[1]!Tabla1[[#This Row],[Nivel de adecuación estimado sin 1.7 y 2.1]]</f>
        <v>AA</v>
      </c>
    </row>
    <row r="41" spans="1:28" x14ac:dyDescent="0.25">
      <c r="A41" s="1" t="str">
        <f>[1]!Tabla1[[#This Row],[Archivo]]</f>
        <v>4.0 GrPUB 38-74</v>
      </c>
      <c r="B41" s="1" t="str">
        <f>[1]!Tabla1[[#This Row],[Página]]</f>
        <v>Página 7</v>
      </c>
      <c r="C41" s="1" t="str">
        <f>[1]!Tabla1[[#This Row],[URL]]</f>
        <v>https://clave.gob.es/clave_Home/clave.html</v>
      </c>
      <c r="D41" s="39" t="str">
        <f>[1]!Tabla1[[#This Row],[1.1]]</f>
        <v>0 F</v>
      </c>
      <c r="E41" s="39" t="str">
        <f>[1]!Tabla1[[#This Row],[1.2]]</f>
        <v>1 P</v>
      </c>
      <c r="F41" s="39" t="str">
        <f>[1]!Tabla1[[#This Row],[1.3]]</f>
        <v>0 F</v>
      </c>
      <c r="G41" s="39" t="str">
        <f>[1]!Tabla1[[#This Row],[1.4]]</f>
        <v>- P</v>
      </c>
      <c r="H41" s="39" t="str">
        <f>[1]!Tabla1[[#This Row],[1.5]]</f>
        <v>1 P</v>
      </c>
      <c r="I41" s="39" t="str">
        <f>[1]!Tabla1[[#This Row],[1.6]]</f>
        <v>1 P</v>
      </c>
      <c r="J41" s="39" t="str">
        <f>[1]!Tabla1[[#This Row],[1.7]]</f>
        <v>0 F</v>
      </c>
      <c r="K41" s="39" t="str">
        <f>[1]!Tabla1[[#This Row],[1.8]]</f>
        <v>1 P</v>
      </c>
      <c r="L41" s="39" t="str">
        <f>[1]!Tabla1[[#This Row],[1.9]]</f>
        <v>1 P</v>
      </c>
      <c r="M41" s="39" t="str">
        <f>[1]!Tabla1[[#This Row],[1.10]]</f>
        <v>1 P</v>
      </c>
      <c r="N41" s="39" t="str">
        <f>[1]!Tabla1[[#This Row],[1.11]]</f>
        <v>1 P</v>
      </c>
      <c r="O41" s="39" t="str">
        <f>[1]!Tabla1[[#This Row],[1.12]]</f>
        <v>0 F</v>
      </c>
      <c r="P41" s="39" t="str">
        <f>[1]!Tabla1[[#This Row],[1.13]]</f>
        <v>1 P</v>
      </c>
      <c r="Q41" s="39" t="str">
        <f>[1]!Tabla1[[#This Row],[1.14]]</f>
        <v>0 F</v>
      </c>
      <c r="R41" s="39" t="str">
        <f>[1]!Tabla1[[#This Row],[2.1]]</f>
        <v>0 F</v>
      </c>
      <c r="S41" s="39" t="str">
        <f>[1]!Tabla1[[#This Row],[2.2]]</f>
        <v>1 P</v>
      </c>
      <c r="T41" s="39" t="str">
        <f>[1]!Tabla1[[#This Row],[2.3]]</f>
        <v>1 P</v>
      </c>
      <c r="U41" s="39" t="str">
        <f>[1]!Tabla1[[#This Row],[2.4]]</f>
        <v>1 P</v>
      </c>
      <c r="V41" s="39" t="str">
        <f>[1]!Tabla1[[#This Row],[2.5]]</f>
        <v>1 P</v>
      </c>
      <c r="W41" s="39" t="str">
        <f>[1]!Tabla1[[#This Row],[2.6]]</f>
        <v>1 P</v>
      </c>
      <c r="X41" s="1">
        <f>[1]!Tabla1[[#This Row],[Fallos Nivel A]]</f>
        <v>5</v>
      </c>
      <c r="Y41" s="1">
        <f>[1]!Tabla1[[#This Row],[Fallos Nivel AA]]</f>
        <v>1</v>
      </c>
      <c r="Z41" s="1" t="str">
        <f>[1]!Tabla1[[#This Row],[Nivel de adecuación estimado original]]</f>
        <v>No Válido</v>
      </c>
      <c r="AA41" s="1" t="str">
        <f>[1]!Tabla1[[#This Row],[Check original]]</f>
        <v>No válido</v>
      </c>
      <c r="AB41" s="1" t="str">
        <f>[1]!Tabla1[[#This Row],[Nivel de adecuación estimado sin 1.7 y 2.1]]</f>
        <v>No válido</v>
      </c>
    </row>
    <row r="42" spans="1:28" x14ac:dyDescent="0.25">
      <c r="A42" s="1" t="str">
        <f>[1]!Tabla1[[#This Row],[Archivo]]</f>
        <v>4.0 GrPUB 38-74</v>
      </c>
      <c r="B42" s="1" t="str">
        <f>[1]!Tabla1[[#This Row],[Página]]</f>
        <v>Página 8</v>
      </c>
      <c r="C42" s="1" t="str">
        <f>[1]!Tabla1[[#This Row],[URL]]</f>
        <v>https://www.aei.gob.es</v>
      </c>
      <c r="D42" s="39" t="str">
        <f>[1]!Tabla1[[#This Row],[1.1]]</f>
        <v>1 P</v>
      </c>
      <c r="E42" s="39" t="str">
        <f>[1]!Tabla1[[#This Row],[1.2]]</f>
        <v>1 P</v>
      </c>
      <c r="F42" s="39" t="str">
        <f>[1]!Tabla1[[#This Row],[1.3]]</f>
        <v>1 P</v>
      </c>
      <c r="G42" s="39" t="str">
        <f>[1]!Tabla1[[#This Row],[1.4]]</f>
        <v>1 P</v>
      </c>
      <c r="H42" s="39" t="str">
        <f>[1]!Tabla1[[#This Row],[1.5]]</f>
        <v>0 F</v>
      </c>
      <c r="I42" s="39" t="str">
        <f>[1]!Tabla1[[#This Row],[1.6]]</f>
        <v>0 F</v>
      </c>
      <c r="J42" s="39" t="str">
        <f>[1]!Tabla1[[#This Row],[1.7]]</f>
        <v>0 F</v>
      </c>
      <c r="K42" s="39" t="str">
        <f>[1]!Tabla1[[#This Row],[1.8]]</f>
        <v>1 P</v>
      </c>
      <c r="L42" s="39" t="str">
        <f>[1]!Tabla1[[#This Row],[1.9]]</f>
        <v>1 P</v>
      </c>
      <c r="M42" s="39" t="str">
        <f>[1]!Tabla1[[#This Row],[1.10]]</f>
        <v>1 P</v>
      </c>
      <c r="N42" s="39" t="str">
        <f>[1]!Tabla1[[#This Row],[1.11]]</f>
        <v>1 P</v>
      </c>
      <c r="O42" s="39" t="str">
        <f>[1]!Tabla1[[#This Row],[1.12]]</f>
        <v>1 P</v>
      </c>
      <c r="P42" s="39" t="str">
        <f>[1]!Tabla1[[#This Row],[1.13]]</f>
        <v>1 P</v>
      </c>
      <c r="Q42" s="39" t="str">
        <f>[1]!Tabla1[[#This Row],[1.14]]</f>
        <v>0 F</v>
      </c>
      <c r="R42" s="39" t="str">
        <f>[1]!Tabla1[[#This Row],[2.1]]</f>
        <v>0 F</v>
      </c>
      <c r="S42" s="39" t="str">
        <f>[1]!Tabla1[[#This Row],[2.2]]</f>
        <v>0 F</v>
      </c>
      <c r="T42" s="39" t="str">
        <f>[1]!Tabla1[[#This Row],[2.3]]</f>
        <v>1 P</v>
      </c>
      <c r="U42" s="39" t="str">
        <f>[1]!Tabla1[[#This Row],[2.4]]</f>
        <v>1 P</v>
      </c>
      <c r="V42" s="39" t="str">
        <f>[1]!Tabla1[[#This Row],[2.5]]</f>
        <v>1 P</v>
      </c>
      <c r="W42" s="39" t="str">
        <f>[1]!Tabla1[[#This Row],[2.6]]</f>
        <v>1 P</v>
      </c>
      <c r="X42" s="1">
        <f>[1]!Tabla1[[#This Row],[Fallos Nivel A]]</f>
        <v>4</v>
      </c>
      <c r="Y42" s="1">
        <f>[1]!Tabla1[[#This Row],[Fallos Nivel AA]]</f>
        <v>2</v>
      </c>
      <c r="Z42" s="1" t="str">
        <f>[1]!Tabla1[[#This Row],[Nivel de adecuación estimado original]]</f>
        <v>No Válido</v>
      </c>
      <c r="AA42" s="1" t="str">
        <f>[1]!Tabla1[[#This Row],[Check original]]</f>
        <v>No válido</v>
      </c>
      <c r="AB42" s="1" t="str">
        <f>[1]!Tabla1[[#This Row],[Nivel de adecuación estimado sin 1.7 y 2.1]]</f>
        <v>No válido</v>
      </c>
    </row>
    <row r="43" spans="1:28" x14ac:dyDescent="0.25">
      <c r="A43" s="1" t="str">
        <f>[1]!Tabla1[[#This Row],[Archivo]]</f>
        <v>4.0 GrPUB 38-74</v>
      </c>
      <c r="B43" s="1" t="str">
        <f>[1]!Tabla1[[#This Row],[Página]]</f>
        <v>Página 9</v>
      </c>
      <c r="C43" s="1" t="str">
        <f>[1]!Tabla1[[#This Row],[URL]]</f>
        <v>https://sede.dgt.gob.es/es/</v>
      </c>
      <c r="D43" s="39" t="str">
        <f>[1]!Tabla1[[#This Row],[1.1]]</f>
        <v>1 P</v>
      </c>
      <c r="E43" s="39" t="str">
        <f>[1]!Tabla1[[#This Row],[1.2]]</f>
        <v>1 P</v>
      </c>
      <c r="F43" s="39" t="str">
        <f>[1]!Tabla1[[#This Row],[1.3]]</f>
        <v>0 F</v>
      </c>
      <c r="G43" s="39" t="str">
        <f>[1]!Tabla1[[#This Row],[1.4]]</f>
        <v>- P</v>
      </c>
      <c r="H43" s="39" t="str">
        <f>[1]!Tabla1[[#This Row],[1.5]]</f>
        <v>0 F</v>
      </c>
      <c r="I43" s="39" t="str">
        <f>[1]!Tabla1[[#This Row],[1.6]]</f>
        <v>0 F</v>
      </c>
      <c r="J43" s="39" t="str">
        <f>[1]!Tabla1[[#This Row],[1.7]]</f>
        <v>0 F</v>
      </c>
      <c r="K43" s="39" t="str">
        <f>[1]!Tabla1[[#This Row],[1.8]]</f>
        <v>0 F</v>
      </c>
      <c r="L43" s="39" t="str">
        <f>[1]!Tabla1[[#This Row],[1.9]]</f>
        <v>0 F</v>
      </c>
      <c r="M43" s="39" t="str">
        <f>[1]!Tabla1[[#This Row],[1.10]]</f>
        <v>1 P</v>
      </c>
      <c r="N43" s="39" t="str">
        <f>[1]!Tabla1[[#This Row],[1.11]]</f>
        <v>0 F</v>
      </c>
      <c r="O43" s="39" t="str">
        <f>[1]!Tabla1[[#This Row],[1.12]]</f>
        <v>0 F</v>
      </c>
      <c r="P43" s="39" t="str">
        <f>[1]!Tabla1[[#This Row],[1.13]]</f>
        <v>1 P</v>
      </c>
      <c r="Q43" s="39" t="str">
        <f>[1]!Tabla1[[#This Row],[1.14]]</f>
        <v>0 F</v>
      </c>
      <c r="R43" s="39" t="str">
        <f>[1]!Tabla1[[#This Row],[2.1]]</f>
        <v>0 F</v>
      </c>
      <c r="S43" s="39" t="str">
        <f>[1]!Tabla1[[#This Row],[2.2]]</f>
        <v>0 F</v>
      </c>
      <c r="T43" s="39" t="str">
        <f>[1]!Tabla1[[#This Row],[2.3]]</f>
        <v>0 F</v>
      </c>
      <c r="U43" s="39" t="str">
        <f>[1]!Tabla1[[#This Row],[2.4]]</f>
        <v>1 P</v>
      </c>
      <c r="V43" s="39" t="str">
        <f>[1]!Tabla1[[#This Row],[2.5]]</f>
        <v>1 P</v>
      </c>
      <c r="W43" s="39" t="str">
        <f>[1]!Tabla1[[#This Row],[2.6]]</f>
        <v>0 F</v>
      </c>
      <c r="X43" s="1">
        <f>[1]!Tabla1[[#This Row],[Fallos Nivel A]]</f>
        <v>9</v>
      </c>
      <c r="Y43" s="1">
        <f>[1]!Tabla1[[#This Row],[Fallos Nivel AA]]</f>
        <v>4</v>
      </c>
      <c r="Z43" s="1" t="str">
        <f>[1]!Tabla1[[#This Row],[Nivel de adecuación estimado original]]</f>
        <v>No Válido</v>
      </c>
      <c r="AA43" s="1" t="str">
        <f>[1]!Tabla1[[#This Row],[Check original]]</f>
        <v>No válido</v>
      </c>
      <c r="AB43" s="1" t="str">
        <f>[1]!Tabla1[[#This Row],[Nivel de adecuación estimado sin 1.7 y 2.1]]</f>
        <v>No válido</v>
      </c>
    </row>
    <row r="44" spans="1:28" x14ac:dyDescent="0.25">
      <c r="A44" s="1" t="str">
        <f>[1]!Tabla1[[#This Row],[Archivo]]</f>
        <v>4.0 GrPUB 38-74</v>
      </c>
      <c r="B44" s="1" t="str">
        <f>[1]!Tabla1[[#This Row],[Página]]</f>
        <v>Página 10</v>
      </c>
      <c r="C44" s="1" t="str">
        <f>[1]!Tabla1[[#This Row],[URL]]</f>
        <v>https://sede.serviciosmin.gob.es/es-es/Paginas/Index.aspx</v>
      </c>
      <c r="D44" s="39" t="str">
        <f>[1]!Tabla1[[#This Row],[1.1]]</f>
        <v>1 P</v>
      </c>
      <c r="E44" s="39" t="str">
        <f>[1]!Tabla1[[#This Row],[1.2]]</f>
        <v>1 P</v>
      </c>
      <c r="F44" s="39" t="str">
        <f>[1]!Tabla1[[#This Row],[1.3]]</f>
        <v>1 P</v>
      </c>
      <c r="G44" s="39" t="str">
        <f>[1]!Tabla1[[#This Row],[1.4]]</f>
        <v>- P</v>
      </c>
      <c r="H44" s="39" t="str">
        <f>[1]!Tabla1[[#This Row],[1.5]]</f>
        <v>1 P</v>
      </c>
      <c r="I44" s="39" t="str">
        <f>[1]!Tabla1[[#This Row],[1.6]]</f>
        <v>0 F</v>
      </c>
      <c r="J44" s="39" t="str">
        <f>[1]!Tabla1[[#This Row],[1.7]]</f>
        <v>0 F</v>
      </c>
      <c r="K44" s="39" t="str">
        <f>[1]!Tabla1[[#This Row],[1.8]]</f>
        <v>1 P</v>
      </c>
      <c r="L44" s="39" t="str">
        <f>[1]!Tabla1[[#This Row],[1.9]]</f>
        <v>1 P</v>
      </c>
      <c r="M44" s="39" t="str">
        <f>[1]!Tabla1[[#This Row],[1.10]]</f>
        <v>1 P</v>
      </c>
      <c r="N44" s="39" t="str">
        <f>[1]!Tabla1[[#This Row],[1.11]]</f>
        <v>1 P</v>
      </c>
      <c r="O44" s="39" t="str">
        <f>[1]!Tabla1[[#This Row],[1.12]]</f>
        <v>1 P</v>
      </c>
      <c r="P44" s="39" t="str">
        <f>[1]!Tabla1[[#This Row],[1.13]]</f>
        <v>1 P</v>
      </c>
      <c r="Q44" s="39" t="str">
        <f>[1]!Tabla1[[#This Row],[1.14]]</f>
        <v>0 F</v>
      </c>
      <c r="R44" s="39" t="str">
        <f>[1]!Tabla1[[#This Row],[2.1]]</f>
        <v>0 F</v>
      </c>
      <c r="S44" s="39" t="str">
        <f>[1]!Tabla1[[#This Row],[2.2]]</f>
        <v>1 P</v>
      </c>
      <c r="T44" s="39" t="str">
        <f>[1]!Tabla1[[#This Row],[2.3]]</f>
        <v>1 P</v>
      </c>
      <c r="U44" s="39" t="str">
        <f>[1]!Tabla1[[#This Row],[2.4]]</f>
        <v>0 F</v>
      </c>
      <c r="V44" s="39" t="str">
        <f>[1]!Tabla1[[#This Row],[2.5]]</f>
        <v>1 P</v>
      </c>
      <c r="W44" s="39" t="str">
        <f>[1]!Tabla1[[#This Row],[2.6]]</f>
        <v>0 F</v>
      </c>
      <c r="X44" s="1">
        <f>[1]!Tabla1[[#This Row],[Fallos Nivel A]]</f>
        <v>3</v>
      </c>
      <c r="Y44" s="1">
        <f>[1]!Tabla1[[#This Row],[Fallos Nivel AA]]</f>
        <v>3</v>
      </c>
      <c r="Z44" s="1" t="str">
        <f>[1]!Tabla1[[#This Row],[Nivel de adecuación estimado original]]</f>
        <v>No Válido</v>
      </c>
      <c r="AA44" s="1" t="str">
        <f>[1]!Tabla1[[#This Row],[Check original]]</f>
        <v>No válido</v>
      </c>
      <c r="AB44" s="1" t="str">
        <f>[1]!Tabla1[[#This Row],[Nivel de adecuación estimado sin 1.7 y 2.1]]</f>
        <v>AA</v>
      </c>
    </row>
    <row r="45" spans="1:28" x14ac:dyDescent="0.25">
      <c r="A45" s="1" t="str">
        <f>[1]!Tabla1[[#This Row],[Archivo]]</f>
        <v>4.0 GrPUB 38-74</v>
      </c>
      <c r="B45" s="1" t="str">
        <f>[1]!Tabla1[[#This Row],[Página]]</f>
        <v>Página 11</v>
      </c>
      <c r="C45" s="1" t="str">
        <f>[1]!Tabla1[[#This Row],[URL]]</f>
        <v>https://www.administraciondejusticia.gob.es</v>
      </c>
      <c r="D45" s="39" t="str">
        <f>[1]!Tabla1[[#This Row],[1.1]]</f>
        <v>0 F</v>
      </c>
      <c r="E45" s="39" t="str">
        <f>[1]!Tabla1[[#This Row],[1.2]]</f>
        <v>0 F</v>
      </c>
      <c r="F45" s="39" t="str">
        <f>[1]!Tabla1[[#This Row],[1.3]]</f>
        <v>1 P</v>
      </c>
      <c r="G45" s="39" t="str">
        <f>[1]!Tabla1[[#This Row],[1.4]]</f>
        <v>- P</v>
      </c>
      <c r="H45" s="39" t="str">
        <f>[1]!Tabla1[[#This Row],[1.5]]</f>
        <v>1 P</v>
      </c>
      <c r="I45" s="39" t="str">
        <f>[1]!Tabla1[[#This Row],[1.6]]</f>
        <v>1 P</v>
      </c>
      <c r="J45" s="39" t="str">
        <f>[1]!Tabla1[[#This Row],[1.7]]</f>
        <v>0 F</v>
      </c>
      <c r="K45" s="39" t="str">
        <f>[1]!Tabla1[[#This Row],[1.8]]</f>
        <v>1 P</v>
      </c>
      <c r="L45" s="39" t="str">
        <f>[1]!Tabla1[[#This Row],[1.9]]</f>
        <v>1 P</v>
      </c>
      <c r="M45" s="39" t="str">
        <f>[1]!Tabla1[[#This Row],[1.10]]</f>
        <v>1 P</v>
      </c>
      <c r="N45" s="39" t="str">
        <f>[1]!Tabla1[[#This Row],[1.11]]</f>
        <v>1 P</v>
      </c>
      <c r="O45" s="39" t="str">
        <f>[1]!Tabla1[[#This Row],[1.12]]</f>
        <v>0 F</v>
      </c>
      <c r="P45" s="39" t="str">
        <f>[1]!Tabla1[[#This Row],[1.13]]</f>
        <v>1 P</v>
      </c>
      <c r="Q45" s="39" t="str">
        <f>[1]!Tabla1[[#This Row],[1.14]]</f>
        <v>1 P</v>
      </c>
      <c r="R45" s="39" t="str">
        <f>[1]!Tabla1[[#This Row],[2.1]]</f>
        <v>0 F</v>
      </c>
      <c r="S45" s="39" t="str">
        <f>[1]!Tabla1[[#This Row],[2.2]]</f>
        <v>1 P</v>
      </c>
      <c r="T45" s="39" t="str">
        <f>[1]!Tabla1[[#This Row],[2.3]]</f>
        <v>1 P</v>
      </c>
      <c r="U45" s="39" t="str">
        <f>[1]!Tabla1[[#This Row],[2.4]]</f>
        <v>1 P</v>
      </c>
      <c r="V45" s="39" t="str">
        <f>[1]!Tabla1[[#This Row],[2.5]]</f>
        <v>1 P</v>
      </c>
      <c r="W45" s="39" t="str">
        <f>[1]!Tabla1[[#This Row],[2.6]]</f>
        <v>0 F</v>
      </c>
      <c r="X45" s="1">
        <f>[1]!Tabla1[[#This Row],[Fallos Nivel A]]</f>
        <v>4</v>
      </c>
      <c r="Y45" s="1">
        <f>[1]!Tabla1[[#This Row],[Fallos Nivel AA]]</f>
        <v>2</v>
      </c>
      <c r="Z45" s="1" t="str">
        <f>[1]!Tabla1[[#This Row],[Nivel de adecuación estimado original]]</f>
        <v>No Válido</v>
      </c>
      <c r="AA45" s="1" t="str">
        <f>[1]!Tabla1[[#This Row],[Check original]]</f>
        <v>No válido</v>
      </c>
      <c r="AB45" s="1" t="str">
        <f>[1]!Tabla1[[#This Row],[Nivel de adecuación estimado sin 1.7 y 2.1]]</f>
        <v>No válido</v>
      </c>
    </row>
    <row r="46" spans="1:28" x14ac:dyDescent="0.25">
      <c r="A46" s="1" t="str">
        <f>[1]!Tabla1[[#This Row],[Archivo]]</f>
        <v>4.0 GrPUB 38-74</v>
      </c>
      <c r="B46" s="1" t="str">
        <f>[1]!Tabla1[[#This Row],[Página]]</f>
        <v>Página 12</v>
      </c>
      <c r="C46" s="1" t="str">
        <f>[1]!Tabla1[[#This Row],[URL]]</f>
        <v>https://www.aesan.gob.es</v>
      </c>
      <c r="D46" s="39" t="str">
        <f>[1]!Tabla1[[#This Row],[1.1]]</f>
        <v>0 F</v>
      </c>
      <c r="E46" s="39" t="str">
        <f>[1]!Tabla1[[#This Row],[1.2]]</f>
        <v>0 F</v>
      </c>
      <c r="F46" s="39" t="str">
        <f>[1]!Tabla1[[#This Row],[1.3]]</f>
        <v>1 P</v>
      </c>
      <c r="G46" s="39" t="str">
        <f>[1]!Tabla1[[#This Row],[1.4]]</f>
        <v>- P</v>
      </c>
      <c r="H46" s="39" t="str">
        <f>[1]!Tabla1[[#This Row],[1.5]]</f>
        <v>0 F</v>
      </c>
      <c r="I46" s="39" t="str">
        <f>[1]!Tabla1[[#This Row],[1.6]]</f>
        <v>1 P</v>
      </c>
      <c r="J46" s="39" t="str">
        <f>[1]!Tabla1[[#This Row],[1.7]]</f>
        <v>0 F</v>
      </c>
      <c r="K46" s="39" t="str">
        <f>[1]!Tabla1[[#This Row],[1.8]]</f>
        <v>0 F</v>
      </c>
      <c r="L46" s="39" t="str">
        <f>[1]!Tabla1[[#This Row],[1.9]]</f>
        <v>1 P</v>
      </c>
      <c r="M46" s="39" t="str">
        <f>[1]!Tabla1[[#This Row],[1.10]]</f>
        <v>1 P</v>
      </c>
      <c r="N46" s="39" t="str">
        <f>[1]!Tabla1[[#This Row],[1.11]]</f>
        <v>1 P</v>
      </c>
      <c r="O46" s="39" t="str">
        <f>[1]!Tabla1[[#This Row],[1.12]]</f>
        <v>0 F</v>
      </c>
      <c r="P46" s="39" t="str">
        <f>[1]!Tabla1[[#This Row],[1.13]]</f>
        <v>1 P</v>
      </c>
      <c r="Q46" s="39" t="str">
        <f>[1]!Tabla1[[#This Row],[1.14]]</f>
        <v>0 F</v>
      </c>
      <c r="R46" s="39" t="str">
        <f>[1]!Tabla1[[#This Row],[2.1]]</f>
        <v>0 F</v>
      </c>
      <c r="S46" s="39" t="str">
        <f>[1]!Tabla1[[#This Row],[2.2]]</f>
        <v>0 F</v>
      </c>
      <c r="T46" s="39" t="str">
        <f>[1]!Tabla1[[#This Row],[2.3]]</f>
        <v>1 P</v>
      </c>
      <c r="U46" s="39" t="str">
        <f>[1]!Tabla1[[#This Row],[2.4]]</f>
        <v>1 P</v>
      </c>
      <c r="V46" s="39" t="str">
        <f>[1]!Tabla1[[#This Row],[2.5]]</f>
        <v>0 F</v>
      </c>
      <c r="W46" s="39" t="str">
        <f>[1]!Tabla1[[#This Row],[2.6]]</f>
        <v>1 P</v>
      </c>
      <c r="X46" s="1">
        <f>[1]!Tabla1[[#This Row],[Fallos Nivel A]]</f>
        <v>7</v>
      </c>
      <c r="Y46" s="1">
        <f>[1]!Tabla1[[#This Row],[Fallos Nivel AA]]</f>
        <v>3</v>
      </c>
      <c r="Z46" s="1" t="str">
        <f>[1]!Tabla1[[#This Row],[Nivel de adecuación estimado original]]</f>
        <v>No Válido</v>
      </c>
      <c r="AA46" s="1" t="str">
        <f>[1]!Tabla1[[#This Row],[Check original]]</f>
        <v>No válido</v>
      </c>
      <c r="AB46" s="1" t="str">
        <f>[1]!Tabla1[[#This Row],[Nivel de adecuación estimado sin 1.7 y 2.1]]</f>
        <v>No válido</v>
      </c>
    </row>
    <row r="47" spans="1:28" x14ac:dyDescent="0.25">
      <c r="A47" s="1" t="str">
        <f>[1]!Tabla1[[#This Row],[Archivo]]</f>
        <v>4.0 GrPUB 38-74</v>
      </c>
      <c r="B47" s="1" t="str">
        <f>[1]!Tabla1[[#This Row],[Página]]</f>
        <v>Página 13</v>
      </c>
      <c r="C47" s="1" t="str">
        <f>[1]!Tabla1[[#This Row],[URL]]</f>
        <v>https://sigpac.mapa.gob.es/fega/visor/</v>
      </c>
      <c r="D47" s="39" t="str">
        <f>[1]!Tabla1[[#This Row],[1.1]]</f>
        <v>0 F</v>
      </c>
      <c r="E47" s="39" t="str">
        <f>[1]!Tabla1[[#This Row],[1.2]]</f>
        <v>0 F</v>
      </c>
      <c r="F47" s="39" t="str">
        <f>[1]!Tabla1[[#This Row],[1.3]]</f>
        <v>0 F</v>
      </c>
      <c r="G47" s="39" t="str">
        <f>[1]!Tabla1[[#This Row],[1.4]]</f>
        <v>0 F</v>
      </c>
      <c r="H47" s="39" t="str">
        <f>[1]!Tabla1[[#This Row],[1.5]]</f>
        <v>1 P</v>
      </c>
      <c r="I47" s="39" t="str">
        <f>[1]!Tabla1[[#This Row],[1.6]]</f>
        <v>0 F</v>
      </c>
      <c r="J47" s="39" t="str">
        <f>[1]!Tabla1[[#This Row],[1.7]]</f>
        <v>0 F</v>
      </c>
      <c r="K47" s="39" t="str">
        <f>[1]!Tabla1[[#This Row],[1.8]]</f>
        <v>1 P</v>
      </c>
      <c r="L47" s="39" t="str">
        <f>[1]!Tabla1[[#This Row],[1.9]]</f>
        <v>0 F</v>
      </c>
      <c r="M47" s="39" t="str">
        <f>[1]!Tabla1[[#This Row],[1.10]]</f>
        <v>1 P</v>
      </c>
      <c r="N47" s="39" t="str">
        <f>[1]!Tabla1[[#This Row],[1.11]]</f>
        <v>1 P</v>
      </c>
      <c r="O47" s="39" t="str">
        <f>[1]!Tabla1[[#This Row],[1.12]]</f>
        <v>- P</v>
      </c>
      <c r="P47" s="39" t="str">
        <f>[1]!Tabla1[[#This Row],[1.13]]</f>
        <v>1 P</v>
      </c>
      <c r="Q47" s="39" t="str">
        <f>[1]!Tabla1[[#This Row],[1.14]]</f>
        <v>1 P</v>
      </c>
      <c r="R47" s="39" t="str">
        <f>[1]!Tabla1[[#This Row],[2.1]]</f>
        <v>0 F</v>
      </c>
      <c r="S47" s="39" t="str">
        <f>[1]!Tabla1[[#This Row],[2.2]]</f>
        <v>1 P</v>
      </c>
      <c r="T47" s="39" t="str">
        <f>[1]!Tabla1[[#This Row],[2.3]]</f>
        <v>0 F</v>
      </c>
      <c r="U47" s="39" t="str">
        <f>[1]!Tabla1[[#This Row],[2.4]]</f>
        <v>0 F</v>
      </c>
      <c r="V47" s="39" t="str">
        <f>[1]!Tabla1[[#This Row],[2.5]]</f>
        <v>1 P</v>
      </c>
      <c r="W47" s="39" t="str">
        <f>[1]!Tabla1[[#This Row],[2.6]]</f>
        <v>- P</v>
      </c>
      <c r="X47" s="1">
        <f>[1]!Tabla1[[#This Row],[Fallos Nivel A]]</f>
        <v>7</v>
      </c>
      <c r="Y47" s="1">
        <f>[1]!Tabla1[[#This Row],[Fallos Nivel AA]]</f>
        <v>3</v>
      </c>
      <c r="Z47" s="1" t="str">
        <f>[1]!Tabla1[[#This Row],[Nivel de adecuación estimado original]]</f>
        <v>No Válido</v>
      </c>
      <c r="AA47" s="1" t="str">
        <f>[1]!Tabla1[[#This Row],[Check original]]</f>
        <v>No válido</v>
      </c>
      <c r="AB47" s="1" t="str">
        <f>[1]!Tabla1[[#This Row],[Nivel de adecuación estimado sin 1.7 y 2.1]]</f>
        <v>No válido</v>
      </c>
    </row>
    <row r="48" spans="1:28" x14ac:dyDescent="0.25">
      <c r="A48" s="1" t="str">
        <f>[1]!Tabla1[[#This Row],[Archivo]]</f>
        <v>4.0 GrPUB 38-74</v>
      </c>
      <c r="B48" s="1" t="str">
        <f>[1]!Tabla1[[#This Row],[Página]]</f>
        <v>Página 14</v>
      </c>
      <c r="C48" s="1" t="str">
        <f>[1]!Tabla1[[#This Row],[URL]]</f>
        <v>https://sede.csic.gob.es</v>
      </c>
      <c r="D48" s="39" t="str">
        <f>[1]!Tabla1[[#This Row],[1.1]]</f>
        <v>1 P</v>
      </c>
      <c r="E48" s="39" t="str">
        <f>[1]!Tabla1[[#This Row],[1.2]]</f>
        <v>1 P</v>
      </c>
      <c r="F48" s="39" t="str">
        <f>[1]!Tabla1[[#This Row],[1.3]]</f>
        <v>1 P</v>
      </c>
      <c r="G48" s="39" t="str">
        <f>[1]!Tabla1[[#This Row],[1.4]]</f>
        <v>1 P</v>
      </c>
      <c r="H48" s="39" t="str">
        <f>[1]!Tabla1[[#This Row],[1.5]]</f>
        <v>0 F</v>
      </c>
      <c r="I48" s="39" t="str">
        <f>[1]!Tabla1[[#This Row],[1.6]]</f>
        <v>1 P</v>
      </c>
      <c r="J48" s="39" t="str">
        <f>[1]!Tabla1[[#This Row],[1.7]]</f>
        <v>0 F</v>
      </c>
      <c r="K48" s="39" t="str">
        <f>[1]!Tabla1[[#This Row],[1.8]]</f>
        <v>0 F</v>
      </c>
      <c r="L48" s="39" t="str">
        <f>[1]!Tabla1[[#This Row],[1.9]]</f>
        <v>1 P</v>
      </c>
      <c r="M48" s="39" t="str">
        <f>[1]!Tabla1[[#This Row],[1.10]]</f>
        <v>1 P</v>
      </c>
      <c r="N48" s="39" t="str">
        <f>[1]!Tabla1[[#This Row],[1.11]]</f>
        <v>1 P</v>
      </c>
      <c r="O48" s="39" t="str">
        <f>[1]!Tabla1[[#This Row],[1.12]]</f>
        <v>1 P</v>
      </c>
      <c r="P48" s="39" t="str">
        <f>[1]!Tabla1[[#This Row],[1.13]]</f>
        <v>1 P</v>
      </c>
      <c r="Q48" s="39" t="str">
        <f>[1]!Tabla1[[#This Row],[1.14]]</f>
        <v>1 P</v>
      </c>
      <c r="R48" s="39" t="str">
        <f>[1]!Tabla1[[#This Row],[2.1]]</f>
        <v>0 F</v>
      </c>
      <c r="S48" s="39" t="str">
        <f>[1]!Tabla1[[#This Row],[2.2]]</f>
        <v>1 P</v>
      </c>
      <c r="T48" s="39" t="str">
        <f>[1]!Tabla1[[#This Row],[2.3]]</f>
        <v>1 P</v>
      </c>
      <c r="U48" s="39" t="str">
        <f>[1]!Tabla1[[#This Row],[2.4]]</f>
        <v>1 P</v>
      </c>
      <c r="V48" s="39" t="str">
        <f>[1]!Tabla1[[#This Row],[2.5]]</f>
        <v>1 P</v>
      </c>
      <c r="W48" s="39" t="str">
        <f>[1]!Tabla1[[#This Row],[2.6]]</f>
        <v>1 P</v>
      </c>
      <c r="X48" s="1">
        <f>[1]!Tabla1[[#This Row],[Fallos Nivel A]]</f>
        <v>3</v>
      </c>
      <c r="Y48" s="1">
        <f>[1]!Tabla1[[#This Row],[Fallos Nivel AA]]</f>
        <v>1</v>
      </c>
      <c r="Z48" s="1" t="str">
        <f>[1]!Tabla1[[#This Row],[Nivel de adecuación estimado original]]</f>
        <v>No Válido</v>
      </c>
      <c r="AA48" s="1" t="str">
        <f>[1]!Tabla1[[#This Row],[Check original]]</f>
        <v>No válido</v>
      </c>
      <c r="AB48" s="1" t="str">
        <f>[1]!Tabla1[[#This Row],[Nivel de adecuación estimado sin 1.7 y 2.1]]</f>
        <v>AA</v>
      </c>
    </row>
    <row r="49" spans="1:28" x14ac:dyDescent="0.25">
      <c r="A49" s="1" t="str">
        <f>[1]!Tabla1[[#This Row],[Archivo]]</f>
        <v>4.0 GrPUB 38-74</v>
      </c>
      <c r="B49" s="1" t="str">
        <f>[1]!Tabla1[[#This Row],[Página]]</f>
        <v>Página 15</v>
      </c>
      <c r="C49" s="1" t="str">
        <f>[1]!Tabla1[[#This Row],[URL]]</f>
        <v>https://www.bne.gob.es/es</v>
      </c>
      <c r="D49" s="39" t="str">
        <f>[1]!Tabla1[[#This Row],[1.1]]</f>
        <v>1 P</v>
      </c>
      <c r="E49" s="39" t="str">
        <f>[1]!Tabla1[[#This Row],[1.2]]</f>
        <v>0 F</v>
      </c>
      <c r="F49" s="39" t="str">
        <f>[1]!Tabla1[[#This Row],[1.3]]</f>
        <v>1 P</v>
      </c>
      <c r="G49" s="39" t="str">
        <f>[1]!Tabla1[[#This Row],[1.4]]</f>
        <v>- P</v>
      </c>
      <c r="H49" s="39" t="str">
        <f>[1]!Tabla1[[#This Row],[1.5]]</f>
        <v>1 P</v>
      </c>
      <c r="I49" s="39" t="str">
        <f>[1]!Tabla1[[#This Row],[1.6]]</f>
        <v>1 P</v>
      </c>
      <c r="J49" s="39" t="str">
        <f>[1]!Tabla1[[#This Row],[1.7]]</f>
        <v>0 F</v>
      </c>
      <c r="K49" s="39" t="str">
        <f>[1]!Tabla1[[#This Row],[1.8]]</f>
        <v>1 P</v>
      </c>
      <c r="L49" s="39" t="str">
        <f>[1]!Tabla1[[#This Row],[1.9]]</f>
        <v>1 P</v>
      </c>
      <c r="M49" s="39" t="str">
        <f>[1]!Tabla1[[#This Row],[1.10]]</f>
        <v>1 P</v>
      </c>
      <c r="N49" s="39" t="str">
        <f>[1]!Tabla1[[#This Row],[1.11]]</f>
        <v>1 P</v>
      </c>
      <c r="O49" s="39" t="str">
        <f>[1]!Tabla1[[#This Row],[1.12]]</f>
        <v>1 P</v>
      </c>
      <c r="P49" s="39" t="str">
        <f>[1]!Tabla1[[#This Row],[1.13]]</f>
        <v>1 P</v>
      </c>
      <c r="Q49" s="39" t="str">
        <f>[1]!Tabla1[[#This Row],[1.14]]</f>
        <v>1 P</v>
      </c>
      <c r="R49" s="39" t="str">
        <f>[1]!Tabla1[[#This Row],[2.1]]</f>
        <v>0 F</v>
      </c>
      <c r="S49" s="39" t="str">
        <f>[1]!Tabla1[[#This Row],[2.2]]</f>
        <v>1 P</v>
      </c>
      <c r="T49" s="39" t="str">
        <f>[1]!Tabla1[[#This Row],[2.3]]</f>
        <v>1 P</v>
      </c>
      <c r="U49" s="39" t="str">
        <f>[1]!Tabla1[[#This Row],[2.4]]</f>
        <v>1 P</v>
      </c>
      <c r="V49" s="39" t="str">
        <f>[1]!Tabla1[[#This Row],[2.5]]</f>
        <v>0 F</v>
      </c>
      <c r="W49" s="39" t="str">
        <f>[1]!Tabla1[[#This Row],[2.6]]</f>
        <v>1 P</v>
      </c>
      <c r="X49" s="1">
        <f>[1]!Tabla1[[#This Row],[Fallos Nivel A]]</f>
        <v>2</v>
      </c>
      <c r="Y49" s="1">
        <f>[1]!Tabla1[[#This Row],[Fallos Nivel AA]]</f>
        <v>2</v>
      </c>
      <c r="Z49" s="1" t="str">
        <f>[1]!Tabla1[[#This Row],[Nivel de adecuación estimado original]]</f>
        <v>AA</v>
      </c>
      <c r="AA49" s="1" t="str">
        <f>[1]!Tabla1[[#This Row],[Check original]]</f>
        <v>AA</v>
      </c>
      <c r="AB49" s="1" t="str">
        <f>[1]!Tabla1[[#This Row],[Nivel de adecuación estimado sin 1.7 y 2.1]]</f>
        <v>AA</v>
      </c>
    </row>
    <row r="50" spans="1:28" x14ac:dyDescent="0.25">
      <c r="A50" s="1" t="str">
        <f>[1]!Tabla1[[#This Row],[Archivo]]</f>
        <v>4.0 GrPUB 38-74</v>
      </c>
      <c r="B50" s="1" t="str">
        <f>[1]!Tabla1[[#This Row],[Página]]</f>
        <v>Página 16</v>
      </c>
      <c r="C50" s="1" t="str">
        <f>[1]!Tabla1[[#This Row],[URL]]</f>
        <v>https://www.seguridadaerea.gob.es</v>
      </c>
      <c r="D50" s="39" t="str">
        <f>[1]!Tabla1[[#This Row],[1.1]]</f>
        <v>0 F</v>
      </c>
      <c r="E50" s="39" t="str">
        <f>[1]!Tabla1[[#This Row],[1.2]]</f>
        <v>0 F</v>
      </c>
      <c r="F50" s="39" t="str">
        <f>[1]!Tabla1[[#This Row],[1.3]]</f>
        <v>1 P</v>
      </c>
      <c r="G50" s="39" t="str">
        <f>[1]!Tabla1[[#This Row],[1.4]]</f>
        <v>- P</v>
      </c>
      <c r="H50" s="39" t="str">
        <f>[1]!Tabla1[[#This Row],[1.5]]</f>
        <v>1 P</v>
      </c>
      <c r="I50" s="39" t="str">
        <f>[1]!Tabla1[[#This Row],[1.6]]</f>
        <v>1 P</v>
      </c>
      <c r="J50" s="39" t="str">
        <f>[1]!Tabla1[[#This Row],[1.7]]</f>
        <v>0 F</v>
      </c>
      <c r="K50" s="39" t="str">
        <f>[1]!Tabla1[[#This Row],[1.8]]</f>
        <v>1 P</v>
      </c>
      <c r="L50" s="39" t="str">
        <f>[1]!Tabla1[[#This Row],[1.9]]</f>
        <v>1 P</v>
      </c>
      <c r="M50" s="39" t="str">
        <f>[1]!Tabla1[[#This Row],[1.10]]</f>
        <v>1 P</v>
      </c>
      <c r="N50" s="39" t="str">
        <f>[1]!Tabla1[[#This Row],[1.11]]</f>
        <v>1 P</v>
      </c>
      <c r="O50" s="39" t="str">
        <f>[1]!Tabla1[[#This Row],[1.12]]</f>
        <v>0 F</v>
      </c>
      <c r="P50" s="39" t="str">
        <f>[1]!Tabla1[[#This Row],[1.13]]</f>
        <v>1 P</v>
      </c>
      <c r="Q50" s="39" t="str">
        <f>[1]!Tabla1[[#This Row],[1.14]]</f>
        <v>0 F</v>
      </c>
      <c r="R50" s="39" t="str">
        <f>[1]!Tabla1[[#This Row],[2.1]]</f>
        <v>0 F</v>
      </c>
      <c r="S50" s="39" t="str">
        <f>[1]!Tabla1[[#This Row],[2.2]]</f>
        <v>0 F</v>
      </c>
      <c r="T50" s="39" t="str">
        <f>[1]!Tabla1[[#This Row],[2.3]]</f>
        <v>1 P</v>
      </c>
      <c r="U50" s="39" t="str">
        <f>[1]!Tabla1[[#This Row],[2.4]]</f>
        <v>1 P</v>
      </c>
      <c r="V50" s="39" t="str">
        <f>[1]!Tabla1[[#This Row],[2.5]]</f>
        <v>0 F</v>
      </c>
      <c r="W50" s="39" t="str">
        <f>[1]!Tabla1[[#This Row],[2.6]]</f>
        <v>1 P</v>
      </c>
      <c r="X50" s="1">
        <f>[1]!Tabla1[[#This Row],[Fallos Nivel A]]</f>
        <v>5</v>
      </c>
      <c r="Y50" s="1">
        <f>[1]!Tabla1[[#This Row],[Fallos Nivel AA]]</f>
        <v>3</v>
      </c>
      <c r="Z50" s="1" t="str">
        <f>[1]!Tabla1[[#This Row],[Nivel de adecuación estimado original]]</f>
        <v>No Válido</v>
      </c>
      <c r="AA50" s="1" t="str">
        <f>[1]!Tabla1[[#This Row],[Check original]]</f>
        <v>No válido</v>
      </c>
      <c r="AB50" s="1" t="str">
        <f>[1]!Tabla1[[#This Row],[Nivel de adecuación estimado sin 1.7 y 2.1]]</f>
        <v>No válido</v>
      </c>
    </row>
    <row r="51" spans="1:28" x14ac:dyDescent="0.25">
      <c r="A51" s="1" t="str">
        <f>[1]!Tabla1[[#This Row],[Archivo]]</f>
        <v>4.0 GrPUB 38-74</v>
      </c>
      <c r="B51" s="1" t="str">
        <f>[1]!Tabla1[[#This Row],[Página]]</f>
        <v>Página 17</v>
      </c>
      <c r="C51" s="1" t="str">
        <f>[1]!Tabla1[[#This Row],[URL]]</f>
        <v>https://www.igualdad.gob.es</v>
      </c>
      <c r="D51" s="39" t="str">
        <f>[1]!Tabla1[[#This Row],[1.1]]</f>
        <v>1 P</v>
      </c>
      <c r="E51" s="39" t="str">
        <f>[1]!Tabla1[[#This Row],[1.2]]</f>
        <v>1 P</v>
      </c>
      <c r="F51" s="39" t="str">
        <f>[1]!Tabla1[[#This Row],[1.3]]</f>
        <v>1 P</v>
      </c>
      <c r="G51" s="39" t="str">
        <f>[1]!Tabla1[[#This Row],[1.4]]</f>
        <v>1 P</v>
      </c>
      <c r="H51" s="39" t="str">
        <f>[1]!Tabla1[[#This Row],[1.5]]</f>
        <v>0 F</v>
      </c>
      <c r="I51" s="39" t="str">
        <f>[1]!Tabla1[[#This Row],[1.6]]</f>
        <v>0 F</v>
      </c>
      <c r="J51" s="39" t="str">
        <f>[1]!Tabla1[[#This Row],[1.7]]</f>
        <v>0 F</v>
      </c>
      <c r="K51" s="39" t="str">
        <f>[1]!Tabla1[[#This Row],[1.8]]</f>
        <v>1 P</v>
      </c>
      <c r="L51" s="39" t="str">
        <f>[1]!Tabla1[[#This Row],[1.9]]</f>
        <v>0 F</v>
      </c>
      <c r="M51" s="39" t="str">
        <f>[1]!Tabla1[[#This Row],[1.10]]</f>
        <v>1 P</v>
      </c>
      <c r="N51" s="39" t="str">
        <f>[1]!Tabla1[[#This Row],[1.11]]</f>
        <v>1 P</v>
      </c>
      <c r="O51" s="39" t="str">
        <f>[1]!Tabla1[[#This Row],[1.12]]</f>
        <v>0 F</v>
      </c>
      <c r="P51" s="39" t="str">
        <f>[1]!Tabla1[[#This Row],[1.13]]</f>
        <v>1 P</v>
      </c>
      <c r="Q51" s="39" t="str">
        <f>[1]!Tabla1[[#This Row],[1.14]]</f>
        <v>0 F</v>
      </c>
      <c r="R51" s="39" t="str">
        <f>[1]!Tabla1[[#This Row],[2.1]]</f>
        <v>0 F</v>
      </c>
      <c r="S51" s="39" t="str">
        <f>[1]!Tabla1[[#This Row],[2.2]]</f>
        <v>1 P</v>
      </c>
      <c r="T51" s="39" t="str">
        <f>[1]!Tabla1[[#This Row],[2.3]]</f>
        <v>1 P</v>
      </c>
      <c r="U51" s="39" t="str">
        <f>[1]!Tabla1[[#This Row],[2.4]]</f>
        <v>1 P</v>
      </c>
      <c r="V51" s="39" t="str">
        <f>[1]!Tabla1[[#This Row],[2.5]]</f>
        <v>1 P</v>
      </c>
      <c r="W51" s="39" t="str">
        <f>[1]!Tabla1[[#This Row],[2.6]]</f>
        <v>1 P</v>
      </c>
      <c r="X51" s="1">
        <f>[1]!Tabla1[[#This Row],[Fallos Nivel A]]</f>
        <v>6</v>
      </c>
      <c r="Y51" s="1">
        <f>[1]!Tabla1[[#This Row],[Fallos Nivel AA]]</f>
        <v>1</v>
      </c>
      <c r="Z51" s="1" t="str">
        <f>[1]!Tabla1[[#This Row],[Nivel de adecuación estimado original]]</f>
        <v>No Válido</v>
      </c>
      <c r="AA51" s="1" t="str">
        <f>[1]!Tabla1[[#This Row],[Check original]]</f>
        <v>No válido</v>
      </c>
      <c r="AB51" s="1" t="str">
        <f>[1]!Tabla1[[#This Row],[Nivel de adecuación estimado sin 1.7 y 2.1]]</f>
        <v>No válido</v>
      </c>
    </row>
    <row r="52" spans="1:28" x14ac:dyDescent="0.25">
      <c r="A52" s="1" t="str">
        <f>[1]!Tabla1[[#This Row],[Archivo]]</f>
        <v>4.0 GrPUB 38-74</v>
      </c>
      <c r="B52" s="1" t="str">
        <f>[1]!Tabla1[[#This Row],[Página]]</f>
        <v>Página 18</v>
      </c>
      <c r="C52" s="1" t="str">
        <f>[1]!Tabla1[[#This Row],[URL]]</f>
        <v>https://www.exteriores.gob.es/es/Paginas/index.aspx</v>
      </c>
      <c r="D52" s="39" t="str">
        <f>[1]!Tabla1[[#This Row],[1.1]]</f>
        <v>1 P</v>
      </c>
      <c r="E52" s="39" t="str">
        <f>[1]!Tabla1[[#This Row],[1.2]]</f>
        <v>1 P</v>
      </c>
      <c r="F52" s="39" t="str">
        <f>[1]!Tabla1[[#This Row],[1.3]]</f>
        <v>1 P</v>
      </c>
      <c r="G52" s="39" t="str">
        <f>[1]!Tabla1[[#This Row],[1.4]]</f>
        <v>- P</v>
      </c>
      <c r="H52" s="39" t="str">
        <f>[1]!Tabla1[[#This Row],[1.5]]</f>
        <v>0 F</v>
      </c>
      <c r="I52" s="39" t="str">
        <f>[1]!Tabla1[[#This Row],[1.6]]</f>
        <v>1 P</v>
      </c>
      <c r="J52" s="39" t="str">
        <f>[1]!Tabla1[[#This Row],[1.7]]</f>
        <v>0 F</v>
      </c>
      <c r="K52" s="39" t="str">
        <f>[1]!Tabla1[[#This Row],[1.8]]</f>
        <v>1 P</v>
      </c>
      <c r="L52" s="39" t="str">
        <f>[1]!Tabla1[[#This Row],[1.9]]</f>
        <v>0 F</v>
      </c>
      <c r="M52" s="39" t="str">
        <f>[1]!Tabla1[[#This Row],[1.10]]</f>
        <v>0 F</v>
      </c>
      <c r="N52" s="39" t="str">
        <f>[1]!Tabla1[[#This Row],[1.11]]</f>
        <v>1 P</v>
      </c>
      <c r="O52" s="39" t="str">
        <f>[1]!Tabla1[[#This Row],[1.12]]</f>
        <v>0 F</v>
      </c>
      <c r="P52" s="39" t="str">
        <f>[1]!Tabla1[[#This Row],[1.13]]</f>
        <v>1 P</v>
      </c>
      <c r="Q52" s="39" t="str">
        <f>[1]!Tabla1[[#This Row],[1.14]]</f>
        <v>1 P</v>
      </c>
      <c r="R52" s="39" t="str">
        <f>[1]!Tabla1[[#This Row],[2.1]]</f>
        <v>0 F</v>
      </c>
      <c r="S52" s="39" t="str">
        <f>[1]!Tabla1[[#This Row],[2.2]]</f>
        <v>1 P</v>
      </c>
      <c r="T52" s="39" t="str">
        <f>[1]!Tabla1[[#This Row],[2.3]]</f>
        <v>1 P</v>
      </c>
      <c r="U52" s="39" t="str">
        <f>[1]!Tabla1[[#This Row],[2.4]]</f>
        <v>1 P</v>
      </c>
      <c r="V52" s="39" t="str">
        <f>[1]!Tabla1[[#This Row],[2.5]]</f>
        <v>0 F</v>
      </c>
      <c r="W52" s="39" t="str">
        <f>[1]!Tabla1[[#This Row],[2.6]]</f>
        <v>1 P</v>
      </c>
      <c r="X52" s="1">
        <f>[1]!Tabla1[[#This Row],[Fallos Nivel A]]</f>
        <v>5</v>
      </c>
      <c r="Y52" s="1">
        <f>[1]!Tabla1[[#This Row],[Fallos Nivel AA]]</f>
        <v>2</v>
      </c>
      <c r="Z52" s="1" t="str">
        <f>[1]!Tabla1[[#This Row],[Nivel de adecuación estimado original]]</f>
        <v>No Válido</v>
      </c>
      <c r="AA52" s="1" t="str">
        <f>[1]!Tabla1[[#This Row],[Check original]]</f>
        <v>No válido</v>
      </c>
      <c r="AB52" s="1" t="str">
        <f>[1]!Tabla1[[#This Row],[Nivel de adecuación estimado sin 1.7 y 2.1]]</f>
        <v>No válido</v>
      </c>
    </row>
    <row r="53" spans="1:28" x14ac:dyDescent="0.25">
      <c r="A53" s="1" t="str">
        <f>[1]!Tabla1[[#This Row],[Archivo]]</f>
        <v>4.0 GrPUB 38-74</v>
      </c>
      <c r="B53" s="1" t="str">
        <f>[1]!Tabla1[[#This Row],[Página]]</f>
        <v>Página 19</v>
      </c>
      <c r="C53" s="1" t="str">
        <f>[1]!Tabla1[[#This Row],[URL]]</f>
        <v>https://sede.muface.gob.es</v>
      </c>
      <c r="D53" s="39" t="str">
        <f>[1]!Tabla1[[#This Row],[1.1]]</f>
        <v>0 F</v>
      </c>
      <c r="E53" s="39" t="str">
        <f>[1]!Tabla1[[#This Row],[1.2]]</f>
        <v>0 F</v>
      </c>
      <c r="F53" s="39" t="str">
        <f>[1]!Tabla1[[#This Row],[1.3]]</f>
        <v>0 F</v>
      </c>
      <c r="G53" s="39" t="str">
        <f>[1]!Tabla1[[#This Row],[1.4]]</f>
        <v>1 P</v>
      </c>
      <c r="H53" s="39" t="str">
        <f>[1]!Tabla1[[#This Row],[1.5]]</f>
        <v>1 P</v>
      </c>
      <c r="I53" s="39" t="str">
        <f>[1]!Tabla1[[#This Row],[1.6]]</f>
        <v>0 F</v>
      </c>
      <c r="J53" s="39" t="str">
        <f>[1]!Tabla1[[#This Row],[1.7]]</f>
        <v>0 F</v>
      </c>
      <c r="K53" s="39" t="str">
        <f>[1]!Tabla1[[#This Row],[1.8]]</f>
        <v>1 P</v>
      </c>
      <c r="L53" s="39" t="str">
        <f>[1]!Tabla1[[#This Row],[1.9]]</f>
        <v>- P</v>
      </c>
      <c r="M53" s="39" t="str">
        <f>[1]!Tabla1[[#This Row],[1.10]]</f>
        <v>- P</v>
      </c>
      <c r="N53" s="39" t="str">
        <f>[1]!Tabla1[[#This Row],[1.11]]</f>
        <v>1 P</v>
      </c>
      <c r="O53" s="39" t="str">
        <f>[1]!Tabla1[[#This Row],[1.12]]</f>
        <v>0 F</v>
      </c>
      <c r="P53" s="39" t="str">
        <f>[1]!Tabla1[[#This Row],[1.13]]</f>
        <v>1 P</v>
      </c>
      <c r="Q53" s="39" t="str">
        <f>[1]!Tabla1[[#This Row],[1.14]]</f>
        <v>0 F</v>
      </c>
      <c r="R53" s="39" t="str">
        <f>[1]!Tabla1[[#This Row],[2.1]]</f>
        <v>0 F</v>
      </c>
      <c r="S53" s="39" t="str">
        <f>[1]!Tabla1[[#This Row],[2.2]]</f>
        <v>1 P</v>
      </c>
      <c r="T53" s="39" t="str">
        <f>[1]!Tabla1[[#This Row],[2.3]]</f>
        <v>1 P</v>
      </c>
      <c r="U53" s="39" t="str">
        <f>[1]!Tabla1[[#This Row],[2.4]]</f>
        <v>1 P</v>
      </c>
      <c r="V53" s="39" t="str">
        <f>[1]!Tabla1[[#This Row],[2.5]]</f>
        <v>1 P</v>
      </c>
      <c r="W53" s="39" t="str">
        <f>[1]!Tabla1[[#This Row],[2.6]]</f>
        <v>1 P</v>
      </c>
      <c r="X53" s="1">
        <f>[1]!Tabla1[[#This Row],[Fallos Nivel A]]</f>
        <v>7</v>
      </c>
      <c r="Y53" s="1">
        <f>[1]!Tabla1[[#This Row],[Fallos Nivel AA]]</f>
        <v>1</v>
      </c>
      <c r="Z53" s="1" t="str">
        <f>[1]!Tabla1[[#This Row],[Nivel de adecuación estimado original]]</f>
        <v>No Válido</v>
      </c>
      <c r="AA53" s="1" t="str">
        <f>[1]!Tabla1[[#This Row],[Check original]]</f>
        <v>No válido</v>
      </c>
      <c r="AB53" s="1" t="str">
        <f>[1]!Tabla1[[#This Row],[Nivel de adecuación estimado sin 1.7 y 2.1]]</f>
        <v>No válido</v>
      </c>
    </row>
    <row r="54" spans="1:28" x14ac:dyDescent="0.25">
      <c r="A54" s="1" t="str">
        <f>[1]!Tabla1[[#This Row],[Archivo]]</f>
        <v>4.0 GrPUB 38-74</v>
      </c>
      <c r="B54" s="1" t="str">
        <f>[1]!Tabla1[[#This Row],[Página]]</f>
        <v>Página 20</v>
      </c>
      <c r="C54" s="1" t="str">
        <f>[1]!Tabla1[[#This Row],[URL]]</f>
        <v>https://www.sedecatastro.gob.es</v>
      </c>
      <c r="D54" s="39" t="str">
        <f>[1]!Tabla1[[#This Row],[1.1]]</f>
        <v>1 P</v>
      </c>
      <c r="E54" s="39" t="str">
        <f>[1]!Tabla1[[#This Row],[1.2]]</f>
        <v>1 P</v>
      </c>
      <c r="F54" s="39" t="str">
        <f>[1]!Tabla1[[#This Row],[1.3]]</f>
        <v>1 P</v>
      </c>
      <c r="G54" s="39" t="str">
        <f>[1]!Tabla1[[#This Row],[1.4]]</f>
        <v>- P</v>
      </c>
      <c r="H54" s="39" t="str">
        <f>[1]!Tabla1[[#This Row],[1.5]]</f>
        <v>0 F</v>
      </c>
      <c r="I54" s="39" t="str">
        <f>[1]!Tabla1[[#This Row],[1.6]]</f>
        <v>1 P</v>
      </c>
      <c r="J54" s="39" t="str">
        <f>[1]!Tabla1[[#This Row],[1.7]]</f>
        <v>0 F</v>
      </c>
      <c r="K54" s="39" t="str">
        <f>[1]!Tabla1[[#This Row],[1.8]]</f>
        <v>1 P</v>
      </c>
      <c r="L54" s="39" t="str">
        <f>[1]!Tabla1[[#This Row],[1.9]]</f>
        <v>1 P</v>
      </c>
      <c r="M54" s="39" t="str">
        <f>[1]!Tabla1[[#This Row],[1.10]]</f>
        <v>0.5 P</v>
      </c>
      <c r="N54" s="39" t="str">
        <f>[1]!Tabla1[[#This Row],[1.11]]</f>
        <v>1 P</v>
      </c>
      <c r="O54" s="39" t="str">
        <f>[1]!Tabla1[[#This Row],[1.12]]</f>
        <v>1 P</v>
      </c>
      <c r="P54" s="39" t="str">
        <f>[1]!Tabla1[[#This Row],[1.13]]</f>
        <v>1 P</v>
      </c>
      <c r="Q54" s="39" t="str">
        <f>[1]!Tabla1[[#This Row],[1.14]]</f>
        <v>0 F</v>
      </c>
      <c r="R54" s="39" t="str">
        <f>[1]!Tabla1[[#This Row],[2.1]]</f>
        <v>0 F</v>
      </c>
      <c r="S54" s="39" t="str">
        <f>[1]!Tabla1[[#This Row],[2.2]]</f>
        <v>0 F</v>
      </c>
      <c r="T54" s="39" t="str">
        <f>[1]!Tabla1[[#This Row],[2.3]]</f>
        <v>1 P</v>
      </c>
      <c r="U54" s="39" t="str">
        <f>[1]!Tabla1[[#This Row],[2.4]]</f>
        <v>1 P</v>
      </c>
      <c r="V54" s="39" t="str">
        <f>[1]!Tabla1[[#This Row],[2.5]]</f>
        <v>1 P</v>
      </c>
      <c r="W54" s="39" t="str">
        <f>[1]!Tabla1[[#This Row],[2.6]]</f>
        <v>1 P</v>
      </c>
      <c r="X54" s="1">
        <f>[1]!Tabla1[[#This Row],[Fallos Nivel A]]</f>
        <v>3</v>
      </c>
      <c r="Y54" s="1">
        <f>[1]!Tabla1[[#This Row],[Fallos Nivel AA]]</f>
        <v>2</v>
      </c>
      <c r="Z54" s="1" t="str">
        <f>[1]!Tabla1[[#This Row],[Nivel de adecuación estimado original]]</f>
        <v>No Válido</v>
      </c>
      <c r="AA54" s="1" t="str">
        <f>[1]!Tabla1[[#This Row],[Check original]]</f>
        <v>No válido</v>
      </c>
      <c r="AB54" s="1" t="str">
        <f>[1]!Tabla1[[#This Row],[Nivel de adecuación estimado sin 1.7 y 2.1]]</f>
        <v>AA</v>
      </c>
    </row>
    <row r="55" spans="1:28" x14ac:dyDescent="0.25">
      <c r="A55" s="1" t="str">
        <f>[1]!Tabla1[[#This Row],[Archivo]]</f>
        <v>4.0 GrPUB 38-74</v>
      </c>
      <c r="B55" s="1" t="str">
        <f>[1]!Tabla1[[#This Row],[Página]]</f>
        <v>Página 21</v>
      </c>
      <c r="C55" s="1" t="str">
        <f>[1]!Tabla1[[#This Row],[URL]]</f>
        <v>https://cultura.sede.gob.es</v>
      </c>
      <c r="D55" s="39" t="str">
        <f>[1]!Tabla1[[#This Row],[1.1]]</f>
        <v>1 P</v>
      </c>
      <c r="E55" s="39" t="str">
        <f>[1]!Tabla1[[#This Row],[1.2]]</f>
        <v>1 P</v>
      </c>
      <c r="F55" s="39" t="str">
        <f>[1]!Tabla1[[#This Row],[1.3]]</f>
        <v>1 P</v>
      </c>
      <c r="G55" s="39" t="str">
        <f>[1]!Tabla1[[#This Row],[1.4]]</f>
        <v>- P</v>
      </c>
      <c r="H55" s="39" t="str">
        <f>[1]!Tabla1[[#This Row],[1.5]]</f>
        <v>1 P</v>
      </c>
      <c r="I55" s="39" t="str">
        <f>[1]!Tabla1[[#This Row],[1.6]]</f>
        <v>1 P</v>
      </c>
      <c r="J55" s="39" t="str">
        <f>[1]!Tabla1[[#This Row],[1.7]]</f>
        <v>0 F</v>
      </c>
      <c r="K55" s="39" t="str">
        <f>[1]!Tabla1[[#This Row],[1.8]]</f>
        <v>1 P</v>
      </c>
      <c r="L55" s="39" t="str">
        <f>[1]!Tabla1[[#This Row],[1.9]]</f>
        <v>- P</v>
      </c>
      <c r="M55" s="39" t="str">
        <f>[1]!Tabla1[[#This Row],[1.10]]</f>
        <v>- P</v>
      </c>
      <c r="N55" s="39" t="str">
        <f>[1]!Tabla1[[#This Row],[1.11]]</f>
        <v>1 P</v>
      </c>
      <c r="O55" s="39" t="str">
        <f>[1]!Tabla1[[#This Row],[1.12]]</f>
        <v>0 F</v>
      </c>
      <c r="P55" s="39" t="str">
        <f>[1]!Tabla1[[#This Row],[1.13]]</f>
        <v>1 P</v>
      </c>
      <c r="Q55" s="39" t="str">
        <f>[1]!Tabla1[[#This Row],[1.14]]</f>
        <v>1 P</v>
      </c>
      <c r="R55" s="39" t="str">
        <f>[1]!Tabla1[[#This Row],[2.1]]</f>
        <v>0 F</v>
      </c>
      <c r="S55" s="39" t="str">
        <f>[1]!Tabla1[[#This Row],[2.2]]</f>
        <v>1 P</v>
      </c>
      <c r="T55" s="39" t="str">
        <f>[1]!Tabla1[[#This Row],[2.3]]</f>
        <v>1 P</v>
      </c>
      <c r="U55" s="39" t="str">
        <f>[1]!Tabla1[[#This Row],[2.4]]</f>
        <v>0 F</v>
      </c>
      <c r="V55" s="39" t="str">
        <f>[1]!Tabla1[[#This Row],[2.5]]</f>
        <v>1 P</v>
      </c>
      <c r="W55" s="39" t="str">
        <f>[1]!Tabla1[[#This Row],[2.6]]</f>
        <v>1 P</v>
      </c>
      <c r="X55" s="1">
        <f>[1]!Tabla1[[#This Row],[Fallos Nivel A]]</f>
        <v>2</v>
      </c>
      <c r="Y55" s="1">
        <f>[1]!Tabla1[[#This Row],[Fallos Nivel AA]]</f>
        <v>2</v>
      </c>
      <c r="Z55" s="1" t="str">
        <f>[1]!Tabla1[[#This Row],[Nivel de adecuación estimado original]]</f>
        <v>AA</v>
      </c>
      <c r="AA55" s="1" t="str">
        <f>[1]!Tabla1[[#This Row],[Check original]]</f>
        <v>AA</v>
      </c>
      <c r="AB55" s="1" t="str">
        <f>[1]!Tabla1[[#This Row],[Nivel de adecuación estimado sin 1.7 y 2.1]]</f>
        <v>AA</v>
      </c>
    </row>
    <row r="56" spans="1:28" x14ac:dyDescent="0.25">
      <c r="A56" s="1" t="str">
        <f>[1]!Tabla1[[#This Row],[Archivo]]</f>
        <v>4.0 GrPUB 38-74</v>
      </c>
      <c r="B56" s="1" t="str">
        <f>[1]!Tabla1[[#This Row],[Página]]</f>
        <v>Página 22</v>
      </c>
      <c r="C56" s="1" t="str">
        <f>[1]!Tabla1[[#This Row],[URL]]</f>
        <v>https://firmaelectronica.gob.es</v>
      </c>
      <c r="D56" s="39" t="str">
        <f>[1]!Tabla1[[#This Row],[1.1]]</f>
        <v>1 P</v>
      </c>
      <c r="E56" s="39" t="str">
        <f>[1]!Tabla1[[#This Row],[1.2]]</f>
        <v>1 P</v>
      </c>
      <c r="F56" s="39" t="str">
        <f>[1]!Tabla1[[#This Row],[1.3]]</f>
        <v>1 P</v>
      </c>
      <c r="G56" s="39" t="str">
        <f>[1]!Tabla1[[#This Row],[1.4]]</f>
        <v>- P</v>
      </c>
      <c r="H56" s="39" t="str">
        <f>[1]!Tabla1[[#This Row],[1.5]]</f>
        <v>1 P</v>
      </c>
      <c r="I56" s="39" t="str">
        <f>[1]!Tabla1[[#This Row],[1.6]]</f>
        <v>1 P</v>
      </c>
      <c r="J56" s="39" t="str">
        <f>[1]!Tabla1[[#This Row],[1.7]]</f>
        <v>0 F</v>
      </c>
      <c r="K56" s="39" t="str">
        <f>[1]!Tabla1[[#This Row],[1.8]]</f>
        <v>1 P</v>
      </c>
      <c r="L56" s="39" t="str">
        <f>[1]!Tabla1[[#This Row],[1.9]]</f>
        <v>1 P</v>
      </c>
      <c r="M56" s="39" t="str">
        <f>[1]!Tabla1[[#This Row],[1.10]]</f>
        <v>1 P</v>
      </c>
      <c r="N56" s="39" t="str">
        <f>[1]!Tabla1[[#This Row],[1.11]]</f>
        <v>1 P</v>
      </c>
      <c r="O56" s="39" t="str">
        <f>[1]!Tabla1[[#This Row],[1.12]]</f>
        <v>1 P</v>
      </c>
      <c r="P56" s="39" t="str">
        <f>[1]!Tabla1[[#This Row],[1.13]]</f>
        <v>1 P</v>
      </c>
      <c r="Q56" s="39" t="str">
        <f>[1]!Tabla1[[#This Row],[1.14]]</f>
        <v>0 F</v>
      </c>
      <c r="R56" s="39" t="str">
        <f>[1]!Tabla1[[#This Row],[2.1]]</f>
        <v>0 F</v>
      </c>
      <c r="S56" s="39" t="str">
        <f>[1]!Tabla1[[#This Row],[2.2]]</f>
        <v>1 P</v>
      </c>
      <c r="T56" s="39" t="str">
        <f>[1]!Tabla1[[#This Row],[2.3]]</f>
        <v>1 P</v>
      </c>
      <c r="U56" s="39" t="str">
        <f>[1]!Tabla1[[#This Row],[2.4]]</f>
        <v>1 P</v>
      </c>
      <c r="V56" s="39" t="str">
        <f>[1]!Tabla1[[#This Row],[2.5]]</f>
        <v>1 P</v>
      </c>
      <c r="W56" s="39" t="str">
        <f>[1]!Tabla1[[#This Row],[2.6]]</f>
        <v>1 P</v>
      </c>
      <c r="X56" s="1">
        <f>[1]!Tabla1[[#This Row],[Fallos Nivel A]]</f>
        <v>2</v>
      </c>
      <c r="Y56" s="1">
        <f>[1]!Tabla1[[#This Row],[Fallos Nivel AA]]</f>
        <v>1</v>
      </c>
      <c r="Z56" s="1" t="str">
        <f>[1]!Tabla1[[#This Row],[Nivel de adecuación estimado original]]</f>
        <v>AA</v>
      </c>
      <c r="AA56" s="1" t="str">
        <f>[1]!Tabla1[[#This Row],[Check original]]</f>
        <v>AA</v>
      </c>
      <c r="AB56" s="1" t="str">
        <f>[1]!Tabla1[[#This Row],[Nivel de adecuación estimado sin 1.7 y 2.1]]</f>
        <v>AA</v>
      </c>
    </row>
    <row r="57" spans="1:28" x14ac:dyDescent="0.25">
      <c r="A57" s="1" t="str">
        <f>[1]!Tabla1[[#This Row],[Archivo]]</f>
        <v>4.0 GrPUB 38-74</v>
      </c>
      <c r="B57" s="1" t="str">
        <f>[1]!Tabla1[[#This Row],[Página]]</f>
        <v>Página 23</v>
      </c>
      <c r="C57" s="1" t="str">
        <f>[1]!Tabla1[[#This Row],[URL]]</f>
        <v>https://www.mjusticia.gob.es/es</v>
      </c>
      <c r="D57" s="39" t="str">
        <f>[1]!Tabla1[[#This Row],[1.1]]</f>
        <v>0 F</v>
      </c>
      <c r="E57" s="39" t="str">
        <f>[1]!Tabla1[[#This Row],[1.2]]</f>
        <v>0 F</v>
      </c>
      <c r="F57" s="39" t="str">
        <f>[1]!Tabla1[[#This Row],[1.3]]</f>
        <v>0 F</v>
      </c>
      <c r="G57" s="39" t="str">
        <f>[1]!Tabla1[[#This Row],[1.4]]</f>
        <v>- P</v>
      </c>
      <c r="H57" s="39" t="str">
        <f>[1]!Tabla1[[#This Row],[1.5]]</f>
        <v>1 P</v>
      </c>
      <c r="I57" s="39" t="str">
        <f>[1]!Tabla1[[#This Row],[1.6]]</f>
        <v>0 F</v>
      </c>
      <c r="J57" s="39" t="str">
        <f>[1]!Tabla1[[#This Row],[1.7]]</f>
        <v>0 F</v>
      </c>
      <c r="K57" s="39" t="str">
        <f>[1]!Tabla1[[#This Row],[1.8]]</f>
        <v>1 P</v>
      </c>
      <c r="L57" s="39" t="str">
        <f>[1]!Tabla1[[#This Row],[1.9]]</f>
        <v>0 F</v>
      </c>
      <c r="M57" s="39" t="str">
        <f>[1]!Tabla1[[#This Row],[1.10]]</f>
        <v>0 F</v>
      </c>
      <c r="N57" s="39" t="str">
        <f>[1]!Tabla1[[#This Row],[1.11]]</f>
        <v>1 P</v>
      </c>
      <c r="O57" s="39" t="str">
        <f>[1]!Tabla1[[#This Row],[1.12]]</f>
        <v>1 P</v>
      </c>
      <c r="P57" s="39" t="str">
        <f>[1]!Tabla1[[#This Row],[1.13]]</f>
        <v>1 P</v>
      </c>
      <c r="Q57" s="39" t="str">
        <f>[1]!Tabla1[[#This Row],[1.14]]</f>
        <v>0 F</v>
      </c>
      <c r="R57" s="39" t="str">
        <f>[1]!Tabla1[[#This Row],[2.1]]</f>
        <v>0 F</v>
      </c>
      <c r="S57" s="39" t="str">
        <f>[1]!Tabla1[[#This Row],[2.2]]</f>
        <v>1 P</v>
      </c>
      <c r="T57" s="39" t="str">
        <f>[1]!Tabla1[[#This Row],[2.3]]</f>
        <v>1 P</v>
      </c>
      <c r="U57" s="39" t="str">
        <f>[1]!Tabla1[[#This Row],[2.4]]</f>
        <v>1 P</v>
      </c>
      <c r="V57" s="39" t="str">
        <f>[1]!Tabla1[[#This Row],[2.5]]</f>
        <v>1 P</v>
      </c>
      <c r="W57" s="39" t="str">
        <f>[1]!Tabla1[[#This Row],[2.6]]</f>
        <v>1 P</v>
      </c>
      <c r="X57" s="1">
        <f>[1]!Tabla1[[#This Row],[Fallos Nivel A]]</f>
        <v>8</v>
      </c>
      <c r="Y57" s="1">
        <f>[1]!Tabla1[[#This Row],[Fallos Nivel AA]]</f>
        <v>1</v>
      </c>
      <c r="Z57" s="1" t="str">
        <f>[1]!Tabla1[[#This Row],[Nivel de adecuación estimado original]]</f>
        <v>No Válido</v>
      </c>
      <c r="AA57" s="1" t="str">
        <f>[1]!Tabla1[[#This Row],[Check original]]</f>
        <v>No válido</v>
      </c>
      <c r="AB57" s="1" t="str">
        <f>[1]!Tabla1[[#This Row],[Nivel de adecuación estimado sin 1.7 y 2.1]]</f>
        <v>No válido</v>
      </c>
    </row>
    <row r="58" spans="1:28" x14ac:dyDescent="0.25">
      <c r="A58" s="1" t="str">
        <f>[1]!Tabla1[[#This Row],[Archivo]]</f>
        <v>4.0 GrPUB 38-74</v>
      </c>
      <c r="B58" s="1" t="str">
        <f>[1]!Tabla1[[#This Row],[Página]]</f>
        <v>Página 24</v>
      </c>
      <c r="C58" s="1" t="str">
        <f>[1]!Tabla1[[#This Row],[URL]]</f>
        <v>https://ceuta.transparencialocal.gob.es</v>
      </c>
      <c r="D58" s="39" t="str">
        <f>[1]!Tabla1[[#This Row],[1.1]]</f>
        <v>1 P</v>
      </c>
      <c r="E58" s="39" t="str">
        <f>[1]!Tabla1[[#This Row],[1.2]]</f>
        <v>0 F</v>
      </c>
      <c r="F58" s="39" t="str">
        <f>[1]!Tabla1[[#This Row],[1.3]]</f>
        <v>1 P</v>
      </c>
      <c r="G58" s="39" t="str">
        <f>[1]!Tabla1[[#This Row],[1.4]]</f>
        <v>- P</v>
      </c>
      <c r="H58" s="39" t="str">
        <f>[1]!Tabla1[[#This Row],[1.5]]</f>
        <v>1 P</v>
      </c>
      <c r="I58" s="39" t="str">
        <f>[1]!Tabla1[[#This Row],[1.6]]</f>
        <v>1 P</v>
      </c>
      <c r="J58" s="39" t="str">
        <f>[1]!Tabla1[[#This Row],[1.7]]</f>
        <v>0 F</v>
      </c>
      <c r="K58" s="39" t="str">
        <f>[1]!Tabla1[[#This Row],[1.8]]</f>
        <v>0 F</v>
      </c>
      <c r="L58" s="39" t="str">
        <f>[1]!Tabla1[[#This Row],[1.9]]</f>
        <v>1 P</v>
      </c>
      <c r="M58" s="39" t="str">
        <f>[1]!Tabla1[[#This Row],[1.10]]</f>
        <v>1 P</v>
      </c>
      <c r="N58" s="39" t="str">
        <f>[1]!Tabla1[[#This Row],[1.11]]</f>
        <v>1 P</v>
      </c>
      <c r="O58" s="39" t="str">
        <f>[1]!Tabla1[[#This Row],[1.12]]</f>
        <v>0 F</v>
      </c>
      <c r="P58" s="39" t="str">
        <f>[1]!Tabla1[[#This Row],[1.13]]</f>
        <v>1 P</v>
      </c>
      <c r="Q58" s="39" t="str">
        <f>[1]!Tabla1[[#This Row],[1.14]]</f>
        <v>1 P</v>
      </c>
      <c r="R58" s="39" t="str">
        <f>[1]!Tabla1[[#This Row],[2.1]]</f>
        <v>0 F</v>
      </c>
      <c r="S58" s="39" t="str">
        <f>[1]!Tabla1[[#This Row],[2.2]]</f>
        <v>1 P</v>
      </c>
      <c r="T58" s="39" t="str">
        <f>[1]!Tabla1[[#This Row],[2.3]]</f>
        <v>0 F</v>
      </c>
      <c r="U58" s="39" t="str">
        <f>[1]!Tabla1[[#This Row],[2.4]]</f>
        <v>0 F</v>
      </c>
      <c r="V58" s="39" t="str">
        <f>[1]!Tabla1[[#This Row],[2.5]]</f>
        <v>1 P</v>
      </c>
      <c r="W58" s="39" t="str">
        <f>[1]!Tabla1[[#This Row],[2.6]]</f>
        <v>1 P</v>
      </c>
      <c r="X58" s="1">
        <f>[1]!Tabla1[[#This Row],[Fallos Nivel A]]</f>
        <v>4</v>
      </c>
      <c r="Y58" s="1">
        <f>[1]!Tabla1[[#This Row],[Fallos Nivel AA]]</f>
        <v>3</v>
      </c>
      <c r="Z58" s="1" t="str">
        <f>[1]!Tabla1[[#This Row],[Nivel de adecuación estimado original]]</f>
        <v>No Válido</v>
      </c>
      <c r="AA58" s="1" t="str">
        <f>[1]!Tabla1[[#This Row],[Check original]]</f>
        <v>No válido</v>
      </c>
      <c r="AB58" s="1" t="str">
        <f>[1]!Tabla1[[#This Row],[Nivel de adecuación estimado sin 1.7 y 2.1]]</f>
        <v>No válido</v>
      </c>
    </row>
    <row r="59" spans="1:28" x14ac:dyDescent="0.25">
      <c r="A59" s="1" t="str">
        <f>[1]!Tabla1[[#This Row],[Archivo]]</f>
        <v>4.0 GrPUB 38-74</v>
      </c>
      <c r="B59" s="1" t="str">
        <f>[1]!Tabla1[[#This Row],[Página]]</f>
        <v>Página 25</v>
      </c>
      <c r="C59" s="1" t="str">
        <f>[1]!Tabla1[[#This Row],[URL]]</f>
        <v>https://sede.agenciatributaria.gob.es</v>
      </c>
      <c r="D59" s="39" t="str">
        <f>[1]!Tabla1[[#This Row],[1.1]]</f>
        <v>1 P</v>
      </c>
      <c r="E59" s="39" t="str">
        <f>[1]!Tabla1[[#This Row],[1.2]]</f>
        <v>1 P</v>
      </c>
      <c r="F59" s="39" t="str">
        <f>[1]!Tabla1[[#This Row],[1.3]]</f>
        <v>1 P</v>
      </c>
      <c r="G59" s="39" t="str">
        <f>[1]!Tabla1[[#This Row],[1.4]]</f>
        <v>- P</v>
      </c>
      <c r="H59" s="39" t="str">
        <f>[1]!Tabla1[[#This Row],[1.5]]</f>
        <v>1 P</v>
      </c>
      <c r="I59" s="39" t="str">
        <f>[1]!Tabla1[[#This Row],[1.6]]</f>
        <v>1 P</v>
      </c>
      <c r="J59" s="39" t="str">
        <f>[1]!Tabla1[[#This Row],[1.7]]</f>
        <v>0 F</v>
      </c>
      <c r="K59" s="39" t="str">
        <f>[1]!Tabla1[[#This Row],[1.8]]</f>
        <v>1 P</v>
      </c>
      <c r="L59" s="39" t="str">
        <f>[1]!Tabla1[[#This Row],[1.9]]</f>
        <v>1 P</v>
      </c>
      <c r="M59" s="39" t="str">
        <f>[1]!Tabla1[[#This Row],[1.10]]</f>
        <v>1 P</v>
      </c>
      <c r="N59" s="39" t="str">
        <f>[1]!Tabla1[[#This Row],[1.11]]</f>
        <v>1 P</v>
      </c>
      <c r="O59" s="39" t="str">
        <f>[1]!Tabla1[[#This Row],[1.12]]</f>
        <v>1 P</v>
      </c>
      <c r="P59" s="39" t="str">
        <f>[1]!Tabla1[[#This Row],[1.13]]</f>
        <v>1 P</v>
      </c>
      <c r="Q59" s="39" t="str">
        <f>[1]!Tabla1[[#This Row],[1.14]]</f>
        <v>1 P</v>
      </c>
      <c r="R59" s="39" t="str">
        <f>[1]!Tabla1[[#This Row],[2.1]]</f>
        <v>0 F</v>
      </c>
      <c r="S59" s="39" t="str">
        <f>[1]!Tabla1[[#This Row],[2.2]]</f>
        <v>1 P</v>
      </c>
      <c r="T59" s="39" t="str">
        <f>[1]!Tabla1[[#This Row],[2.3]]</f>
        <v>1 P</v>
      </c>
      <c r="U59" s="39" t="str">
        <f>[1]!Tabla1[[#This Row],[2.4]]</f>
        <v>1 P</v>
      </c>
      <c r="V59" s="39" t="str">
        <f>[1]!Tabla1[[#This Row],[2.5]]</f>
        <v>1 P</v>
      </c>
      <c r="W59" s="39" t="str">
        <f>[1]!Tabla1[[#This Row],[2.6]]</f>
        <v>1 P</v>
      </c>
      <c r="X59" s="1">
        <f>[1]!Tabla1[[#This Row],[Fallos Nivel A]]</f>
        <v>1</v>
      </c>
      <c r="Y59" s="1">
        <f>[1]!Tabla1[[#This Row],[Fallos Nivel AA]]</f>
        <v>1</v>
      </c>
      <c r="Z59" s="1" t="str">
        <f>[1]!Tabla1[[#This Row],[Nivel de adecuación estimado original]]</f>
        <v>AA</v>
      </c>
      <c r="AA59" s="1" t="str">
        <f>[1]!Tabla1[[#This Row],[Check original]]</f>
        <v>AA</v>
      </c>
      <c r="AB59" s="1" t="str">
        <f>[1]!Tabla1[[#This Row],[Nivel de adecuación estimado sin 1.7 y 2.1]]</f>
        <v>AA</v>
      </c>
    </row>
    <row r="60" spans="1:28" x14ac:dyDescent="0.25">
      <c r="A60" s="1" t="str">
        <f>[1]!Tabla1[[#This Row],[Archivo]]</f>
        <v>4.0 GrPUB 38-74</v>
      </c>
      <c r="B60" s="1" t="str">
        <f>[1]!Tabla1[[#This Row],[Página]]</f>
        <v>Página 26</v>
      </c>
      <c r="C60" s="1" t="str">
        <f>[1]!Tabla1[[#This Row],[URL]]</f>
        <v>https://sedeclave.dgt.gob.es</v>
      </c>
      <c r="D60" s="39" t="str">
        <f>[1]!Tabla1[[#This Row],[1.1]]</f>
        <v>1 P</v>
      </c>
      <c r="E60" s="39" t="str">
        <f>[1]!Tabla1[[#This Row],[1.2]]</f>
        <v>1 P</v>
      </c>
      <c r="F60" s="39" t="str">
        <f>[1]!Tabla1[[#This Row],[1.3]]</f>
        <v>0 F</v>
      </c>
      <c r="G60" s="39" t="str">
        <f>[1]!Tabla1[[#This Row],[1.4]]</f>
        <v>- P</v>
      </c>
      <c r="H60" s="39" t="str">
        <f>[1]!Tabla1[[#This Row],[1.5]]</f>
        <v>0 F</v>
      </c>
      <c r="I60" s="39" t="str">
        <f>[1]!Tabla1[[#This Row],[1.6]]</f>
        <v>1 P</v>
      </c>
      <c r="J60" s="39" t="str">
        <f>[1]!Tabla1[[#This Row],[1.7]]</f>
        <v>0 F</v>
      </c>
      <c r="K60" s="39" t="str">
        <f>[1]!Tabla1[[#This Row],[1.8]]</f>
        <v>0 F</v>
      </c>
      <c r="L60" s="39" t="str">
        <f>[1]!Tabla1[[#This Row],[1.9]]</f>
        <v>0 F</v>
      </c>
      <c r="M60" s="39" t="str">
        <f>[1]!Tabla1[[#This Row],[1.10]]</f>
        <v>1 P</v>
      </c>
      <c r="N60" s="39" t="str">
        <f>[1]!Tabla1[[#This Row],[1.11]]</f>
        <v>0 F</v>
      </c>
      <c r="O60" s="39" t="str">
        <f>[1]!Tabla1[[#This Row],[1.12]]</f>
        <v>0 F</v>
      </c>
      <c r="P60" s="39" t="str">
        <f>[1]!Tabla1[[#This Row],[1.13]]</f>
        <v>1 P</v>
      </c>
      <c r="Q60" s="39" t="str">
        <f>[1]!Tabla1[[#This Row],[1.14]]</f>
        <v>0 F</v>
      </c>
      <c r="R60" s="39" t="str">
        <f>[1]!Tabla1[[#This Row],[2.1]]</f>
        <v>0 F</v>
      </c>
      <c r="S60" s="39" t="str">
        <f>[1]!Tabla1[[#This Row],[2.2]]</f>
        <v>1 P</v>
      </c>
      <c r="T60" s="39" t="str">
        <f>[1]!Tabla1[[#This Row],[2.3]]</f>
        <v>0 F</v>
      </c>
      <c r="U60" s="39" t="str">
        <f>[1]!Tabla1[[#This Row],[2.4]]</f>
        <v>1 P</v>
      </c>
      <c r="V60" s="39" t="str">
        <f>[1]!Tabla1[[#This Row],[2.5]]</f>
        <v>1 P</v>
      </c>
      <c r="W60" s="39" t="str">
        <f>[1]!Tabla1[[#This Row],[2.6]]</f>
        <v>0 F</v>
      </c>
      <c r="X60" s="1">
        <f>[1]!Tabla1[[#This Row],[Fallos Nivel A]]</f>
        <v>8</v>
      </c>
      <c r="Y60" s="1">
        <f>[1]!Tabla1[[#This Row],[Fallos Nivel AA]]</f>
        <v>3</v>
      </c>
      <c r="Z60" s="1" t="str">
        <f>[1]!Tabla1[[#This Row],[Nivel de adecuación estimado original]]</f>
        <v>No Válido</v>
      </c>
      <c r="AA60" s="1" t="str">
        <f>[1]!Tabla1[[#This Row],[Check original]]</f>
        <v>No válido</v>
      </c>
      <c r="AB60" s="1" t="str">
        <f>[1]!Tabla1[[#This Row],[Nivel de adecuación estimado sin 1.7 y 2.1]]</f>
        <v>No válido</v>
      </c>
    </row>
    <row r="61" spans="1:28" x14ac:dyDescent="0.25">
      <c r="A61" s="1" t="str">
        <f>[1]!Tabla1[[#This Row],[Archivo]]</f>
        <v>4.0 GrPUB 38-74</v>
      </c>
      <c r="B61" s="1" t="str">
        <f>[1]!Tabla1[[#This Row],[Página]]</f>
        <v>Página 27</v>
      </c>
      <c r="C61" s="1" t="str">
        <f>[1]!Tabla1[[#This Row],[URL]]</f>
        <v>https://www.mdsocialesa2030.gob.es</v>
      </c>
      <c r="D61" s="39" t="str">
        <f>[1]!Tabla1[[#This Row],[1.1]]</f>
        <v>1 P</v>
      </c>
      <c r="E61" s="39" t="str">
        <f>[1]!Tabla1[[#This Row],[1.2]]</f>
        <v>1 P</v>
      </c>
      <c r="F61" s="39" t="str">
        <f>[1]!Tabla1[[#This Row],[1.3]]</f>
        <v>1 P</v>
      </c>
      <c r="G61" s="39" t="str">
        <f>[1]!Tabla1[[#This Row],[1.4]]</f>
        <v>- P</v>
      </c>
      <c r="H61" s="39" t="str">
        <f>[1]!Tabla1[[#This Row],[1.5]]</f>
        <v>1 P</v>
      </c>
      <c r="I61" s="39" t="str">
        <f>[1]!Tabla1[[#This Row],[1.6]]</f>
        <v>0 F</v>
      </c>
      <c r="J61" s="39" t="str">
        <f>[1]!Tabla1[[#This Row],[1.7]]</f>
        <v>0 F</v>
      </c>
      <c r="K61" s="39" t="str">
        <f>[1]!Tabla1[[#This Row],[1.8]]</f>
        <v>1 P</v>
      </c>
      <c r="L61" s="39" t="str">
        <f>[1]!Tabla1[[#This Row],[1.9]]</f>
        <v>0 F</v>
      </c>
      <c r="M61" s="39" t="str">
        <f>[1]!Tabla1[[#This Row],[1.10]]</f>
        <v>1 P</v>
      </c>
      <c r="N61" s="39" t="str">
        <f>[1]!Tabla1[[#This Row],[1.11]]</f>
        <v>1 P</v>
      </c>
      <c r="O61" s="39" t="str">
        <f>[1]!Tabla1[[#This Row],[1.12]]</f>
        <v>0 F</v>
      </c>
      <c r="P61" s="39" t="str">
        <f>[1]!Tabla1[[#This Row],[1.13]]</f>
        <v>1 P</v>
      </c>
      <c r="Q61" s="39" t="str">
        <f>[1]!Tabla1[[#This Row],[1.14]]</f>
        <v>1 P</v>
      </c>
      <c r="R61" s="39" t="str">
        <f>[1]!Tabla1[[#This Row],[2.1]]</f>
        <v>0 F</v>
      </c>
      <c r="S61" s="39" t="str">
        <f>[1]!Tabla1[[#This Row],[2.2]]</f>
        <v>1 P</v>
      </c>
      <c r="T61" s="39" t="str">
        <f>[1]!Tabla1[[#This Row],[2.3]]</f>
        <v>1 P</v>
      </c>
      <c r="U61" s="39" t="str">
        <f>[1]!Tabla1[[#This Row],[2.4]]</f>
        <v>1 P</v>
      </c>
      <c r="V61" s="39" t="str">
        <f>[1]!Tabla1[[#This Row],[2.5]]</f>
        <v>1 P</v>
      </c>
      <c r="W61" s="39" t="str">
        <f>[1]!Tabla1[[#This Row],[2.6]]</f>
        <v>1 P</v>
      </c>
      <c r="X61" s="1">
        <f>[1]!Tabla1[[#This Row],[Fallos Nivel A]]</f>
        <v>4</v>
      </c>
      <c r="Y61" s="1">
        <f>[1]!Tabla1[[#This Row],[Fallos Nivel AA]]</f>
        <v>1</v>
      </c>
      <c r="Z61" s="1" t="str">
        <f>[1]!Tabla1[[#This Row],[Nivel de adecuación estimado original]]</f>
        <v>No Válido</v>
      </c>
      <c r="AA61" s="1" t="str">
        <f>[1]!Tabla1[[#This Row],[Check original]]</f>
        <v>No válido</v>
      </c>
      <c r="AB61" s="1" t="str">
        <f>[1]!Tabla1[[#This Row],[Nivel de adecuación estimado sin 1.7 y 2.1]]</f>
        <v>No válido</v>
      </c>
    </row>
    <row r="62" spans="1:28" x14ac:dyDescent="0.25">
      <c r="A62" s="1" t="str">
        <f>[1]!Tabla1[[#This Row],[Archivo]]</f>
        <v>4.0 GrPUB 38-74</v>
      </c>
      <c r="B62" s="1" t="str">
        <f>[1]!Tabla1[[#This Row],[Página]]</f>
        <v>Página 28</v>
      </c>
      <c r="C62" s="1" t="str">
        <f>[1]!Tabla1[[#This Row],[URL]]</f>
        <v>https://www.educacionyfp.gob.es/portada.html</v>
      </c>
      <c r="D62" s="39" t="str">
        <f>[1]!Tabla1[[#This Row],[1.1]]</f>
        <v>1 P</v>
      </c>
      <c r="E62" s="39" t="str">
        <f>[1]!Tabla1[[#This Row],[1.2]]</f>
        <v>1 P</v>
      </c>
      <c r="F62" s="39" t="str">
        <f>[1]!Tabla1[[#This Row],[1.3]]</f>
        <v>1 P</v>
      </c>
      <c r="G62" s="39" t="str">
        <f>[1]!Tabla1[[#This Row],[1.4]]</f>
        <v>- P</v>
      </c>
      <c r="H62" s="39" t="str">
        <f>[1]!Tabla1[[#This Row],[1.5]]</f>
        <v>1 P</v>
      </c>
      <c r="I62" s="39" t="str">
        <f>[1]!Tabla1[[#This Row],[1.6]]</f>
        <v>1 P</v>
      </c>
      <c r="J62" s="39" t="str">
        <f>[1]!Tabla1[[#This Row],[1.7]]</f>
        <v>0 F</v>
      </c>
      <c r="K62" s="39" t="str">
        <f>[1]!Tabla1[[#This Row],[1.8]]</f>
        <v>1 P</v>
      </c>
      <c r="L62" s="39" t="str">
        <f>[1]!Tabla1[[#This Row],[1.9]]</f>
        <v>1 P</v>
      </c>
      <c r="M62" s="39" t="str">
        <f>[1]!Tabla1[[#This Row],[1.10]]</f>
        <v>1 P</v>
      </c>
      <c r="N62" s="39" t="str">
        <f>[1]!Tabla1[[#This Row],[1.11]]</f>
        <v>1 P</v>
      </c>
      <c r="O62" s="39" t="str">
        <f>[1]!Tabla1[[#This Row],[1.12]]</f>
        <v>0 F</v>
      </c>
      <c r="P62" s="39" t="str">
        <f>[1]!Tabla1[[#This Row],[1.13]]</f>
        <v>1 P</v>
      </c>
      <c r="Q62" s="39" t="str">
        <f>[1]!Tabla1[[#This Row],[1.14]]</f>
        <v>1 P</v>
      </c>
      <c r="R62" s="39" t="str">
        <f>[1]!Tabla1[[#This Row],[2.1]]</f>
        <v>0 F</v>
      </c>
      <c r="S62" s="39" t="str">
        <f>[1]!Tabla1[[#This Row],[2.2]]</f>
        <v>1 P</v>
      </c>
      <c r="T62" s="39" t="str">
        <f>[1]!Tabla1[[#This Row],[2.3]]</f>
        <v>1 P</v>
      </c>
      <c r="U62" s="39" t="str">
        <f>[1]!Tabla1[[#This Row],[2.4]]</f>
        <v>1 P</v>
      </c>
      <c r="V62" s="39" t="str">
        <f>[1]!Tabla1[[#This Row],[2.5]]</f>
        <v>1 P</v>
      </c>
      <c r="W62" s="39" t="str">
        <f>[1]!Tabla1[[#This Row],[2.6]]</f>
        <v>1 P</v>
      </c>
      <c r="X62" s="1">
        <f>[1]!Tabla1[[#This Row],[Fallos Nivel A]]</f>
        <v>2</v>
      </c>
      <c r="Y62" s="1">
        <f>[1]!Tabla1[[#This Row],[Fallos Nivel AA]]</f>
        <v>1</v>
      </c>
      <c r="Z62" s="1" t="str">
        <f>[1]!Tabla1[[#This Row],[Nivel de adecuación estimado original]]</f>
        <v>AA</v>
      </c>
      <c r="AA62" s="1" t="str">
        <f>[1]!Tabla1[[#This Row],[Check original]]</f>
        <v>AA</v>
      </c>
      <c r="AB62" s="1" t="str">
        <f>[1]!Tabla1[[#This Row],[Nivel de adecuación estimado sin 1.7 y 2.1]]</f>
        <v>AA</v>
      </c>
    </row>
    <row r="63" spans="1:28" x14ac:dyDescent="0.25">
      <c r="A63" s="1" t="str">
        <f>[1]!Tabla1[[#This Row],[Archivo]]</f>
        <v>4.0 GrPUB 38-74</v>
      </c>
      <c r="B63" s="1" t="str">
        <f>[1]!Tabla1[[#This Row],[Página]]</f>
        <v>Página 29</v>
      </c>
      <c r="C63" s="1" t="str">
        <f>[1]!Tabla1[[#This Row],[URL]]</f>
        <v>https://www.aemps.gob.es</v>
      </c>
      <c r="D63" s="39" t="str">
        <f>[1]!Tabla1[[#This Row],[1.1]]</f>
        <v>1 P</v>
      </c>
      <c r="E63" s="39" t="str">
        <f>[1]!Tabla1[[#This Row],[1.2]]</f>
        <v>0 F</v>
      </c>
      <c r="F63" s="39" t="str">
        <f>[1]!Tabla1[[#This Row],[1.3]]</f>
        <v>1 P</v>
      </c>
      <c r="G63" s="39" t="str">
        <f>[1]!Tabla1[[#This Row],[1.4]]</f>
        <v>- P</v>
      </c>
      <c r="H63" s="39" t="str">
        <f>[1]!Tabla1[[#This Row],[1.5]]</f>
        <v>1 P</v>
      </c>
      <c r="I63" s="39" t="str">
        <f>[1]!Tabla1[[#This Row],[1.6]]</f>
        <v>0 F</v>
      </c>
      <c r="J63" s="39" t="str">
        <f>[1]!Tabla1[[#This Row],[1.7]]</f>
        <v>0 F</v>
      </c>
      <c r="K63" s="39" t="str">
        <f>[1]!Tabla1[[#This Row],[1.8]]</f>
        <v>0 F</v>
      </c>
      <c r="L63" s="39" t="str">
        <f>[1]!Tabla1[[#This Row],[1.9]]</f>
        <v>1 P</v>
      </c>
      <c r="M63" s="39" t="str">
        <f>[1]!Tabla1[[#This Row],[1.10]]</f>
        <v>1 P</v>
      </c>
      <c r="N63" s="39" t="str">
        <f>[1]!Tabla1[[#This Row],[1.11]]</f>
        <v>1 P</v>
      </c>
      <c r="O63" s="39" t="str">
        <f>[1]!Tabla1[[#This Row],[1.12]]</f>
        <v>0 F</v>
      </c>
      <c r="P63" s="39" t="str">
        <f>[1]!Tabla1[[#This Row],[1.13]]</f>
        <v>1 P</v>
      </c>
      <c r="Q63" s="39" t="str">
        <f>[1]!Tabla1[[#This Row],[1.14]]</f>
        <v>0 F</v>
      </c>
      <c r="R63" s="39" t="str">
        <f>[1]!Tabla1[[#This Row],[2.1]]</f>
        <v>0 F</v>
      </c>
      <c r="S63" s="39" t="str">
        <f>[1]!Tabla1[[#This Row],[2.2]]</f>
        <v>0 F</v>
      </c>
      <c r="T63" s="39" t="str">
        <f>[1]!Tabla1[[#This Row],[2.3]]</f>
        <v>1 P</v>
      </c>
      <c r="U63" s="39" t="str">
        <f>[1]!Tabla1[[#This Row],[2.4]]</f>
        <v>1 P</v>
      </c>
      <c r="V63" s="39" t="str">
        <f>[1]!Tabla1[[#This Row],[2.5]]</f>
        <v>0 F</v>
      </c>
      <c r="W63" s="39" t="str">
        <f>[1]!Tabla1[[#This Row],[2.6]]</f>
        <v>1 P</v>
      </c>
      <c r="X63" s="1">
        <f>[1]!Tabla1[[#This Row],[Fallos Nivel A]]</f>
        <v>6</v>
      </c>
      <c r="Y63" s="1">
        <f>[1]!Tabla1[[#This Row],[Fallos Nivel AA]]</f>
        <v>3</v>
      </c>
      <c r="Z63" s="1" t="str">
        <f>[1]!Tabla1[[#This Row],[Nivel de adecuación estimado original]]</f>
        <v>No Válido</v>
      </c>
      <c r="AA63" s="1" t="str">
        <f>[1]!Tabla1[[#This Row],[Check original]]</f>
        <v>No válido</v>
      </c>
      <c r="AB63" s="1" t="str">
        <f>[1]!Tabla1[[#This Row],[Nivel de adecuación estimado sin 1.7 y 2.1]]</f>
        <v>No válido</v>
      </c>
    </row>
    <row r="64" spans="1:28" x14ac:dyDescent="0.25">
      <c r="A64" s="1" t="str">
        <f>[1]!Tabla1[[#This Row],[Archivo]]</f>
        <v>4.0 GrPUB 38-74</v>
      </c>
      <c r="B64" s="1" t="str">
        <f>[1]!Tabla1[[#This Row],[Página]]</f>
        <v>Página 30</v>
      </c>
      <c r="C64" s="1" t="str">
        <f>[1]!Tabla1[[#This Row],[URL]]</f>
        <v>https://sede.sepe.gob.es/portalSede</v>
      </c>
      <c r="D64" s="39" t="str">
        <f>[1]!Tabla1[[#This Row],[1.1]]</f>
        <v>1 P</v>
      </c>
      <c r="E64" s="39" t="str">
        <f>[1]!Tabla1[[#This Row],[1.2]]</f>
        <v>1 P</v>
      </c>
      <c r="F64" s="39" t="str">
        <f>[1]!Tabla1[[#This Row],[1.3]]</f>
        <v>1 P</v>
      </c>
      <c r="G64" s="39" t="str">
        <f>[1]!Tabla1[[#This Row],[1.4]]</f>
        <v>- P</v>
      </c>
      <c r="H64" s="39" t="str">
        <f>[1]!Tabla1[[#This Row],[1.5]]</f>
        <v>1 P</v>
      </c>
      <c r="I64" s="39" t="str">
        <f>[1]!Tabla1[[#This Row],[1.6]]</f>
        <v>1 P</v>
      </c>
      <c r="J64" s="39" t="str">
        <f>[1]!Tabla1[[#This Row],[1.7]]</f>
        <v>0 F</v>
      </c>
      <c r="K64" s="39" t="str">
        <f>[1]!Tabla1[[#This Row],[1.8]]</f>
        <v>1 P</v>
      </c>
      <c r="L64" s="39" t="str">
        <f>[1]!Tabla1[[#This Row],[1.9]]</f>
        <v>1 P</v>
      </c>
      <c r="M64" s="39" t="str">
        <f>[1]!Tabla1[[#This Row],[1.10]]</f>
        <v>1 P</v>
      </c>
      <c r="N64" s="39" t="str">
        <f>[1]!Tabla1[[#This Row],[1.11]]</f>
        <v>1 P</v>
      </c>
      <c r="O64" s="39" t="str">
        <f>[1]!Tabla1[[#This Row],[1.12]]</f>
        <v>1 P</v>
      </c>
      <c r="P64" s="39" t="str">
        <f>[1]!Tabla1[[#This Row],[1.13]]</f>
        <v>1 P</v>
      </c>
      <c r="Q64" s="39" t="str">
        <f>[1]!Tabla1[[#This Row],[1.14]]</f>
        <v>1 P</v>
      </c>
      <c r="R64" s="39" t="str">
        <f>[1]!Tabla1[[#This Row],[2.1]]</f>
        <v>0 F</v>
      </c>
      <c r="S64" s="39" t="str">
        <f>[1]!Tabla1[[#This Row],[2.2]]</f>
        <v>1 P</v>
      </c>
      <c r="T64" s="39" t="str">
        <f>[1]!Tabla1[[#This Row],[2.3]]</f>
        <v>1 P</v>
      </c>
      <c r="U64" s="39" t="str">
        <f>[1]!Tabla1[[#This Row],[2.4]]</f>
        <v>1 P</v>
      </c>
      <c r="V64" s="39" t="str">
        <f>[1]!Tabla1[[#This Row],[2.5]]</f>
        <v>1 P</v>
      </c>
      <c r="W64" s="39" t="str">
        <f>[1]!Tabla1[[#This Row],[2.6]]</f>
        <v>1 P</v>
      </c>
      <c r="X64" s="1">
        <f>[1]!Tabla1[[#This Row],[Fallos Nivel A]]</f>
        <v>0</v>
      </c>
      <c r="Y64" s="1">
        <f>[1]!Tabla1[[#This Row],[Fallos Nivel AA]]</f>
        <v>0</v>
      </c>
      <c r="Z64" s="1" t="str">
        <f>[1]!Tabla1[[#This Row],[Nivel de adecuación estimado original]]</f>
        <v>AA</v>
      </c>
      <c r="AA64" s="1" t="str">
        <f>[1]!Tabla1[[#This Row],[Check original]]</f>
        <v>AA</v>
      </c>
      <c r="AB64" s="1" t="str">
        <f>[1]!Tabla1[[#This Row],[Nivel de adecuación estimado sin 1.7 y 2.1]]</f>
        <v>AA</v>
      </c>
    </row>
    <row r="65" spans="1:28" x14ac:dyDescent="0.25">
      <c r="A65" s="1" t="str">
        <f>[1]!Tabla1[[#This Row],[Archivo]]</f>
        <v>4.0 GrPUB 38-74</v>
      </c>
      <c r="B65" s="1" t="str">
        <f>[1]!Tabla1[[#This Row],[Página]]</f>
        <v>Página 31</v>
      </c>
      <c r="C65" s="1" t="str">
        <f>[1]!Tabla1[[#This Row],[URL]]</f>
        <v>https://erasmusplus.gob.es</v>
      </c>
      <c r="D65" s="39" t="str">
        <f>[1]!Tabla1[[#This Row],[1.1]]</f>
        <v>0 F</v>
      </c>
      <c r="E65" s="39" t="str">
        <f>[1]!Tabla1[[#This Row],[1.2]]</f>
        <v>0 F</v>
      </c>
      <c r="F65" s="39" t="str">
        <f>[1]!Tabla1[[#This Row],[1.3]]</f>
        <v>1 P</v>
      </c>
      <c r="G65" s="39" t="str">
        <f>[1]!Tabla1[[#This Row],[1.4]]</f>
        <v>0 F</v>
      </c>
      <c r="H65" s="39" t="str">
        <f>[1]!Tabla1[[#This Row],[1.5]]</f>
        <v>0 F</v>
      </c>
      <c r="I65" s="39" t="str">
        <f>[1]!Tabla1[[#This Row],[1.6]]</f>
        <v>1 P</v>
      </c>
      <c r="J65" s="39" t="str">
        <f>[1]!Tabla1[[#This Row],[1.7]]</f>
        <v>0 F</v>
      </c>
      <c r="K65" s="39" t="str">
        <f>[1]!Tabla1[[#This Row],[1.8]]</f>
        <v>1 P</v>
      </c>
      <c r="L65" s="39" t="str">
        <f>[1]!Tabla1[[#This Row],[1.9]]</f>
        <v>1 P</v>
      </c>
      <c r="M65" s="39" t="str">
        <f>[1]!Tabla1[[#This Row],[1.10]]</f>
        <v>1 P</v>
      </c>
      <c r="N65" s="39" t="str">
        <f>[1]!Tabla1[[#This Row],[1.11]]</f>
        <v>1 P</v>
      </c>
      <c r="O65" s="39" t="str">
        <f>[1]!Tabla1[[#This Row],[1.12]]</f>
        <v>0 F</v>
      </c>
      <c r="P65" s="39" t="str">
        <f>[1]!Tabla1[[#This Row],[1.13]]</f>
        <v>1 P</v>
      </c>
      <c r="Q65" s="39" t="str">
        <f>[1]!Tabla1[[#This Row],[1.14]]</f>
        <v>0 F</v>
      </c>
      <c r="R65" s="39" t="str">
        <f>[1]!Tabla1[[#This Row],[2.1]]</f>
        <v>0 F</v>
      </c>
      <c r="S65" s="39" t="str">
        <f>[1]!Tabla1[[#This Row],[2.2]]</f>
        <v>1 P</v>
      </c>
      <c r="T65" s="39" t="str">
        <f>[1]!Tabla1[[#This Row],[2.3]]</f>
        <v>1 P</v>
      </c>
      <c r="U65" s="39" t="str">
        <f>[1]!Tabla1[[#This Row],[2.4]]</f>
        <v>0 F</v>
      </c>
      <c r="V65" s="39" t="str">
        <f>[1]!Tabla1[[#This Row],[2.5]]</f>
        <v>1 P</v>
      </c>
      <c r="W65" s="39" t="str">
        <f>[1]!Tabla1[[#This Row],[2.6]]</f>
        <v>0 F</v>
      </c>
      <c r="X65" s="1">
        <f>[1]!Tabla1[[#This Row],[Fallos Nivel A]]</f>
        <v>7</v>
      </c>
      <c r="Y65" s="1">
        <f>[1]!Tabla1[[#This Row],[Fallos Nivel AA]]</f>
        <v>3</v>
      </c>
      <c r="Z65" s="1" t="str">
        <f>[1]!Tabla1[[#This Row],[Nivel de adecuación estimado original]]</f>
        <v>No Válido</v>
      </c>
      <c r="AA65" s="1" t="str">
        <f>[1]!Tabla1[[#This Row],[Check original]]</f>
        <v>No válido</v>
      </c>
      <c r="AB65" s="1" t="str">
        <f>[1]!Tabla1[[#This Row],[Nivel de adecuación estimado sin 1.7 y 2.1]]</f>
        <v>No válido</v>
      </c>
    </row>
    <row r="66" spans="1:28" x14ac:dyDescent="0.25">
      <c r="C66" s="33" t="s">
        <v>232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</row>
    <row r="67" spans="1:28" x14ac:dyDescent="0.25">
      <c r="C67" s="40" t="s">
        <v>224</v>
      </c>
      <c r="D67" s="1">
        <f t="shared" ref="D67:S70" si="0">COUNTIF(D$2:D$65,$C67)</f>
        <v>41</v>
      </c>
      <c r="E67" s="1">
        <f t="shared" si="0"/>
        <v>40</v>
      </c>
      <c r="F67" s="1">
        <f t="shared" si="0"/>
        <v>50</v>
      </c>
      <c r="G67" s="1">
        <f t="shared" si="0"/>
        <v>8</v>
      </c>
      <c r="H67" s="1">
        <f t="shared" si="0"/>
        <v>49</v>
      </c>
      <c r="I67" s="1">
        <f t="shared" si="0"/>
        <v>45</v>
      </c>
      <c r="J67" s="1">
        <f t="shared" si="0"/>
        <v>0</v>
      </c>
      <c r="K67" s="1">
        <f t="shared" si="0"/>
        <v>56</v>
      </c>
      <c r="L67" s="1">
        <f t="shared" si="0"/>
        <v>41</v>
      </c>
      <c r="M67" s="1">
        <f t="shared" si="0"/>
        <v>50</v>
      </c>
      <c r="N67" s="1">
        <f t="shared" si="0"/>
        <v>51</v>
      </c>
      <c r="O67" s="1">
        <f t="shared" si="0"/>
        <v>25</v>
      </c>
      <c r="P67" s="1">
        <f t="shared" si="0"/>
        <v>63</v>
      </c>
      <c r="Q67" s="1">
        <f t="shared" si="0"/>
        <v>33</v>
      </c>
      <c r="R67" s="1">
        <f t="shared" si="0"/>
        <v>0</v>
      </c>
      <c r="S67" s="1">
        <f t="shared" si="0"/>
        <v>50</v>
      </c>
      <c r="T67" s="1">
        <f t="shared" ref="N67:W70" si="1">COUNTIF(T$2:T$65,$C67)</f>
        <v>59</v>
      </c>
      <c r="U67" s="1">
        <f t="shared" si="1"/>
        <v>53</v>
      </c>
      <c r="V67" s="1">
        <f t="shared" si="1"/>
        <v>48</v>
      </c>
      <c r="W67" s="1">
        <f t="shared" si="1"/>
        <v>54</v>
      </c>
      <c r="X67" s="85" t="s">
        <v>52</v>
      </c>
      <c r="Y67" s="85"/>
      <c r="Z67" s="1">
        <f>COUNTIF(Tabla1[Nivel de adecuación estimado original],"AA")</f>
        <v>18</v>
      </c>
      <c r="AA67" s="1">
        <f>COUNTIF(Tabla1[Check original],"AA")</f>
        <v>18</v>
      </c>
      <c r="AB67" s="1">
        <f>COUNTIF(Tabla1[Nivel de adecuación estimado sin 1.7 y 2.1],"AA")</f>
        <v>29</v>
      </c>
    </row>
    <row r="68" spans="1:28" x14ac:dyDescent="0.25">
      <c r="C68" s="40" t="s">
        <v>43</v>
      </c>
      <c r="D68" s="1">
        <f t="shared" si="0"/>
        <v>1</v>
      </c>
      <c r="E68" s="1">
        <f t="shared" si="0"/>
        <v>0</v>
      </c>
      <c r="F68" s="1">
        <f t="shared" si="0"/>
        <v>0</v>
      </c>
      <c r="G68" s="1">
        <f t="shared" si="0"/>
        <v>53</v>
      </c>
      <c r="H68" s="1">
        <f t="shared" si="0"/>
        <v>0</v>
      </c>
      <c r="I68" s="1">
        <f t="shared" si="0"/>
        <v>0</v>
      </c>
      <c r="J68" s="1">
        <f t="shared" si="0"/>
        <v>0</v>
      </c>
      <c r="K68" s="1">
        <f t="shared" si="0"/>
        <v>0</v>
      </c>
      <c r="L68" s="1">
        <f t="shared" si="0"/>
        <v>9</v>
      </c>
      <c r="M68" s="1">
        <f t="shared" si="0"/>
        <v>9</v>
      </c>
      <c r="N68" s="1">
        <f t="shared" si="1"/>
        <v>0</v>
      </c>
      <c r="O68" s="1">
        <f t="shared" si="1"/>
        <v>1</v>
      </c>
      <c r="P68" s="1">
        <f t="shared" si="1"/>
        <v>0</v>
      </c>
      <c r="Q68" s="1">
        <f t="shared" si="1"/>
        <v>0</v>
      </c>
      <c r="R68" s="1">
        <f t="shared" si="1"/>
        <v>0</v>
      </c>
      <c r="S68" s="1">
        <f t="shared" si="1"/>
        <v>0</v>
      </c>
      <c r="T68" s="1">
        <f t="shared" si="1"/>
        <v>0</v>
      </c>
      <c r="U68" s="1">
        <f t="shared" si="1"/>
        <v>0</v>
      </c>
      <c r="V68" s="1">
        <f t="shared" si="1"/>
        <v>0</v>
      </c>
      <c r="W68" s="1">
        <f t="shared" si="1"/>
        <v>1</v>
      </c>
      <c r="X68" s="85" t="s">
        <v>53</v>
      </c>
      <c r="Y68" s="85"/>
      <c r="Z68" s="1">
        <f>COUNTIF(Tabla1[Nivel de adecuación estimado original],"A")</f>
        <v>2</v>
      </c>
      <c r="AA68" s="1">
        <f>COUNTIF(Tabla1[Check original],"A")</f>
        <v>2</v>
      </c>
      <c r="AB68" s="1">
        <f>COUNTIF(Tabla1[Nivel de adecuación estimado sin 1.7 y 2.1],"A")</f>
        <v>0</v>
      </c>
    </row>
    <row r="69" spans="1:28" x14ac:dyDescent="0.25">
      <c r="C69" s="40" t="s">
        <v>225</v>
      </c>
      <c r="D69" s="1">
        <f t="shared" si="0"/>
        <v>0</v>
      </c>
      <c r="E69" s="1">
        <f t="shared" si="0"/>
        <v>2</v>
      </c>
      <c r="F69" s="1">
        <f t="shared" si="0"/>
        <v>0</v>
      </c>
      <c r="G69" s="1">
        <f t="shared" si="0"/>
        <v>0</v>
      </c>
      <c r="H69" s="1">
        <f t="shared" si="0"/>
        <v>0</v>
      </c>
      <c r="I69" s="1">
        <f t="shared" si="0"/>
        <v>0</v>
      </c>
      <c r="J69" s="1">
        <f t="shared" si="0"/>
        <v>0</v>
      </c>
      <c r="K69" s="1">
        <f t="shared" si="0"/>
        <v>0</v>
      </c>
      <c r="L69" s="1">
        <f t="shared" si="0"/>
        <v>0</v>
      </c>
      <c r="M69" s="1">
        <f t="shared" si="0"/>
        <v>1</v>
      </c>
      <c r="N69" s="1">
        <f t="shared" si="1"/>
        <v>0</v>
      </c>
      <c r="O69" s="1">
        <f t="shared" si="1"/>
        <v>0</v>
      </c>
      <c r="P69" s="1">
        <f t="shared" si="1"/>
        <v>0</v>
      </c>
      <c r="Q69" s="1">
        <f t="shared" si="1"/>
        <v>0</v>
      </c>
      <c r="R69" s="1">
        <f t="shared" si="1"/>
        <v>0</v>
      </c>
      <c r="S69" s="1">
        <f t="shared" si="1"/>
        <v>0</v>
      </c>
      <c r="T69" s="1">
        <f t="shared" si="1"/>
        <v>0</v>
      </c>
      <c r="U69" s="1">
        <f t="shared" si="1"/>
        <v>0</v>
      </c>
      <c r="V69" s="1">
        <f t="shared" si="1"/>
        <v>0</v>
      </c>
      <c r="W69" s="1">
        <f t="shared" si="1"/>
        <v>0</v>
      </c>
      <c r="X69" s="85" t="s">
        <v>54</v>
      </c>
      <c r="Y69" s="85"/>
      <c r="Z69" s="1">
        <f>COUNTIF(Tabla1[Nivel de adecuación estimado original],"No Válido")</f>
        <v>44</v>
      </c>
      <c r="AA69" s="1">
        <f>COUNTIF(Tabla1[Check original],"No Válido")</f>
        <v>44</v>
      </c>
      <c r="AB69" s="1">
        <f>COUNTIF(Tabla1[Nivel de adecuación estimado sin 1.7 y 2.1],"No Válido")</f>
        <v>35</v>
      </c>
    </row>
    <row r="70" spans="1:28" x14ac:dyDescent="0.25">
      <c r="C70" s="40" t="s">
        <v>226</v>
      </c>
      <c r="D70" s="1">
        <f t="shared" si="0"/>
        <v>22</v>
      </c>
      <c r="E70" s="1">
        <f t="shared" si="0"/>
        <v>22</v>
      </c>
      <c r="F70" s="1">
        <f t="shared" si="0"/>
        <v>14</v>
      </c>
      <c r="G70" s="1">
        <f t="shared" si="0"/>
        <v>3</v>
      </c>
      <c r="H70" s="1">
        <f t="shared" si="0"/>
        <v>15</v>
      </c>
      <c r="I70" s="1">
        <f t="shared" si="0"/>
        <v>19</v>
      </c>
      <c r="J70" s="1">
        <f t="shared" si="0"/>
        <v>64</v>
      </c>
      <c r="K70" s="1">
        <f t="shared" si="0"/>
        <v>8</v>
      </c>
      <c r="L70" s="1">
        <f t="shared" si="0"/>
        <v>14</v>
      </c>
      <c r="M70" s="1">
        <f t="shared" si="0"/>
        <v>4</v>
      </c>
      <c r="N70" s="1">
        <f t="shared" si="1"/>
        <v>13</v>
      </c>
      <c r="O70" s="1">
        <f t="shared" si="1"/>
        <v>38</v>
      </c>
      <c r="P70" s="1">
        <f t="shared" si="1"/>
        <v>1</v>
      </c>
      <c r="Q70" s="1">
        <f t="shared" si="1"/>
        <v>31</v>
      </c>
      <c r="R70" s="1">
        <f t="shared" si="1"/>
        <v>64</v>
      </c>
      <c r="S70" s="1">
        <f t="shared" si="1"/>
        <v>14</v>
      </c>
      <c r="T70" s="1">
        <f t="shared" si="1"/>
        <v>5</v>
      </c>
      <c r="U70" s="1">
        <f t="shared" si="1"/>
        <v>11</v>
      </c>
      <c r="V70" s="1">
        <f t="shared" si="1"/>
        <v>16</v>
      </c>
      <c r="W70" s="1">
        <f t="shared" si="1"/>
        <v>9</v>
      </c>
      <c r="X70" s="85" t="s">
        <v>52</v>
      </c>
      <c r="Y70" s="85"/>
      <c r="Z70" s="41">
        <f>Z67/(Z$67+Z$68+Z$69)</f>
        <v>0.28125</v>
      </c>
      <c r="AA70" s="41">
        <f t="shared" ref="AA70:AB70" si="2">AA67/(AA$67+AA$68+AA$69)</f>
        <v>0.28125</v>
      </c>
      <c r="AB70" s="41">
        <f t="shared" si="2"/>
        <v>0.453125</v>
      </c>
    </row>
    <row r="71" spans="1:28" x14ac:dyDescent="0.25">
      <c r="C71" s="40" t="s">
        <v>233</v>
      </c>
      <c r="D71" s="1">
        <f>D70+D69+D68+D67</f>
        <v>64</v>
      </c>
      <c r="E71" s="1">
        <f t="shared" ref="E71:W71" si="3">E70+E69+E68+E67</f>
        <v>64</v>
      </c>
      <c r="F71" s="1">
        <f t="shared" si="3"/>
        <v>64</v>
      </c>
      <c r="G71" s="1">
        <f t="shared" si="3"/>
        <v>64</v>
      </c>
      <c r="H71" s="1">
        <f t="shared" si="3"/>
        <v>64</v>
      </c>
      <c r="I71" s="1">
        <f t="shared" si="3"/>
        <v>64</v>
      </c>
      <c r="J71" s="1">
        <f t="shared" si="3"/>
        <v>64</v>
      </c>
      <c r="K71" s="1">
        <f t="shared" si="3"/>
        <v>64</v>
      </c>
      <c r="L71" s="1">
        <f t="shared" si="3"/>
        <v>64</v>
      </c>
      <c r="M71" s="1">
        <f t="shared" si="3"/>
        <v>64</v>
      </c>
      <c r="N71" s="1">
        <f t="shared" si="3"/>
        <v>64</v>
      </c>
      <c r="O71" s="1">
        <f t="shared" si="3"/>
        <v>64</v>
      </c>
      <c r="P71" s="1">
        <f t="shared" si="3"/>
        <v>64</v>
      </c>
      <c r="Q71" s="1">
        <f t="shared" si="3"/>
        <v>64</v>
      </c>
      <c r="R71" s="1">
        <f t="shared" si="3"/>
        <v>64</v>
      </c>
      <c r="S71" s="1">
        <f t="shared" si="3"/>
        <v>64</v>
      </c>
      <c r="T71" s="1">
        <f t="shared" si="3"/>
        <v>64</v>
      </c>
      <c r="U71" s="1">
        <f t="shared" si="3"/>
        <v>64</v>
      </c>
      <c r="V71" s="1">
        <f t="shared" si="3"/>
        <v>64</v>
      </c>
      <c r="W71" s="1">
        <f t="shared" si="3"/>
        <v>64</v>
      </c>
      <c r="X71" s="85" t="s">
        <v>53</v>
      </c>
      <c r="Y71" s="85"/>
      <c r="Z71" s="41">
        <f t="shared" ref="Z71:AB72" si="4">Z68/(Z$67+Z$68+Z$69)</f>
        <v>3.125E-2</v>
      </c>
      <c r="AA71" s="41">
        <f t="shared" si="4"/>
        <v>3.125E-2</v>
      </c>
      <c r="AB71" s="41">
        <f t="shared" si="4"/>
        <v>0</v>
      </c>
    </row>
    <row r="72" spans="1:28" x14ac:dyDescent="0.25">
      <c r="C72" s="40" t="s">
        <v>234</v>
      </c>
      <c r="D72" s="1" t="str">
        <f>IF(OR(D71=D67,D71=D68,D71=D69,D71=D70),"Si","No")</f>
        <v>No</v>
      </c>
      <c r="E72" s="1" t="str">
        <f t="shared" ref="E72:W72" si="5">IF(OR(E71=E67,E71=E68,E71=E69,E71=E70),"Si","No")</f>
        <v>No</v>
      </c>
      <c r="F72" s="1" t="str">
        <f t="shared" si="5"/>
        <v>No</v>
      </c>
      <c r="G72" s="1" t="str">
        <f t="shared" si="5"/>
        <v>No</v>
      </c>
      <c r="H72" s="1" t="str">
        <f t="shared" si="5"/>
        <v>No</v>
      </c>
      <c r="I72" s="1" t="str">
        <f t="shared" si="5"/>
        <v>No</v>
      </c>
      <c r="J72" s="1" t="str">
        <f t="shared" si="5"/>
        <v>Si</v>
      </c>
      <c r="K72" s="1" t="str">
        <f t="shared" si="5"/>
        <v>No</v>
      </c>
      <c r="L72" s="1" t="str">
        <f t="shared" si="5"/>
        <v>No</v>
      </c>
      <c r="M72" s="1" t="str">
        <f t="shared" si="5"/>
        <v>No</v>
      </c>
      <c r="N72" s="1" t="str">
        <f t="shared" si="5"/>
        <v>No</v>
      </c>
      <c r="O72" s="1" t="str">
        <f t="shared" si="5"/>
        <v>No</v>
      </c>
      <c r="P72" s="1" t="str">
        <f t="shared" si="5"/>
        <v>No</v>
      </c>
      <c r="Q72" s="1" t="str">
        <f t="shared" si="5"/>
        <v>No</v>
      </c>
      <c r="R72" s="1" t="str">
        <f t="shared" si="5"/>
        <v>Si</v>
      </c>
      <c r="S72" s="1" t="str">
        <f t="shared" si="5"/>
        <v>No</v>
      </c>
      <c r="T72" s="1" t="str">
        <f t="shared" si="5"/>
        <v>No</v>
      </c>
      <c r="U72" s="1" t="str">
        <f t="shared" si="5"/>
        <v>No</v>
      </c>
      <c r="V72" s="1" t="str">
        <f t="shared" si="5"/>
        <v>No</v>
      </c>
      <c r="W72" s="1" t="str">
        <f t="shared" si="5"/>
        <v>No</v>
      </c>
      <c r="X72" s="85" t="s">
        <v>54</v>
      </c>
      <c r="Y72" s="85"/>
      <c r="Z72" s="41">
        <f t="shared" si="4"/>
        <v>0.6875</v>
      </c>
      <c r="AA72" s="41">
        <f t="shared" si="4"/>
        <v>0.6875</v>
      </c>
      <c r="AB72" s="41">
        <f t="shared" si="4"/>
        <v>0.546875</v>
      </c>
    </row>
  </sheetData>
  <mergeCells count="6">
    <mergeCell ref="X72:Y72"/>
    <mergeCell ref="X67:Y67"/>
    <mergeCell ref="X68:Y68"/>
    <mergeCell ref="X69:Y69"/>
    <mergeCell ref="X70:Y70"/>
    <mergeCell ref="X71:Y71"/>
  </mergeCells>
  <phoneticPr fontId="2" type="noConversion"/>
  <conditionalFormatting sqref="D2:W65">
    <cfRule type="containsText" dxfId="1" priority="1" operator="containsText" text="0 F">
      <formula>NOT(ISERROR(SEARCH("0 F",D2)))</formula>
    </cfRule>
  </conditionalFormatting>
  <conditionalFormatting sqref="D72:W72">
    <cfRule type="containsText" dxfId="0" priority="2" operator="containsText" text="Si">
      <formula>NOT(ISERROR(SEARCH("Si",D72)))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Comp. puntuación media</vt:lpstr>
      <vt:lpstr>Comp. cumplimiento criterios</vt:lpstr>
      <vt:lpstr>Comp. cumplimiento nivel ad.</vt:lpstr>
      <vt:lpstr>Cumplimiento indicadores GrPRI</vt:lpstr>
      <vt:lpstr>Cumplimiento indicadores GrPUB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Álvar Herrero Alonso</dc:creator>
  <cp:lastModifiedBy>JAVIER ALVAR HERRERO ALONSO</cp:lastModifiedBy>
  <dcterms:created xsi:type="dcterms:W3CDTF">2015-06-05T18:17:20Z</dcterms:created>
  <dcterms:modified xsi:type="dcterms:W3CDTF">2023-11-16T00:50:54Z</dcterms:modified>
</cp:coreProperties>
</file>