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ropbox\Desktop\El Galpon\"/>
    </mc:Choice>
  </mc:AlternateContent>
  <bookViews>
    <workbookView xWindow="-120" yWindow="-120" windowWidth="24240" windowHeight="13140"/>
  </bookViews>
  <sheets>
    <sheet name="2022_enefeb" sheetId="12" r:id="rId1"/>
    <sheet name="Sueldos" sheetId="2" r:id="rId2"/>
    <sheet name="Despidos" sheetId="3" r:id="rId3"/>
    <sheet name="Ingresos" sheetId="4" r:id="rId4"/>
    <sheet name="Hoja1" sheetId="6" r:id="rId5"/>
    <sheet name="2021_novdic" sheetId="11" r:id="rId6"/>
    <sheet name="2021_septoct" sheetId="10" r:id="rId7"/>
    <sheet name="2021_julago" sheetId="9" r:id="rId8"/>
    <sheet name="2021_mayjun" sheetId="8" r:id="rId9"/>
    <sheet name="2021_marabr" sheetId="7" r:id="rId10"/>
    <sheet name="2021_enefeb" sheetId="5" r:id="rId11"/>
    <sheet name="2020_sem2" sheetId="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2" l="1"/>
  <c r="F43" i="2"/>
  <c r="D43" i="2" s="1"/>
  <c r="I43" i="2" l="1"/>
  <c r="J43" i="2"/>
  <c r="J42" i="2" l="1"/>
  <c r="F16" i="12" l="1"/>
  <c r="E16" i="12"/>
  <c r="F63" i="12" l="1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J49" i="12" s="1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K32" i="12" l="1"/>
  <c r="J32" i="12"/>
  <c r="K21" i="12"/>
  <c r="J48" i="12"/>
  <c r="K60" i="12"/>
  <c r="K5" i="12"/>
  <c r="J31" i="12"/>
  <c r="J33" i="12" s="1"/>
  <c r="J50" i="12"/>
  <c r="J60" i="12"/>
  <c r="J21" i="12"/>
  <c r="K49" i="12"/>
  <c r="J5" i="12"/>
  <c r="J4" i="12"/>
  <c r="K4" i="12"/>
  <c r="J20" i="12"/>
  <c r="J59" i="12"/>
  <c r="K20" i="12"/>
  <c r="K31" i="12"/>
  <c r="K33" i="12" s="1"/>
  <c r="K48" i="12"/>
  <c r="K50" i="12" s="1"/>
  <c r="K59" i="12"/>
  <c r="H2" i="2"/>
  <c r="K22" i="12" l="1"/>
  <c r="K6" i="12"/>
  <c r="F42" i="2" s="1"/>
  <c r="K61" i="12"/>
  <c r="J61" i="12"/>
  <c r="J6" i="12"/>
  <c r="E42" i="2" s="1"/>
  <c r="J22" i="12"/>
  <c r="E43" i="2" s="1"/>
  <c r="J41" i="2"/>
  <c r="K43" i="2" l="1"/>
  <c r="C43" i="2"/>
  <c r="K42" i="2"/>
  <c r="C42" i="2"/>
  <c r="L42" i="2"/>
  <c r="D42" i="2"/>
  <c r="E12" i="3"/>
  <c r="F10" i="3" l="1"/>
  <c r="F7" i="3"/>
  <c r="F12" i="3"/>
  <c r="J40" i="2" l="1"/>
  <c r="J39" i="2" l="1"/>
  <c r="K37" i="2" l="1"/>
  <c r="K38" i="2"/>
  <c r="L37" i="2"/>
  <c r="L38" i="2"/>
  <c r="J38" i="2" l="1"/>
  <c r="F65" i="11" l="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J60" i="11" l="1"/>
  <c r="K60" i="11"/>
  <c r="J48" i="11"/>
  <c r="K49" i="11"/>
  <c r="J49" i="11"/>
  <c r="J31" i="11"/>
  <c r="J32" i="11"/>
  <c r="J21" i="11"/>
  <c r="J20" i="11"/>
  <c r="K20" i="11"/>
  <c r="K21" i="11"/>
  <c r="K32" i="11"/>
  <c r="J5" i="11"/>
  <c r="K5" i="11"/>
  <c r="K31" i="11"/>
  <c r="J4" i="11"/>
  <c r="J6" i="11" s="1"/>
  <c r="K48" i="11"/>
  <c r="K4" i="11"/>
  <c r="J59" i="11"/>
  <c r="K59" i="11"/>
  <c r="K61" i="11" s="1"/>
  <c r="J37" i="2"/>
  <c r="I37" i="2"/>
  <c r="J61" i="11" l="1"/>
  <c r="J50" i="11"/>
  <c r="E41" i="2" s="1"/>
  <c r="K50" i="11"/>
  <c r="F41" i="2" s="1"/>
  <c r="J33" i="11"/>
  <c r="E40" i="2" s="1"/>
  <c r="K40" i="2" s="1"/>
  <c r="K33" i="11"/>
  <c r="F40" i="2" s="1"/>
  <c r="L40" i="2" s="1"/>
  <c r="K22" i="11"/>
  <c r="F39" i="2" s="1"/>
  <c r="J22" i="11"/>
  <c r="E39" i="2" s="1"/>
  <c r="K6" i="11"/>
  <c r="E38" i="2"/>
  <c r="J36" i="2"/>
  <c r="C41" i="2" l="1"/>
  <c r="K41" i="2"/>
  <c r="L41" i="2"/>
  <c r="D41" i="2"/>
  <c r="C40" i="2"/>
  <c r="D40" i="2"/>
  <c r="C39" i="2"/>
  <c r="K39" i="2"/>
  <c r="D39" i="2"/>
  <c r="L39" i="2"/>
  <c r="C38" i="2"/>
  <c r="F38" i="2"/>
  <c r="D38" i="2" s="1"/>
  <c r="I35" i="2"/>
  <c r="J35" i="2"/>
  <c r="J34" i="2"/>
  <c r="J33" i="2" l="1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F4" i="10"/>
  <c r="E4" i="10"/>
  <c r="J48" i="10" l="1"/>
  <c r="J49" i="10"/>
  <c r="J31" i="10"/>
  <c r="J32" i="10"/>
  <c r="K31" i="10"/>
  <c r="K32" i="10"/>
  <c r="J21" i="10"/>
  <c r="J20" i="10"/>
  <c r="K20" i="10"/>
  <c r="K21" i="10"/>
  <c r="K60" i="10"/>
  <c r="K48" i="10"/>
  <c r="E8" i="3"/>
  <c r="E10" i="3" s="1"/>
  <c r="F8" i="3"/>
  <c r="J32" i="2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F32" i="9"/>
  <c r="E32" i="9"/>
  <c r="J49" i="9" l="1"/>
  <c r="J48" i="9"/>
  <c r="K49" i="9"/>
  <c r="K48" i="9"/>
  <c r="K22" i="10"/>
  <c r="F35" i="2" s="1"/>
  <c r="L35" i="2" s="1"/>
  <c r="J4" i="10"/>
  <c r="K5" i="10"/>
  <c r="K4" i="10"/>
  <c r="J5" i="10"/>
  <c r="K59" i="10"/>
  <c r="K61" i="10" s="1"/>
  <c r="K49" i="10"/>
  <c r="K50" i="10" s="1"/>
  <c r="F37" i="2" s="1"/>
  <c r="J22" i="10"/>
  <c r="E35" i="2" s="1"/>
  <c r="J59" i="10"/>
  <c r="K33" i="10"/>
  <c r="F36" i="2" s="1"/>
  <c r="J60" i="10"/>
  <c r="J32" i="9"/>
  <c r="J31" i="9"/>
  <c r="K32" i="9"/>
  <c r="K31" i="9"/>
  <c r="J31" i="2"/>
  <c r="F31" i="2"/>
  <c r="E31" i="2"/>
  <c r="J30" i="2"/>
  <c r="D37" i="2" l="1"/>
  <c r="D36" i="2"/>
  <c r="L36" i="2"/>
  <c r="C31" i="2"/>
  <c r="K31" i="2"/>
  <c r="D31" i="2"/>
  <c r="L31" i="2"/>
  <c r="D35" i="2"/>
  <c r="C35" i="2"/>
  <c r="K35" i="2"/>
  <c r="J33" i="10"/>
  <c r="E36" i="2" s="1"/>
  <c r="J50" i="10"/>
  <c r="E37" i="2" s="1"/>
  <c r="J61" i="10"/>
  <c r="K6" i="10"/>
  <c r="F34" i="2" s="1"/>
  <c r="J6" i="10"/>
  <c r="E34" i="2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4" i="9"/>
  <c r="D8" i="3"/>
  <c r="D7" i="3"/>
  <c r="J29" i="2"/>
  <c r="J28" i="2"/>
  <c r="C37" i="2" l="1"/>
  <c r="K36" i="2"/>
  <c r="C36" i="2"/>
  <c r="D12" i="3"/>
  <c r="D11" i="3"/>
  <c r="D13" i="3" s="1"/>
  <c r="K34" i="2"/>
  <c r="C34" i="2"/>
  <c r="L34" i="2"/>
  <c r="D34" i="2"/>
  <c r="J4" i="9"/>
  <c r="K5" i="9"/>
  <c r="J5" i="9"/>
  <c r="K4" i="9"/>
  <c r="K20" i="9"/>
  <c r="J20" i="9"/>
  <c r="K50" i="9"/>
  <c r="F33" i="2" s="1"/>
  <c r="J21" i="9"/>
  <c r="J33" i="9"/>
  <c r="E32" i="2" s="1"/>
  <c r="K21" i="9"/>
  <c r="D33" i="2" l="1"/>
  <c r="L33" i="2"/>
  <c r="J50" i="9"/>
  <c r="E33" i="2" s="1"/>
  <c r="C32" i="2"/>
  <c r="K32" i="2"/>
  <c r="K33" i="9"/>
  <c r="F32" i="2" s="1"/>
  <c r="J22" i="9"/>
  <c r="K22" i="9"/>
  <c r="K6" i="9"/>
  <c r="F30" i="2" s="1"/>
  <c r="J6" i="9"/>
  <c r="E30" i="2" s="1"/>
  <c r="C33" i="2" l="1"/>
  <c r="K33" i="2"/>
  <c r="D32" i="2"/>
  <c r="L32" i="2"/>
  <c r="L30" i="2"/>
  <c r="D30" i="2"/>
  <c r="K30" i="2"/>
  <c r="C30" i="2"/>
  <c r="J26" i="2"/>
  <c r="K26" i="2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4" i="8"/>
  <c r="K49" i="8" l="1"/>
  <c r="K21" i="8"/>
  <c r="K20" i="8"/>
  <c r="K48" i="8"/>
  <c r="K31" i="8"/>
  <c r="C8" i="3"/>
  <c r="C10" i="3" s="1"/>
  <c r="C7" i="3"/>
  <c r="C12" i="3" l="1"/>
  <c r="C11" i="3"/>
  <c r="C13" i="3" s="1"/>
  <c r="I26" i="2"/>
  <c r="C26" i="2" s="1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K59" i="8"/>
  <c r="F59" i="8"/>
  <c r="F60" i="8"/>
  <c r="F61" i="8"/>
  <c r="F62" i="8"/>
  <c r="F63" i="8"/>
  <c r="F64" i="8"/>
  <c r="F65" i="8"/>
  <c r="K32" i="8"/>
  <c r="I25" i="2"/>
  <c r="R71" i="2"/>
  <c r="J25" i="2" s="1"/>
  <c r="J21" i="8" l="1"/>
  <c r="J20" i="8"/>
  <c r="J49" i="8"/>
  <c r="J48" i="8"/>
  <c r="K60" i="8"/>
  <c r="K61" i="8" s="1"/>
  <c r="J4" i="8"/>
  <c r="K5" i="8"/>
  <c r="J32" i="8"/>
  <c r="J60" i="8"/>
  <c r="J5" i="8"/>
  <c r="K22" i="8"/>
  <c r="F27" i="2" s="1"/>
  <c r="K33" i="8"/>
  <c r="F28" i="2" s="1"/>
  <c r="L28" i="2" s="1"/>
  <c r="K4" i="8"/>
  <c r="J31" i="8"/>
  <c r="J33" i="8" s="1"/>
  <c r="E28" i="2" s="1"/>
  <c r="K50" i="8"/>
  <c r="F29" i="2" s="1"/>
  <c r="J59" i="8"/>
  <c r="E57" i="7"/>
  <c r="L29" i="2" l="1"/>
  <c r="D29" i="2"/>
  <c r="K28" i="2"/>
  <c r="C28" i="2"/>
  <c r="D28" i="2"/>
  <c r="L27" i="2"/>
  <c r="D27" i="2"/>
  <c r="J6" i="8"/>
  <c r="J61" i="8"/>
  <c r="J50" i="8"/>
  <c r="E29" i="2" s="1"/>
  <c r="K6" i="8"/>
  <c r="F26" i="2" s="1"/>
  <c r="J22" i="8"/>
  <c r="E27" i="2" s="1"/>
  <c r="E44" i="7"/>
  <c r="E45" i="7"/>
  <c r="E46" i="7"/>
  <c r="E47" i="7"/>
  <c r="E48" i="7"/>
  <c r="E49" i="7"/>
  <c r="E50" i="7"/>
  <c r="E51" i="7"/>
  <c r="E53" i="7"/>
  <c r="E55" i="7"/>
  <c r="E58" i="7"/>
  <c r="E59" i="7"/>
  <c r="E63" i="7"/>
  <c r="E64" i="7"/>
  <c r="E65" i="7"/>
  <c r="E43" i="7"/>
  <c r="E42" i="7"/>
  <c r="J24" i="2"/>
  <c r="I24" i="2"/>
  <c r="I22" i="2"/>
  <c r="K48" i="7" l="1"/>
  <c r="D26" i="2"/>
  <c r="L26" i="2"/>
  <c r="K29" i="2"/>
  <c r="C29" i="2"/>
  <c r="K27" i="2"/>
  <c r="C27" i="2"/>
  <c r="I23" i="2"/>
  <c r="J23" i="2"/>
  <c r="E5" i="7" l="1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4" i="7"/>
  <c r="E4" i="7"/>
  <c r="J48" i="7" l="1"/>
  <c r="K31" i="7"/>
  <c r="K32" i="7"/>
  <c r="J31" i="7"/>
  <c r="J32" i="7"/>
  <c r="K20" i="7"/>
  <c r="J20" i="7"/>
  <c r="K21" i="7"/>
  <c r="J21" i="7"/>
  <c r="J22" i="2"/>
  <c r="K59" i="7"/>
  <c r="K5" i="7" l="1"/>
  <c r="J5" i="7"/>
  <c r="K4" i="7"/>
  <c r="J4" i="7"/>
  <c r="K33" i="7"/>
  <c r="F24" i="2" s="1"/>
  <c r="K60" i="7"/>
  <c r="K61" i="7" s="1"/>
  <c r="K49" i="7"/>
  <c r="J49" i="7"/>
  <c r="J59" i="7"/>
  <c r="J60" i="7"/>
  <c r="L24" i="2" l="1"/>
  <c r="D24" i="2"/>
  <c r="J33" i="7"/>
  <c r="E24" i="2" s="1"/>
  <c r="K22" i="7"/>
  <c r="F23" i="2" s="1"/>
  <c r="J50" i="7"/>
  <c r="E25" i="2" s="1"/>
  <c r="K50" i="7"/>
  <c r="F25" i="2" s="1"/>
  <c r="L25" i="2" s="1"/>
  <c r="J22" i="7"/>
  <c r="E23" i="2" s="1"/>
  <c r="J61" i="7"/>
  <c r="K6" i="7"/>
  <c r="F22" i="2" s="1"/>
  <c r="J6" i="7"/>
  <c r="E22" i="2" s="1"/>
  <c r="J21" i="2"/>
  <c r="I21" i="2"/>
  <c r="E55" i="5"/>
  <c r="K25" i="2" l="1"/>
  <c r="C25" i="2"/>
  <c r="D25" i="2"/>
  <c r="K24" i="2"/>
  <c r="C24" i="2"/>
  <c r="K23" i="2"/>
  <c r="C23" i="2"/>
  <c r="L23" i="2"/>
  <c r="D23" i="2"/>
  <c r="K22" i="2"/>
  <c r="C22" i="2"/>
  <c r="L22" i="2"/>
  <c r="D22" i="2"/>
  <c r="F50" i="5"/>
  <c r="F33" i="6"/>
  <c r="F22" i="6"/>
  <c r="F19" i="6"/>
  <c r="E17" i="6"/>
  <c r="J11" i="6"/>
  <c r="J10" i="6"/>
  <c r="J9" i="6"/>
  <c r="L12" i="6"/>
  <c r="J7" i="6"/>
  <c r="J5" i="6"/>
  <c r="D33" i="6"/>
  <c r="D22" i="6"/>
  <c r="C17" i="6"/>
  <c r="D19" i="6"/>
  <c r="B4" i="6"/>
  <c r="K5" i="6" s="1"/>
  <c r="L5" i="6" s="1"/>
  <c r="K6" i="6" s="1"/>
  <c r="G10" i="6"/>
  <c r="J20" i="2"/>
  <c r="G3" i="6" l="1"/>
  <c r="J6" i="6"/>
  <c r="L6" i="6"/>
  <c r="K7" i="6" s="1"/>
  <c r="L7" i="6" s="1"/>
  <c r="K8" i="6" s="1"/>
  <c r="L8" i="6" s="1"/>
  <c r="K9" i="6" s="1"/>
  <c r="F17" i="6"/>
  <c r="L9" i="6"/>
  <c r="K10" i="6" s="1"/>
  <c r="L10" i="6" s="1"/>
  <c r="K11" i="6" s="1"/>
  <c r="L11" i="6" s="1"/>
  <c r="M19" i="6"/>
  <c r="O19" i="6" s="1"/>
  <c r="I20" i="2"/>
  <c r="E35" i="5"/>
  <c r="F11" i="5"/>
  <c r="J19" i="2" l="1"/>
  <c r="I19" i="2"/>
  <c r="J18" i="2"/>
  <c r="I18" i="2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F34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E51" i="5"/>
  <c r="F51" i="5"/>
  <c r="E52" i="5"/>
  <c r="F52" i="5"/>
  <c r="E53" i="5"/>
  <c r="F53" i="5"/>
  <c r="E54" i="5"/>
  <c r="F54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F15" i="5"/>
  <c r="E15" i="5"/>
  <c r="J21" i="5" l="1"/>
  <c r="J20" i="5"/>
  <c r="K21" i="5"/>
  <c r="K20" i="5"/>
  <c r="J48" i="5"/>
  <c r="J49" i="5"/>
  <c r="K48" i="5"/>
  <c r="K49" i="5"/>
  <c r="K31" i="5"/>
  <c r="K32" i="5"/>
  <c r="J31" i="5"/>
  <c r="J32" i="5"/>
  <c r="F6" i="5"/>
  <c r="F7" i="5"/>
  <c r="F8" i="5"/>
  <c r="F9" i="5"/>
  <c r="F10" i="5"/>
  <c r="F12" i="5"/>
  <c r="F13" i="5"/>
  <c r="F14" i="5"/>
  <c r="F5" i="5"/>
  <c r="F4" i="5"/>
  <c r="E5" i="5"/>
  <c r="E6" i="5"/>
  <c r="E7" i="5"/>
  <c r="E8" i="5"/>
  <c r="E9" i="5"/>
  <c r="E10" i="5"/>
  <c r="E11" i="5"/>
  <c r="E12" i="5"/>
  <c r="E13" i="5"/>
  <c r="E14" i="5"/>
  <c r="E4" i="5"/>
  <c r="K33" i="5" l="1"/>
  <c r="F20" i="2" s="1"/>
  <c r="J33" i="5"/>
  <c r="E20" i="2" s="1"/>
  <c r="J22" i="5"/>
  <c r="E19" i="2" s="1"/>
  <c r="C19" i="2" s="1"/>
  <c r="K22" i="5"/>
  <c r="F19" i="2" s="1"/>
  <c r="D19" i="2" s="1"/>
  <c r="J5" i="5"/>
  <c r="J4" i="5"/>
  <c r="K5" i="5"/>
  <c r="K4" i="5"/>
  <c r="J59" i="5"/>
  <c r="K59" i="5"/>
  <c r="J60" i="5"/>
  <c r="K60" i="5"/>
  <c r="J17" i="2"/>
  <c r="J61" i="5" l="1"/>
  <c r="K20" i="2"/>
  <c r="C20" i="2"/>
  <c r="L20" i="2"/>
  <c r="D20" i="2"/>
  <c r="K19" i="2"/>
  <c r="L19" i="2"/>
  <c r="J50" i="5"/>
  <c r="E21" i="2" s="1"/>
  <c r="J6" i="5"/>
  <c r="E18" i="2" s="1"/>
  <c r="K6" i="5"/>
  <c r="F18" i="2" s="1"/>
  <c r="K61" i="5"/>
  <c r="K50" i="5"/>
  <c r="F21" i="2" s="1"/>
  <c r="I17" i="2"/>
  <c r="D21" i="2" l="1"/>
  <c r="L21" i="2"/>
  <c r="K21" i="2"/>
  <c r="C21" i="2"/>
  <c r="C18" i="2"/>
  <c r="K18" i="2"/>
  <c r="D18" i="2"/>
  <c r="L18" i="2"/>
  <c r="I16" i="2"/>
  <c r="J16" i="2"/>
  <c r="G62" i="1" l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H61" i="1"/>
  <c r="G61" i="1"/>
  <c r="N16" i="2" l="1"/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M59" i="1" s="1"/>
  <c r="G45" i="1"/>
  <c r="J15" i="2"/>
  <c r="H44" i="1"/>
  <c r="G44" i="1"/>
  <c r="M60" i="1" l="1"/>
  <c r="M61" i="1" s="1"/>
  <c r="F17" i="2" s="1"/>
  <c r="L60" i="1"/>
  <c r="L59" i="1"/>
  <c r="L61" i="1" s="1"/>
  <c r="E17" i="2" s="1"/>
  <c r="H38" i="1"/>
  <c r="H39" i="1"/>
  <c r="H40" i="1"/>
  <c r="H41" i="1"/>
  <c r="H42" i="1"/>
  <c r="H43" i="1"/>
  <c r="L48" i="1" l="1"/>
  <c r="L49" i="1"/>
  <c r="L50" i="1"/>
  <c r="E16" i="2" s="1"/>
  <c r="H37" i="1"/>
  <c r="B8" i="3"/>
  <c r="B10" i="3" s="1"/>
  <c r="B12" i="3" l="1"/>
  <c r="B11" i="3"/>
  <c r="B13" i="3"/>
  <c r="J9" i="2"/>
  <c r="I9" i="2" l="1"/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G4" i="1"/>
  <c r="M4" i="1" s="1"/>
  <c r="F4" i="1"/>
  <c r="L4" i="1" s="1"/>
  <c r="M48" i="1" l="1"/>
  <c r="M49" i="1"/>
  <c r="M31" i="1"/>
  <c r="M32" i="1"/>
  <c r="L32" i="1"/>
  <c r="L31" i="1"/>
  <c r="J8" i="2"/>
  <c r="C4" i="2"/>
  <c r="D3" i="2"/>
  <c r="D4" i="2" s="1"/>
  <c r="L16" i="2" l="1"/>
  <c r="D16" i="2"/>
  <c r="L17" i="2"/>
  <c r="D17" i="2"/>
  <c r="C17" i="2"/>
  <c r="K17" i="2"/>
  <c r="C16" i="2"/>
  <c r="K16" i="2"/>
  <c r="M50" i="1"/>
  <c r="C15" i="2"/>
  <c r="K15" i="2"/>
  <c r="M33" i="1"/>
  <c r="L33" i="1"/>
  <c r="F10" i="2" s="1"/>
  <c r="M16" i="1"/>
  <c r="M17" i="1"/>
  <c r="L17" i="1"/>
  <c r="L16" i="1"/>
  <c r="L5" i="1"/>
  <c r="L6" i="1" s="1"/>
  <c r="F8" i="2"/>
  <c r="M5" i="1"/>
  <c r="M6" i="1" s="1"/>
  <c r="E8" i="2"/>
  <c r="E10" i="2" l="1"/>
  <c r="C10" i="2" s="1"/>
  <c r="F15" i="2"/>
  <c r="K10" i="2"/>
  <c r="L18" i="1"/>
  <c r="F9" i="2" s="1"/>
  <c r="D10" i="2"/>
  <c r="L10" i="2"/>
  <c r="M18" i="1"/>
  <c r="E9" i="2" s="1"/>
  <c r="C8" i="2"/>
  <c r="K8" i="2"/>
  <c r="D8" i="2"/>
  <c r="L8" i="2"/>
  <c r="L15" i="2" l="1"/>
  <c r="D15" i="2"/>
  <c r="L9" i="2"/>
  <c r="D9" i="2"/>
  <c r="C9" i="2"/>
  <c r="K9" i="2"/>
</calcChain>
</file>

<file path=xl/sharedStrings.xml><?xml version="1.0" encoding="utf-8"?>
<sst xmlns="http://schemas.openxmlformats.org/spreadsheetml/2006/main" count="1457" uniqueCount="144">
  <si>
    <t>1sept-15sept</t>
  </si>
  <si>
    <t>Día</t>
  </si>
  <si>
    <t>Dia de la semana</t>
  </si>
  <si>
    <t>Cocinero</t>
  </si>
  <si>
    <t>Ayudante</t>
  </si>
  <si>
    <t>Incidencias</t>
  </si>
  <si>
    <t>Miercoles</t>
  </si>
  <si>
    <t>Retardos</t>
  </si>
  <si>
    <t>Jueves</t>
  </si>
  <si>
    <t>Faltas</t>
  </si>
  <si>
    <t>Viernes</t>
  </si>
  <si>
    <t>3 retardos = FALTA</t>
  </si>
  <si>
    <t>Sábado</t>
  </si>
  <si>
    <t>Domingo</t>
  </si>
  <si>
    <t>Lunes</t>
  </si>
  <si>
    <t>D</t>
  </si>
  <si>
    <t>Martes</t>
  </si>
  <si>
    <t>Miércoles</t>
  </si>
  <si>
    <t xml:space="preserve"> </t>
  </si>
  <si>
    <t>16sept-30sept</t>
  </si>
  <si>
    <t>1oct-15oct</t>
  </si>
  <si>
    <t>16ago-31ago</t>
  </si>
  <si>
    <t>16dic-31dic</t>
  </si>
  <si>
    <t>Cesar</t>
  </si>
  <si>
    <t>Miguel</t>
  </si>
  <si>
    <t>Luis</t>
  </si>
  <si>
    <t>Sueldo Base</t>
  </si>
  <si>
    <t>Prestamos</t>
  </si>
  <si>
    <t>Concepto</t>
  </si>
  <si>
    <t>Empleado</t>
  </si>
  <si>
    <t>Total</t>
  </si>
  <si>
    <t>Dias Dobles</t>
  </si>
  <si>
    <t>Daniel</t>
  </si>
  <si>
    <t>Fecha</t>
  </si>
  <si>
    <t>Extras</t>
  </si>
  <si>
    <t>Dos tacos</t>
  </si>
  <si>
    <t>Feriado</t>
  </si>
  <si>
    <t>Extras Diarios</t>
  </si>
  <si>
    <t>Media Ham Brisket</t>
  </si>
  <si>
    <t>Cubre turno</t>
  </si>
  <si>
    <t>Bono</t>
  </si>
  <si>
    <t>Días Trabajados</t>
  </si>
  <si>
    <t>Sueldo del mes</t>
  </si>
  <si>
    <t>Prestamo</t>
  </si>
  <si>
    <t>Porky</t>
  </si>
  <si>
    <t>2a quincena</t>
  </si>
  <si>
    <t>Choripan</t>
  </si>
  <si>
    <t>1a quincena</t>
  </si>
  <si>
    <t>Hamburguesa Brisket</t>
  </si>
  <si>
    <t>Dias medios</t>
  </si>
  <si>
    <t>FALTAN COBRAR</t>
  </si>
  <si>
    <t>Cerveza y carne</t>
  </si>
  <si>
    <t>hasta aquí trabajo Miguel</t>
  </si>
  <si>
    <t>Robo</t>
  </si>
  <si>
    <t>3 Ham 4oz</t>
  </si>
  <si>
    <t>PRestamo</t>
  </si>
  <si>
    <t>Falta Caja</t>
  </si>
  <si>
    <t>Ham Porky</t>
  </si>
  <si>
    <t>Ham Brisket</t>
  </si>
  <si>
    <t>Vino</t>
  </si>
  <si>
    <t>Hamburguesa</t>
  </si>
  <si>
    <t>4 hamb</t>
  </si>
  <si>
    <t>Hamburgues</t>
  </si>
  <si>
    <t>Prestamo Sobrante pago</t>
  </si>
  <si>
    <t>Papas y tiramisu</t>
  </si>
  <si>
    <t>Prestamo Taxi</t>
  </si>
  <si>
    <t>Newyork</t>
  </si>
  <si>
    <t>Hamburguesa de 4oz</t>
  </si>
  <si>
    <t>Adelanto</t>
  </si>
  <si>
    <t>Hamb. Falta</t>
  </si>
  <si>
    <t>Juan</t>
  </si>
  <si>
    <t>Fecha ingreso</t>
  </si>
  <si>
    <t>Fecha Salida</t>
  </si>
  <si>
    <t>Motivo</t>
  </si>
  <si>
    <t>Problemas Familiares, Abandono</t>
  </si>
  <si>
    <t>Abandono</t>
  </si>
  <si>
    <t>Falta de compromiso</t>
  </si>
  <si>
    <t>Alcoholismo</t>
  </si>
  <si>
    <t>Sueldo Mensual</t>
  </si>
  <si>
    <t>Dias Laborables</t>
  </si>
  <si>
    <t>Dias Trabajados</t>
  </si>
  <si>
    <t>Liquidacion (sobre 15 dias)</t>
  </si>
  <si>
    <t>Aguinaldo (sobre 15 dias)</t>
  </si>
  <si>
    <t>Juan carlos</t>
  </si>
  <si>
    <t>Ingreso</t>
  </si>
  <si>
    <t>Salida</t>
  </si>
  <si>
    <t>Deuda</t>
  </si>
  <si>
    <t>Recaudado</t>
  </si>
  <si>
    <t>Restante</t>
  </si>
  <si>
    <t>Cuentas a Pagar</t>
  </si>
  <si>
    <t>Monto</t>
  </si>
  <si>
    <t>Renta</t>
  </si>
  <si>
    <t>Tarjeta 15 feb</t>
  </si>
  <si>
    <t>Cajon</t>
  </si>
  <si>
    <t>Tarjeta 3 mar</t>
  </si>
  <si>
    <t>Tarjeta</t>
  </si>
  <si>
    <t>Sueldos</t>
  </si>
  <si>
    <t>Billpocket</t>
  </si>
  <si>
    <t>Arrachera</t>
  </si>
  <si>
    <t>Santiago</t>
  </si>
  <si>
    <t>Dedos de Queso</t>
  </si>
  <si>
    <t>Madera</t>
  </si>
  <si>
    <t>Carne</t>
  </si>
  <si>
    <t>Dia</t>
  </si>
  <si>
    <t>Esperado</t>
  </si>
  <si>
    <t xml:space="preserve">Restan </t>
  </si>
  <si>
    <t>Sabado</t>
  </si>
  <si>
    <t>Restan:</t>
  </si>
  <si>
    <t>19 dias</t>
  </si>
  <si>
    <t>1jul-14jul</t>
  </si>
  <si>
    <t>F</t>
  </si>
  <si>
    <t>15jul-31jul</t>
  </si>
  <si>
    <t>1ago-15ago</t>
  </si>
  <si>
    <t>P</t>
  </si>
  <si>
    <t>30abr-14may</t>
  </si>
  <si>
    <t>15may-31may</t>
  </si>
  <si>
    <t>1jun-15jun</t>
  </si>
  <si>
    <t>Se quedo masy llego 2:25</t>
  </si>
  <si>
    <t>15jun-30jun</t>
  </si>
  <si>
    <t>28fe-14mar21</t>
  </si>
  <si>
    <t>15mar-30mar</t>
  </si>
  <si>
    <t>1abr21-15abr21</t>
  </si>
  <si>
    <t>15feb-28feb</t>
  </si>
  <si>
    <t>RETARDO</t>
  </si>
  <si>
    <t>revisar</t>
  </si>
  <si>
    <t>Llego 13:50</t>
  </si>
  <si>
    <t>1ene21-15ene21</t>
  </si>
  <si>
    <t>15ene21-31ene21</t>
  </si>
  <si>
    <t>1feb21-15feb21</t>
  </si>
  <si>
    <t>Retardo o Falta</t>
  </si>
  <si>
    <t>16oct20 - 31oct20</t>
  </si>
  <si>
    <t>Lavar Ropa</t>
  </si>
  <si>
    <t>No hubo metro</t>
  </si>
  <si>
    <t>1nov20-15nov20</t>
  </si>
  <si>
    <t>Pagado</t>
  </si>
  <si>
    <t>Perla</t>
  </si>
  <si>
    <t>Trafico con Daniel, corte de pelo Miguel</t>
  </si>
  <si>
    <t>16nov-30nov</t>
  </si>
  <si>
    <t xml:space="preserve"> COVID MIGUEL</t>
  </si>
  <si>
    <t>1dic-15dic</t>
  </si>
  <si>
    <t>16oct-31oct</t>
  </si>
  <si>
    <t>1nov-15nov</t>
  </si>
  <si>
    <t>Arturo</t>
  </si>
  <si>
    <t>1ene-15ene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</si>
</sst>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/>
    <xf numFmtId="44" fontId="0" fillId="0" borderId="0" xfId="1" applyFont="1"/>
    <xf numFmtId="4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44" fontId="1" fillId="0" borderId="0" xfId="0" applyNumberFormat="1" applyFont="1"/>
    <xf numFmtId="0" fontId="4" fillId="2" borderId="8" xfId="0" applyFont="1" applyFill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44" fontId="0" fillId="0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18" workbookViewId="0">
      <selection activeCell="G37" sqref="G37"/>
    </sheetView>
  </sheetViews>
  <sheetFormatPr baseColWidth="10" defaultColWidth="11.42578125" defaultRowHeight="15" x14ac:dyDescent="0.25"/>
  <cols>
    <col min="2" max="2" width="15.85546875" style="35" bestFit="1" customWidth="1"/>
    <col min="3" max="3" width="11.42578125" style="35" customWidth="1"/>
    <col min="4" max="4" width="13.42578125" style="35" customWidth="1"/>
    <col min="5" max="6" width="11.85546875" style="35" customWidth="1"/>
    <col min="7" max="7" width="9.42578125" style="35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1" ht="15.75" thickBot="1" x14ac:dyDescent="0.3"/>
    <row r="2" spans="1:11" ht="15.75" thickBot="1" x14ac:dyDescent="0.3">
      <c r="E2" s="37"/>
      <c r="F2" s="37"/>
      <c r="G2" s="38"/>
      <c r="J2" s="36" t="s">
        <v>143</v>
      </c>
      <c r="K2" s="36"/>
    </row>
    <row r="3" spans="1:11" ht="15.75" thickBot="1" x14ac:dyDescent="0.3">
      <c r="A3" s="4" t="s">
        <v>1</v>
      </c>
      <c r="B3" s="9" t="s">
        <v>2</v>
      </c>
      <c r="C3" s="5" t="s">
        <v>3</v>
      </c>
      <c r="D3" s="5" t="s">
        <v>4</v>
      </c>
      <c r="E3" s="5" t="s">
        <v>3</v>
      </c>
      <c r="F3" s="21" t="s">
        <v>4</v>
      </c>
      <c r="G3" s="6"/>
      <c r="I3" s="7" t="s">
        <v>5</v>
      </c>
      <c r="J3" s="7" t="s">
        <v>4</v>
      </c>
      <c r="K3" s="7" t="s">
        <v>3</v>
      </c>
    </row>
    <row r="4" spans="1:11" x14ac:dyDescent="0.25">
      <c r="A4" s="1">
        <v>44562</v>
      </c>
      <c r="B4" s="10" t="s">
        <v>12</v>
      </c>
      <c r="C4" s="3" t="s">
        <v>15</v>
      </c>
      <c r="D4" s="3" t="s">
        <v>15</v>
      </c>
      <c r="E4" s="35" t="str">
        <f>IF(EXACT(C4,"F"),"FALTA",IF(EXACT(C4,"D"),"DESCANSO",IF(EXACT(C4,""),"",IF(EXACT(C4,"P"),"PERMISO",IF(IF(WEEKDAY(A4,11)&gt;=4,VALUE(C4)&gt;VALUE("13:00"),VALUE(C4)&gt;VALUE("13:00")),"RETARDO",IF(EXACT(C4,"F"),"FALTA","√"))))))</f>
        <v>DESCANSO</v>
      </c>
      <c r="F4" s="35" t="str">
        <f>IF(EXACT(D4,"F"),"FALTA",IF(EXACT(D4,"D"),"DESCANSO",IF(EXACT(D4,""),"",IF(EXACT(D4,"P"),"PERMISO",IF(IF(WEEKDAY(A4,11)&gt;=4,VALUE(D4)&gt;VALUE("13:00"),VALUE(D4)&gt;VALUE("13:00")),"RETARDO",IF(EXACT(D4,"F"),"FALTA","√"))))))</f>
        <v>DESCANSO</v>
      </c>
      <c r="I4" t="s">
        <v>7</v>
      </c>
      <c r="J4">
        <f>COUNTIF($F$4:$F$18,"RETARDO")</f>
        <v>0</v>
      </c>
      <c r="K4">
        <f>COUNTIF(E$4:E$18,"RETARDO")</f>
        <v>0</v>
      </c>
    </row>
    <row r="5" spans="1:11" x14ac:dyDescent="0.25">
      <c r="A5" s="1">
        <v>44563</v>
      </c>
      <c r="B5" s="10" t="s">
        <v>13</v>
      </c>
      <c r="C5" s="3">
        <v>0.52083333333333337</v>
      </c>
      <c r="D5" s="3">
        <v>0.52777777777777779</v>
      </c>
      <c r="E5" s="35" t="str">
        <f t="shared" ref="E5:E63" si="0">IF(EXACT(C5,"F"),"FALTA",IF(EXACT(C5,"D"),"DESCANSO",IF(EXACT(C5,""),"",IF(EXACT(C5,"P"),"PERMISO",IF(IF(WEEKDAY(A5,11)&gt;=4,VALUE(C5)&gt;VALUE("13:00"),VALUE(C5)&gt;VALUE("13:00")),"RETARDO",IF(EXACT(C5,"F"),"FALTA","√"))))))</f>
        <v>√</v>
      </c>
      <c r="F5" s="35" t="str">
        <f t="shared" ref="F5:F63" si="1">IF(EXACT(D5,"F"),"FALTA",IF(EXACT(D5,"D"),"DESCANSO",IF(EXACT(D5,""),"",IF(EXACT(D5,"P"),"PERMISO",IF(IF(WEEKDAY(A5,11)&gt;=4,VALUE(D5)&gt;VALUE("13:00"),VALUE(D5)&gt;VALUE("13:00")),"RETARDO",IF(EXACT(D5,"F"),"FALTA","√"))))))</f>
        <v>√</v>
      </c>
      <c r="I5" t="s">
        <v>9</v>
      </c>
      <c r="J5">
        <f>COUNTIF($F$4:$F$18,"FALTA")</f>
        <v>1</v>
      </c>
      <c r="K5">
        <f>COUNTIF(E$4:E$18,"FALTA")</f>
        <v>0</v>
      </c>
    </row>
    <row r="6" spans="1:11" x14ac:dyDescent="0.25">
      <c r="A6" s="1">
        <v>44564</v>
      </c>
      <c r="B6" s="10" t="s">
        <v>14</v>
      </c>
      <c r="C6" s="3" t="s">
        <v>15</v>
      </c>
      <c r="D6" s="3">
        <v>0.52777777777777779</v>
      </c>
      <c r="E6" s="35" t="str">
        <f t="shared" si="0"/>
        <v>DESCANSO</v>
      </c>
      <c r="F6" s="35" t="str">
        <f t="shared" si="1"/>
        <v>√</v>
      </c>
      <c r="I6" t="s">
        <v>11</v>
      </c>
      <c r="J6">
        <f>ROUNDDOWN(J4/3,0)+J5</f>
        <v>1</v>
      </c>
      <c r="K6">
        <f>ROUNDDOWN(K4/3,0)+K5</f>
        <v>0</v>
      </c>
    </row>
    <row r="7" spans="1:11" x14ac:dyDescent="0.25">
      <c r="A7" s="1">
        <v>44565</v>
      </c>
      <c r="B7" s="10" t="s">
        <v>16</v>
      </c>
      <c r="C7" s="3">
        <v>0.52777777777777779</v>
      </c>
      <c r="D7" s="3">
        <v>0.52777777777777779</v>
      </c>
      <c r="E7" s="35" t="str">
        <f t="shared" si="0"/>
        <v>√</v>
      </c>
      <c r="F7" s="35" t="str">
        <f t="shared" si="1"/>
        <v>√</v>
      </c>
    </row>
    <row r="8" spans="1:11" x14ac:dyDescent="0.25">
      <c r="A8" s="1">
        <v>44566</v>
      </c>
      <c r="B8" s="10" t="s">
        <v>17</v>
      </c>
      <c r="C8" s="3">
        <v>0.53472222222222221</v>
      </c>
      <c r="D8" s="3" t="s">
        <v>15</v>
      </c>
      <c r="E8" s="35" t="str">
        <f t="shared" si="0"/>
        <v>√</v>
      </c>
      <c r="F8" s="35" t="str">
        <f t="shared" si="1"/>
        <v>DESCANSO</v>
      </c>
    </row>
    <row r="9" spans="1:11" x14ac:dyDescent="0.25">
      <c r="A9" s="1">
        <v>44567</v>
      </c>
      <c r="B9" s="10" t="s">
        <v>8</v>
      </c>
      <c r="C9" s="3">
        <v>0.53472222222222221</v>
      </c>
      <c r="D9" s="3">
        <v>0.53472222222222221</v>
      </c>
      <c r="E9" s="35" t="str">
        <f t="shared" si="0"/>
        <v>√</v>
      </c>
      <c r="F9" s="35" t="str">
        <f t="shared" si="1"/>
        <v>√</v>
      </c>
    </row>
    <row r="10" spans="1:11" x14ac:dyDescent="0.25">
      <c r="A10" s="1">
        <v>44568</v>
      </c>
      <c r="B10" s="10" t="s">
        <v>10</v>
      </c>
      <c r="C10" s="3">
        <v>0.53472222222222221</v>
      </c>
      <c r="D10" s="3">
        <v>0.53472222222222221</v>
      </c>
      <c r="E10" s="35" t="str">
        <f t="shared" si="0"/>
        <v>√</v>
      </c>
      <c r="F10" s="35" t="str">
        <f t="shared" si="1"/>
        <v>√</v>
      </c>
    </row>
    <row r="11" spans="1:11" x14ac:dyDescent="0.25">
      <c r="A11" s="1">
        <v>44569</v>
      </c>
      <c r="B11" s="10" t="s">
        <v>12</v>
      </c>
      <c r="C11" s="3">
        <v>0.52777777777777779</v>
      </c>
      <c r="D11" s="3" t="s">
        <v>110</v>
      </c>
      <c r="E11" s="35" t="str">
        <f t="shared" si="0"/>
        <v>√</v>
      </c>
      <c r="F11" s="35" t="str">
        <f t="shared" si="1"/>
        <v>FALTA</v>
      </c>
    </row>
    <row r="12" spans="1:11" x14ac:dyDescent="0.25">
      <c r="A12" s="1">
        <v>44570</v>
      </c>
      <c r="B12" s="10" t="s">
        <v>13</v>
      </c>
      <c r="C12" s="3">
        <v>0.52777777777777779</v>
      </c>
      <c r="D12" s="3">
        <v>0.52777777777777779</v>
      </c>
      <c r="E12" s="35" t="str">
        <f t="shared" si="0"/>
        <v>√</v>
      </c>
      <c r="F12" s="35" t="str">
        <f t="shared" si="1"/>
        <v>√</v>
      </c>
    </row>
    <row r="13" spans="1:11" x14ac:dyDescent="0.25">
      <c r="A13" s="1">
        <v>44571</v>
      </c>
      <c r="B13" s="10" t="s">
        <v>14</v>
      </c>
      <c r="C13" s="3">
        <v>0.53819444444444442</v>
      </c>
      <c r="D13" s="3" t="s">
        <v>15</v>
      </c>
      <c r="E13" s="35" t="str">
        <f t="shared" si="0"/>
        <v>√</v>
      </c>
      <c r="F13" s="35" t="str">
        <f t="shared" si="1"/>
        <v>DESCANSO</v>
      </c>
      <c r="G13" s="35" t="s">
        <v>18</v>
      </c>
    </row>
    <row r="14" spans="1:11" x14ac:dyDescent="0.25">
      <c r="A14" s="1">
        <v>44572</v>
      </c>
      <c r="B14" s="10" t="s">
        <v>16</v>
      </c>
      <c r="C14" s="3">
        <v>0.52777777777777779</v>
      </c>
      <c r="D14" s="3">
        <v>0.52777777777777779</v>
      </c>
      <c r="E14" s="35" t="str">
        <f t="shared" si="0"/>
        <v>√</v>
      </c>
      <c r="F14" s="35" t="str">
        <f t="shared" si="1"/>
        <v>√</v>
      </c>
    </row>
    <row r="15" spans="1:11" x14ac:dyDescent="0.25">
      <c r="A15" s="1">
        <v>44573</v>
      </c>
      <c r="B15" s="10" t="s">
        <v>17</v>
      </c>
      <c r="C15" s="3" t="s">
        <v>15</v>
      </c>
      <c r="D15" s="3">
        <v>0.53819444444444442</v>
      </c>
      <c r="E15" s="35" t="str">
        <f t="shared" si="0"/>
        <v>DESCANSO</v>
      </c>
      <c r="F15" s="35" t="str">
        <f t="shared" si="1"/>
        <v>√</v>
      </c>
    </row>
    <row r="16" spans="1:11" x14ac:dyDescent="0.25">
      <c r="A16" s="1">
        <v>44574</v>
      </c>
      <c r="B16" s="10" t="s">
        <v>8</v>
      </c>
      <c r="C16" s="3" t="s">
        <v>15</v>
      </c>
      <c r="D16" s="3">
        <v>0.53472222222222221</v>
      </c>
      <c r="E16" s="35" t="str">
        <f t="shared" si="0"/>
        <v>DESCANSO</v>
      </c>
      <c r="F16" s="35" t="str">
        <f t="shared" si="1"/>
        <v>√</v>
      </c>
    </row>
    <row r="17" spans="1:14" x14ac:dyDescent="0.25">
      <c r="A17" s="1">
        <v>44575</v>
      </c>
      <c r="B17" s="10" t="s">
        <v>10</v>
      </c>
      <c r="C17" s="3">
        <v>0.53125</v>
      </c>
      <c r="D17" s="3">
        <v>0.52777777777777779</v>
      </c>
      <c r="E17" s="35" t="str">
        <f t="shared" si="0"/>
        <v>√</v>
      </c>
      <c r="F17" s="35" t="str">
        <f t="shared" si="1"/>
        <v>√</v>
      </c>
    </row>
    <row r="18" spans="1:14" x14ac:dyDescent="0.25">
      <c r="A18" s="1">
        <v>44576</v>
      </c>
      <c r="B18" s="10" t="s">
        <v>12</v>
      </c>
      <c r="C18" s="3">
        <v>0.53819444444444442</v>
      </c>
      <c r="D18" s="3">
        <v>0.53819444444444442</v>
      </c>
      <c r="E18" s="35" t="str">
        <f t="shared" si="0"/>
        <v>√</v>
      </c>
      <c r="F18" s="35" t="str">
        <f t="shared" si="1"/>
        <v>√</v>
      </c>
      <c r="J18" s="36" t="s">
        <v>137</v>
      </c>
      <c r="K18" s="36"/>
    </row>
    <row r="19" spans="1:14" x14ac:dyDescent="0.25">
      <c r="A19" s="1">
        <v>44577</v>
      </c>
      <c r="B19" s="10" t="s">
        <v>13</v>
      </c>
      <c r="C19" s="3">
        <v>0.53472222222222221</v>
      </c>
      <c r="D19" s="3">
        <v>0.53472222222222221</v>
      </c>
      <c r="E19" s="35" t="str">
        <f t="shared" si="0"/>
        <v>√</v>
      </c>
      <c r="F19" s="35" t="str">
        <f t="shared" si="1"/>
        <v>√</v>
      </c>
      <c r="I19" s="7" t="s">
        <v>5</v>
      </c>
      <c r="J19" s="7" t="s">
        <v>4</v>
      </c>
      <c r="K19" s="7" t="s">
        <v>3</v>
      </c>
    </row>
    <row r="20" spans="1:14" x14ac:dyDescent="0.25">
      <c r="A20" s="1">
        <v>44578</v>
      </c>
      <c r="B20" s="10" t="s">
        <v>14</v>
      </c>
      <c r="C20" s="3">
        <v>0.53472222222222221</v>
      </c>
      <c r="D20" s="3" t="s">
        <v>15</v>
      </c>
      <c r="E20" s="35" t="str">
        <f t="shared" si="0"/>
        <v>√</v>
      </c>
      <c r="F20" s="35" t="str">
        <f t="shared" si="1"/>
        <v>DESCANSO</v>
      </c>
      <c r="I20" t="s">
        <v>7</v>
      </c>
      <c r="J20">
        <f>COUNTIF($F$19:$F$33,"RETARDO")</f>
        <v>2</v>
      </c>
      <c r="K20">
        <f>COUNTIF(E$19:E$33,"RETARDO")</f>
        <v>0</v>
      </c>
    </row>
    <row r="21" spans="1:14" x14ac:dyDescent="0.25">
      <c r="A21" s="1">
        <v>44579</v>
      </c>
      <c r="B21" s="10" t="s">
        <v>16</v>
      </c>
      <c r="C21" s="3">
        <v>0.52777777777777779</v>
      </c>
      <c r="D21" s="3">
        <v>0.52777777777777779</v>
      </c>
      <c r="E21" s="35" t="str">
        <f t="shared" si="0"/>
        <v>√</v>
      </c>
      <c r="F21" s="35" t="str">
        <f t="shared" si="1"/>
        <v>√</v>
      </c>
      <c r="I21" t="s">
        <v>9</v>
      </c>
      <c r="J21">
        <f>COUNTIF($F$19:$F$33,"FALTA")</f>
        <v>1</v>
      </c>
      <c r="K21">
        <f>COUNTIF(E$19:E$33,"FALTA")</f>
        <v>0</v>
      </c>
    </row>
    <row r="22" spans="1:14" x14ac:dyDescent="0.25">
      <c r="A22" s="1">
        <v>44580</v>
      </c>
      <c r="B22" s="10" t="s">
        <v>17</v>
      </c>
      <c r="C22" s="3">
        <v>0.53819444444444442</v>
      </c>
      <c r="D22" s="3">
        <v>0.53819444444444442</v>
      </c>
      <c r="E22" s="35" t="str">
        <f t="shared" si="0"/>
        <v>√</v>
      </c>
      <c r="F22" s="35" t="str">
        <f t="shared" si="1"/>
        <v>√</v>
      </c>
      <c r="I22" t="s">
        <v>11</v>
      </c>
      <c r="J22">
        <f>ROUNDDOWN(J20/3,0)+J21</f>
        <v>1</v>
      </c>
      <c r="K22">
        <f>ROUNDDOWN(K20/3,0)+K21</f>
        <v>0</v>
      </c>
    </row>
    <row r="23" spans="1:14" x14ac:dyDescent="0.25">
      <c r="A23" s="1">
        <v>44581</v>
      </c>
      <c r="B23" s="10" t="s">
        <v>8</v>
      </c>
      <c r="C23" s="3">
        <v>0.53819444444444442</v>
      </c>
      <c r="D23" s="3">
        <v>0.53819444444444442</v>
      </c>
      <c r="E23" s="35" t="str">
        <f t="shared" si="0"/>
        <v>√</v>
      </c>
      <c r="F23" s="35" t="str">
        <f t="shared" si="1"/>
        <v>√</v>
      </c>
      <c r="N23" s="1"/>
    </row>
    <row r="24" spans="1:14" x14ac:dyDescent="0.25">
      <c r="A24" s="1">
        <v>44582</v>
      </c>
      <c r="B24" s="10" t="s">
        <v>10</v>
      </c>
      <c r="C24" s="3">
        <v>0.53819444444444442</v>
      </c>
      <c r="D24" s="3">
        <v>0.53819444444444442</v>
      </c>
      <c r="E24" s="35" t="str">
        <f t="shared" si="0"/>
        <v>√</v>
      </c>
      <c r="F24" s="35" t="str">
        <f t="shared" si="1"/>
        <v>√</v>
      </c>
      <c r="N24" s="1"/>
    </row>
    <row r="25" spans="1:14" x14ac:dyDescent="0.25">
      <c r="A25" s="1">
        <v>44583</v>
      </c>
      <c r="B25" s="10" t="s">
        <v>12</v>
      </c>
      <c r="C25" s="3">
        <v>0.53819444444444442</v>
      </c>
      <c r="D25" s="3" t="s">
        <v>110</v>
      </c>
      <c r="E25" s="35" t="str">
        <f t="shared" si="0"/>
        <v>√</v>
      </c>
      <c r="F25" s="35" t="str">
        <f t="shared" si="1"/>
        <v>FALTA</v>
      </c>
      <c r="N25" s="1"/>
    </row>
    <row r="26" spans="1:14" x14ac:dyDescent="0.25">
      <c r="A26" s="1">
        <v>44584</v>
      </c>
      <c r="B26" s="10" t="s">
        <v>13</v>
      </c>
      <c r="C26" s="3">
        <v>0.53125</v>
      </c>
      <c r="D26" s="3">
        <v>0.53125</v>
      </c>
      <c r="E26" s="35" t="str">
        <f t="shared" si="0"/>
        <v>√</v>
      </c>
      <c r="F26" s="35" t="str">
        <f t="shared" si="1"/>
        <v>√</v>
      </c>
      <c r="N26" s="1"/>
    </row>
    <row r="27" spans="1:14" x14ac:dyDescent="0.25">
      <c r="A27" s="1">
        <v>44585</v>
      </c>
      <c r="B27" s="10" t="s">
        <v>14</v>
      </c>
      <c r="C27" s="3" t="s">
        <v>15</v>
      </c>
      <c r="D27" s="3">
        <v>0.5395833333333333</v>
      </c>
      <c r="E27" s="35" t="str">
        <f t="shared" si="0"/>
        <v>DESCANSO</v>
      </c>
      <c r="F27" s="35" t="str">
        <f t="shared" si="1"/>
        <v>√</v>
      </c>
    </row>
    <row r="28" spans="1:14" ht="15" customHeight="1" x14ac:dyDescent="0.25">
      <c r="A28" s="1">
        <v>44586</v>
      </c>
      <c r="B28" s="10" t="s">
        <v>16</v>
      </c>
      <c r="C28" s="3">
        <v>0.54097222222222219</v>
      </c>
      <c r="D28" s="3">
        <v>0.54027777777777775</v>
      </c>
      <c r="E28" s="35" t="str">
        <f t="shared" si="0"/>
        <v>√</v>
      </c>
      <c r="F28" s="35" t="str">
        <f t="shared" si="1"/>
        <v>√</v>
      </c>
    </row>
    <row r="29" spans="1:14" ht="15" customHeight="1" x14ac:dyDescent="0.25">
      <c r="A29" s="1">
        <v>44587</v>
      </c>
      <c r="B29" s="10" t="s">
        <v>17</v>
      </c>
      <c r="C29" s="3">
        <v>0.53819444444444442</v>
      </c>
      <c r="D29" s="3" t="s">
        <v>15</v>
      </c>
      <c r="E29" s="35" t="str">
        <f t="shared" si="0"/>
        <v>√</v>
      </c>
      <c r="F29" s="35" t="str">
        <f t="shared" si="1"/>
        <v>DESCANSO</v>
      </c>
      <c r="J29" s="36" t="s">
        <v>139</v>
      </c>
      <c r="K29" s="36"/>
    </row>
    <row r="30" spans="1:14" ht="15" customHeight="1" x14ac:dyDescent="0.25">
      <c r="A30" s="1">
        <v>44588</v>
      </c>
      <c r="B30" s="10" t="s">
        <v>8</v>
      </c>
      <c r="C30" s="3">
        <v>0.53125</v>
      </c>
      <c r="D30" s="3">
        <v>0.53125</v>
      </c>
      <c r="E30" s="35" t="str">
        <f t="shared" si="0"/>
        <v>√</v>
      </c>
      <c r="F30" s="35" t="str">
        <f t="shared" si="1"/>
        <v>√</v>
      </c>
      <c r="I30" s="7" t="s">
        <v>5</v>
      </c>
      <c r="J30" s="7" t="s">
        <v>4</v>
      </c>
      <c r="K30" s="7" t="s">
        <v>3</v>
      </c>
    </row>
    <row r="31" spans="1:14" x14ac:dyDescent="0.25">
      <c r="A31" s="1">
        <v>44589</v>
      </c>
      <c r="B31" s="10" t="s">
        <v>10</v>
      </c>
      <c r="C31" s="3">
        <v>0.53819444444444442</v>
      </c>
      <c r="D31" s="3">
        <v>0.54861111111111105</v>
      </c>
      <c r="E31" s="35" t="str">
        <f t="shared" si="0"/>
        <v>√</v>
      </c>
      <c r="F31" s="35" t="str">
        <f t="shared" si="1"/>
        <v>RETARDO</v>
      </c>
      <c r="I31" t="s">
        <v>7</v>
      </c>
      <c r="J31">
        <f>COUNTIF($F$34:$F$48,"RETARDO")</f>
        <v>0</v>
      </c>
      <c r="K31">
        <f>COUNTIF(E$34:E$48,"RETARDO")</f>
        <v>0</v>
      </c>
    </row>
    <row r="32" spans="1:14" x14ac:dyDescent="0.25">
      <c r="A32" s="1">
        <v>44590</v>
      </c>
      <c r="B32" s="10" t="s">
        <v>12</v>
      </c>
      <c r="C32" s="3">
        <v>0.52777777777777779</v>
      </c>
      <c r="D32" s="3">
        <v>0.54166666666666663</v>
      </c>
      <c r="E32" s="35" t="str">
        <f t="shared" si="0"/>
        <v>√</v>
      </c>
      <c r="F32" s="35" t="str">
        <f t="shared" si="1"/>
        <v>√</v>
      </c>
      <c r="G32" s="3">
        <v>0.54513888888888895</v>
      </c>
      <c r="I32" t="s">
        <v>9</v>
      </c>
      <c r="J32">
        <f>COUNTIF($F$34:$F$48,"FALTA")</f>
        <v>0</v>
      </c>
      <c r="K32">
        <f>COUNTIF(E$34:E$48,"FALTA")</f>
        <v>0</v>
      </c>
      <c r="N32" s="34"/>
    </row>
    <row r="33" spans="1:13" x14ac:dyDescent="0.25">
      <c r="A33" s="1">
        <v>44591</v>
      </c>
      <c r="B33" s="10" t="s">
        <v>13</v>
      </c>
      <c r="C33" s="3">
        <v>0.53472222222222221</v>
      </c>
      <c r="D33" s="3">
        <v>0.55555555555555558</v>
      </c>
      <c r="E33" s="35" t="str">
        <f t="shared" si="0"/>
        <v>√</v>
      </c>
      <c r="F33" s="35" t="str">
        <f t="shared" si="1"/>
        <v>RETARDO</v>
      </c>
      <c r="I33" t="s">
        <v>11</v>
      </c>
      <c r="J33">
        <f>ROUNDDOWN(J31/3,0)+J32</f>
        <v>0</v>
      </c>
      <c r="K33">
        <f>ROUNDDOWN(K31/3,0)+K32</f>
        <v>0</v>
      </c>
    </row>
    <row r="34" spans="1:13" x14ac:dyDescent="0.25">
      <c r="A34" s="1">
        <v>44592</v>
      </c>
      <c r="B34" s="10" t="s">
        <v>14</v>
      </c>
      <c r="C34" s="3" t="s">
        <v>15</v>
      </c>
      <c r="D34" s="3">
        <v>0.53125</v>
      </c>
      <c r="E34" s="35" t="str">
        <f t="shared" si="0"/>
        <v>DESCANSO</v>
      </c>
      <c r="F34" s="35" t="str">
        <f t="shared" si="1"/>
        <v>√</v>
      </c>
    </row>
    <row r="35" spans="1:13" x14ac:dyDescent="0.25">
      <c r="A35" s="1">
        <v>44593</v>
      </c>
      <c r="B35" s="10" t="s">
        <v>16</v>
      </c>
      <c r="C35" s="3">
        <v>0.53472222222222221</v>
      </c>
      <c r="D35" s="3">
        <v>0.53472222222222221</v>
      </c>
      <c r="E35" s="35" t="str">
        <f t="shared" si="0"/>
        <v>√</v>
      </c>
      <c r="F35" s="35" t="str">
        <f t="shared" si="1"/>
        <v>√</v>
      </c>
      <c r="M35" t="s">
        <v>18</v>
      </c>
    </row>
    <row r="36" spans="1:13" x14ac:dyDescent="0.25">
      <c r="A36" s="1">
        <v>44594</v>
      </c>
      <c r="B36" s="10" t="s">
        <v>17</v>
      </c>
      <c r="C36" s="3">
        <v>0.53472222222222221</v>
      </c>
      <c r="D36" s="3" t="s">
        <v>15</v>
      </c>
      <c r="E36" s="35" t="str">
        <f t="shared" si="0"/>
        <v>√</v>
      </c>
      <c r="F36" s="35" t="str">
        <f t="shared" si="1"/>
        <v>DESCANSO</v>
      </c>
    </row>
    <row r="37" spans="1:13" x14ac:dyDescent="0.25">
      <c r="A37" s="1">
        <v>44595</v>
      </c>
      <c r="B37" s="10" t="s">
        <v>8</v>
      </c>
      <c r="C37" s="3"/>
      <c r="D37" s="3"/>
      <c r="E37" s="35" t="str">
        <f t="shared" si="0"/>
        <v/>
      </c>
      <c r="F37" s="35" t="str">
        <f t="shared" si="1"/>
        <v/>
      </c>
      <c r="G37" s="3"/>
    </row>
    <row r="38" spans="1:13" x14ac:dyDescent="0.25">
      <c r="A38" s="1">
        <v>44596</v>
      </c>
      <c r="B38" s="10" t="s">
        <v>10</v>
      </c>
      <c r="C38" s="3"/>
      <c r="D38" s="3"/>
      <c r="E38" s="35" t="str">
        <f t="shared" si="0"/>
        <v/>
      </c>
      <c r="F38" s="35" t="str">
        <f t="shared" si="1"/>
        <v/>
      </c>
    </row>
    <row r="39" spans="1:13" x14ac:dyDescent="0.25">
      <c r="A39" s="1">
        <v>44597</v>
      </c>
      <c r="B39" s="10" t="s">
        <v>12</v>
      </c>
      <c r="C39" s="3"/>
      <c r="D39" s="3"/>
      <c r="E39" s="35" t="str">
        <f t="shared" si="0"/>
        <v/>
      </c>
      <c r="F39" s="35" t="str">
        <f t="shared" si="1"/>
        <v/>
      </c>
    </row>
    <row r="40" spans="1:13" x14ac:dyDescent="0.25">
      <c r="A40" s="1">
        <v>44598</v>
      </c>
      <c r="B40" s="10" t="s">
        <v>13</v>
      </c>
      <c r="C40" s="3"/>
      <c r="D40" s="3"/>
      <c r="E40" s="35" t="str">
        <f t="shared" si="0"/>
        <v/>
      </c>
      <c r="F40" s="35" t="str">
        <f t="shared" si="1"/>
        <v/>
      </c>
    </row>
    <row r="41" spans="1:13" x14ac:dyDescent="0.25">
      <c r="A41" s="1">
        <v>44599</v>
      </c>
      <c r="B41" s="10" t="s">
        <v>14</v>
      </c>
      <c r="C41" s="3"/>
      <c r="D41" s="3"/>
      <c r="E41" s="35" t="str">
        <f t="shared" si="0"/>
        <v/>
      </c>
      <c r="F41" s="35" t="str">
        <f t="shared" si="1"/>
        <v/>
      </c>
    </row>
    <row r="42" spans="1:13" x14ac:dyDescent="0.25">
      <c r="A42" s="1">
        <v>44600</v>
      </c>
      <c r="B42" s="10" t="s">
        <v>16</v>
      </c>
      <c r="C42" s="3"/>
      <c r="D42" s="3"/>
      <c r="E42" s="35" t="str">
        <f t="shared" si="0"/>
        <v/>
      </c>
      <c r="F42" s="35" t="str">
        <f t="shared" si="1"/>
        <v/>
      </c>
    </row>
    <row r="43" spans="1:13" x14ac:dyDescent="0.25">
      <c r="A43" s="1">
        <v>44601</v>
      </c>
      <c r="B43" s="10" t="s">
        <v>17</v>
      </c>
      <c r="C43" s="3"/>
      <c r="D43" s="3"/>
      <c r="E43" s="35" t="str">
        <f t="shared" si="0"/>
        <v/>
      </c>
      <c r="F43" s="35" t="str">
        <f t="shared" si="1"/>
        <v/>
      </c>
    </row>
    <row r="44" spans="1:13" x14ac:dyDescent="0.25">
      <c r="A44" s="1">
        <v>44602</v>
      </c>
      <c r="B44" s="10" t="s">
        <v>8</v>
      </c>
      <c r="C44" s="3"/>
      <c r="D44" s="3"/>
      <c r="E44" s="35" t="str">
        <f t="shared" si="0"/>
        <v/>
      </c>
      <c r="F44" s="35" t="str">
        <f t="shared" si="1"/>
        <v/>
      </c>
    </row>
    <row r="45" spans="1:13" x14ac:dyDescent="0.25">
      <c r="A45" s="1">
        <v>44603</v>
      </c>
      <c r="B45" s="10" t="s">
        <v>10</v>
      </c>
      <c r="C45" s="3"/>
      <c r="D45" s="3"/>
      <c r="E45" s="35" t="str">
        <f t="shared" si="0"/>
        <v/>
      </c>
      <c r="F45" s="35" t="str">
        <f t="shared" si="1"/>
        <v/>
      </c>
    </row>
    <row r="46" spans="1:13" x14ac:dyDescent="0.25">
      <c r="A46" s="1">
        <v>44604</v>
      </c>
      <c r="B46" s="10" t="s">
        <v>12</v>
      </c>
      <c r="C46" s="3"/>
      <c r="D46" s="3"/>
      <c r="E46" s="35" t="str">
        <f t="shared" si="0"/>
        <v/>
      </c>
      <c r="F46" s="35" t="str">
        <f t="shared" si="1"/>
        <v/>
      </c>
      <c r="J46" s="36" t="s">
        <v>22</v>
      </c>
      <c r="K46" s="36"/>
    </row>
    <row r="47" spans="1:13" x14ac:dyDescent="0.25">
      <c r="A47" s="1">
        <v>44605</v>
      </c>
      <c r="B47" s="10" t="s">
        <v>13</v>
      </c>
      <c r="C47" s="3"/>
      <c r="D47" s="3"/>
      <c r="E47" s="35" t="str">
        <f t="shared" si="0"/>
        <v/>
      </c>
      <c r="F47" s="35" t="str">
        <f t="shared" si="1"/>
        <v/>
      </c>
      <c r="I47" s="7" t="s">
        <v>5</v>
      </c>
      <c r="J47" s="7" t="s">
        <v>4</v>
      </c>
      <c r="K47" s="7" t="s">
        <v>3</v>
      </c>
    </row>
    <row r="48" spans="1:13" x14ac:dyDescent="0.25">
      <c r="A48" s="1">
        <v>44606</v>
      </c>
      <c r="B48" s="10" t="s">
        <v>14</v>
      </c>
      <c r="C48" s="3"/>
      <c r="D48" s="3"/>
      <c r="E48" s="35" t="str">
        <f t="shared" si="0"/>
        <v/>
      </c>
      <c r="F48" s="35" t="str">
        <f t="shared" si="1"/>
        <v/>
      </c>
      <c r="I48" t="s">
        <v>7</v>
      </c>
      <c r="J48">
        <f>COUNTIF(F$49:F$62,"RETARDO")</f>
        <v>0</v>
      </c>
      <c r="K48">
        <f>COUNTIF(E$49:E$63,"RETARDO")</f>
        <v>0</v>
      </c>
    </row>
    <row r="49" spans="1:14" x14ac:dyDescent="0.25">
      <c r="A49" s="1">
        <v>44607</v>
      </c>
      <c r="B49" s="10" t="s">
        <v>16</v>
      </c>
      <c r="C49" s="3"/>
      <c r="D49" s="3"/>
      <c r="E49" s="35" t="str">
        <f t="shared" si="0"/>
        <v/>
      </c>
      <c r="F49" s="35" t="str">
        <f t="shared" si="1"/>
        <v/>
      </c>
      <c r="I49" t="s">
        <v>9</v>
      </c>
      <c r="J49">
        <f>COUNTIF(F$49:F$63,"FALTA")</f>
        <v>0</v>
      </c>
      <c r="K49">
        <f>COUNTIF(E$49:E$63,"FALTA")</f>
        <v>0</v>
      </c>
    </row>
    <row r="50" spans="1:14" x14ac:dyDescent="0.25">
      <c r="A50" s="1">
        <v>44608</v>
      </c>
      <c r="B50" s="10" t="s">
        <v>17</v>
      </c>
      <c r="C50" s="3"/>
      <c r="D50" s="3"/>
      <c r="E50" s="35" t="str">
        <f t="shared" si="0"/>
        <v/>
      </c>
      <c r="F50" s="35" t="str">
        <f t="shared" si="1"/>
        <v/>
      </c>
      <c r="I50" t="s">
        <v>11</v>
      </c>
      <c r="J50">
        <f>ROUNDDOWN(J48/3,0)+J49</f>
        <v>0</v>
      </c>
      <c r="K50">
        <f>ROUNDDOWN(K48/3,0)+K49</f>
        <v>0</v>
      </c>
    </row>
    <row r="51" spans="1:14" x14ac:dyDescent="0.25">
      <c r="A51" s="1">
        <v>44609</v>
      </c>
      <c r="B51" s="10" t="s">
        <v>8</v>
      </c>
      <c r="C51" s="3"/>
      <c r="D51" s="3"/>
      <c r="E51" s="35" t="str">
        <f t="shared" si="0"/>
        <v/>
      </c>
      <c r="F51" s="35" t="str">
        <f t="shared" si="1"/>
        <v/>
      </c>
    </row>
    <row r="52" spans="1:14" x14ac:dyDescent="0.25">
      <c r="A52" s="1">
        <v>44610</v>
      </c>
      <c r="B52" s="10" t="s">
        <v>10</v>
      </c>
      <c r="C52" s="3"/>
      <c r="D52" s="3"/>
      <c r="E52" s="35" t="str">
        <f t="shared" si="0"/>
        <v/>
      </c>
      <c r="F52" s="35" t="str">
        <f t="shared" si="1"/>
        <v/>
      </c>
    </row>
    <row r="53" spans="1:14" x14ac:dyDescent="0.25">
      <c r="A53" s="1">
        <v>44611</v>
      </c>
      <c r="B53" s="10" t="s">
        <v>12</v>
      </c>
      <c r="C53" s="3"/>
      <c r="D53" s="3"/>
      <c r="E53" s="35" t="str">
        <f t="shared" si="0"/>
        <v/>
      </c>
      <c r="F53" s="35" t="str">
        <f t="shared" si="1"/>
        <v/>
      </c>
    </row>
    <row r="54" spans="1:14" x14ac:dyDescent="0.25">
      <c r="A54" s="1">
        <v>44612</v>
      </c>
      <c r="B54" s="10" t="s">
        <v>13</v>
      </c>
      <c r="C54" s="3"/>
      <c r="D54" s="3"/>
      <c r="E54" s="35" t="str">
        <f t="shared" si="0"/>
        <v/>
      </c>
      <c r="F54" s="35" t="str">
        <f t="shared" si="1"/>
        <v/>
      </c>
      <c r="G54" s="35" t="s">
        <v>142</v>
      </c>
    </row>
    <row r="55" spans="1:14" x14ac:dyDescent="0.25">
      <c r="A55" s="1">
        <v>44613</v>
      </c>
      <c r="B55" s="10" t="s">
        <v>14</v>
      </c>
      <c r="C55" s="3"/>
      <c r="D55" s="27"/>
      <c r="E55" s="35" t="str">
        <f t="shared" si="0"/>
        <v/>
      </c>
      <c r="F55" s="35" t="str">
        <f t="shared" si="1"/>
        <v/>
      </c>
    </row>
    <row r="56" spans="1:14" x14ac:dyDescent="0.25">
      <c r="A56" s="1">
        <v>44614</v>
      </c>
      <c r="B56" s="10" t="s">
        <v>16</v>
      </c>
      <c r="C56" s="3"/>
      <c r="D56" s="3"/>
      <c r="E56" s="35" t="str">
        <f t="shared" si="0"/>
        <v/>
      </c>
      <c r="F56" s="35" t="str">
        <f t="shared" si="1"/>
        <v/>
      </c>
    </row>
    <row r="57" spans="1:14" x14ac:dyDescent="0.25">
      <c r="A57" s="1">
        <v>44615</v>
      </c>
      <c r="B57" s="10" t="s">
        <v>17</v>
      </c>
      <c r="C57" s="3"/>
      <c r="D57" s="27"/>
      <c r="E57" s="35" t="str">
        <f t="shared" si="0"/>
        <v/>
      </c>
      <c r="F57" s="35" t="str">
        <f t="shared" si="1"/>
        <v/>
      </c>
      <c r="J57" s="36" t="s">
        <v>22</v>
      </c>
      <c r="K57" s="36"/>
    </row>
    <row r="58" spans="1:14" x14ac:dyDescent="0.25">
      <c r="A58" s="1">
        <v>44616</v>
      </c>
      <c r="B58" s="10" t="s">
        <v>8</v>
      </c>
      <c r="C58" s="3"/>
      <c r="D58" s="3"/>
      <c r="E58" s="35" t="str">
        <f t="shared" si="0"/>
        <v/>
      </c>
      <c r="F58" s="35" t="str">
        <f t="shared" si="1"/>
        <v/>
      </c>
      <c r="I58" s="7" t="s">
        <v>5</v>
      </c>
      <c r="J58" s="7" t="s">
        <v>23</v>
      </c>
      <c r="K58" s="7" t="s">
        <v>24</v>
      </c>
    </row>
    <row r="59" spans="1:14" x14ac:dyDescent="0.25">
      <c r="A59" s="1">
        <v>44617</v>
      </c>
      <c r="B59" s="10" t="s">
        <v>10</v>
      </c>
      <c r="C59" s="3"/>
      <c r="D59" s="3"/>
      <c r="E59" s="35" t="str">
        <f t="shared" si="0"/>
        <v/>
      </c>
      <c r="F59" s="35" t="str">
        <f t="shared" si="1"/>
        <v/>
      </c>
      <c r="I59" t="s">
        <v>7</v>
      </c>
      <c r="J59">
        <f>COUNTIF(F$58:F$62,"RETARDO")</f>
        <v>0</v>
      </c>
      <c r="K59">
        <f>COUNTIF(E$58:E$62,"RETARDO")</f>
        <v>0</v>
      </c>
    </row>
    <row r="60" spans="1:14" x14ac:dyDescent="0.25">
      <c r="A60" s="1">
        <v>44618</v>
      </c>
      <c r="B60" s="10" t="s">
        <v>12</v>
      </c>
      <c r="C60" s="3"/>
      <c r="D60" s="3"/>
      <c r="E60" s="35" t="str">
        <f t="shared" si="0"/>
        <v/>
      </c>
      <c r="F60" s="35" t="str">
        <f t="shared" si="1"/>
        <v/>
      </c>
      <c r="I60" t="s">
        <v>9</v>
      </c>
      <c r="J60">
        <f>COUNTIF(F$58:F$62,"FALTA")</f>
        <v>0</v>
      </c>
      <c r="K60">
        <f>COUNTIF(E$58:E$62,"FALTA")</f>
        <v>0</v>
      </c>
    </row>
    <row r="61" spans="1:14" x14ac:dyDescent="0.25">
      <c r="A61" s="1">
        <v>44619</v>
      </c>
      <c r="B61" s="10" t="s">
        <v>13</v>
      </c>
      <c r="C61" s="3"/>
      <c r="D61" s="3"/>
      <c r="E61" s="35" t="str">
        <f t="shared" si="0"/>
        <v/>
      </c>
      <c r="F61" s="35" t="str">
        <f t="shared" si="1"/>
        <v/>
      </c>
      <c r="I61" t="s">
        <v>11</v>
      </c>
      <c r="J61">
        <f>ROUNDDOWN(J59/3,0)+J60</f>
        <v>0</v>
      </c>
      <c r="K61">
        <f>ROUNDDOWN(K59/3,0)+K60</f>
        <v>0</v>
      </c>
    </row>
    <row r="62" spans="1:14" x14ac:dyDescent="0.25">
      <c r="A62" s="1">
        <v>44620</v>
      </c>
      <c r="B62" s="10" t="s">
        <v>14</v>
      </c>
      <c r="C62" s="3"/>
      <c r="D62" s="3"/>
      <c r="E62" s="35" t="str">
        <f t="shared" si="0"/>
        <v/>
      </c>
      <c r="F62" s="35" t="str">
        <f t="shared" si="1"/>
        <v/>
      </c>
    </row>
    <row r="63" spans="1:14" s="35" customFormat="1" x14ac:dyDescent="0.25">
      <c r="A63" s="1"/>
      <c r="B63" s="10"/>
      <c r="C63" s="3"/>
      <c r="D63" s="3"/>
      <c r="E63" s="35" t="str">
        <f t="shared" si="0"/>
        <v/>
      </c>
      <c r="F63" s="35" t="str">
        <f t="shared" si="1"/>
        <v/>
      </c>
      <c r="H63"/>
      <c r="I63"/>
      <c r="J63"/>
      <c r="K63"/>
      <c r="L63"/>
      <c r="M63"/>
      <c r="N63"/>
    </row>
    <row r="64" spans="1:14" s="35" customFormat="1" x14ac:dyDescent="0.25">
      <c r="A64" s="1"/>
      <c r="B64" s="10"/>
      <c r="H64"/>
      <c r="I64"/>
      <c r="J64"/>
      <c r="K64"/>
      <c r="L64"/>
      <c r="M64"/>
      <c r="N64"/>
    </row>
  </sheetData>
  <mergeCells count="6">
    <mergeCell ref="J57:K57"/>
    <mergeCell ref="E2:G2"/>
    <mergeCell ref="J2:K2"/>
    <mergeCell ref="J18:K18"/>
    <mergeCell ref="J29:K29"/>
    <mergeCell ref="J46:K46"/>
  </mergeCells>
  <conditionalFormatting sqref="G4:G45 E4:F63">
    <cfRule type="containsText" dxfId="105" priority="13" operator="containsText" text="PERMISO">
      <formula>NOT(ISERROR(SEARCH("PERMISO",E4)))</formula>
    </cfRule>
    <cfRule type="containsText" dxfId="104" priority="14" operator="containsText" text="RETARDO">
      <formula>NOT(ISERROR(SEARCH("RETARDO",E4)))</formula>
    </cfRule>
    <cfRule type="containsText" dxfId="103" priority="15" operator="containsText" text="FALTA">
      <formula>NOT(ISERROR(SEARCH("FALTA",E4)))</formula>
    </cfRule>
  </conditionalFormatting>
  <conditionalFormatting sqref="I3:K3 E1:G1048576">
    <cfRule type="containsText" dxfId="102" priority="12" operator="containsText" text="√">
      <formula>NOT(ISERROR(SEARCH("√",E1)))</formula>
    </cfRule>
  </conditionalFormatting>
  <conditionalFormatting sqref="E1:F1048576">
    <cfRule type="containsText" dxfId="101" priority="11" operator="containsText" text="DESCANSO">
      <formula>NOT(ISERROR(SEARCH("DESCANSO",E1)))</formula>
    </cfRule>
  </conditionalFormatting>
  <conditionalFormatting sqref="I47:K47">
    <cfRule type="containsText" dxfId="100" priority="10" operator="containsText" text="√">
      <formula>NOT(ISERROR(SEARCH("√",I47)))</formula>
    </cfRule>
  </conditionalFormatting>
  <conditionalFormatting sqref="I58:K58">
    <cfRule type="containsText" dxfId="99" priority="9" operator="containsText" text="√">
      <formula>NOT(ISERROR(SEARCH("√",I58)))</formula>
    </cfRule>
  </conditionalFormatting>
  <conditionalFormatting sqref="I19">
    <cfRule type="containsText" dxfId="98" priority="8" operator="containsText" text="√">
      <formula>NOT(ISERROR(SEARCH("√",I19)))</formula>
    </cfRule>
  </conditionalFormatting>
  <conditionalFormatting sqref="I30:K30">
    <cfRule type="containsText" dxfId="97" priority="7" operator="containsText" text="√">
      <formula>NOT(ISERROR(SEARCH("√",I30)))</formula>
    </cfRule>
  </conditionalFormatting>
  <conditionalFormatting sqref="J19:K19">
    <cfRule type="containsText" dxfId="96" priority="1" operator="containsText" text="√">
      <formula>NOT(ISERROR(SEARCH("√",J19)))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66"/>
  <sheetViews>
    <sheetView topLeftCell="A42" workbookViewId="0">
      <selection activeCell="I66" sqref="I66"/>
    </sheetView>
  </sheetViews>
  <sheetFormatPr baseColWidth="10" defaultColWidth="11.42578125" defaultRowHeight="15" x14ac:dyDescent="0.25"/>
  <cols>
    <col min="2" max="2" width="15.85546875" style="25" bestFit="1" customWidth="1"/>
    <col min="3" max="3" width="11.42578125" style="25" customWidth="1"/>
    <col min="4" max="4" width="13.42578125" style="25" customWidth="1"/>
    <col min="5" max="6" width="11.85546875" style="25" customWidth="1"/>
    <col min="7" max="7" width="9.42578125" style="25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1" ht="15.75" thickBot="1" x14ac:dyDescent="0.3">
      <c r="B1" s="31"/>
      <c r="C1" s="31"/>
      <c r="D1" s="31"/>
      <c r="E1" s="31"/>
      <c r="F1" s="31"/>
      <c r="G1" s="31"/>
    </row>
    <row r="2" spans="1:11" ht="15.75" thickBot="1" x14ac:dyDescent="0.3">
      <c r="B2" s="31"/>
      <c r="C2" s="31"/>
      <c r="D2" s="31"/>
      <c r="E2" s="37"/>
      <c r="F2" s="37"/>
      <c r="G2" s="38"/>
      <c r="J2" s="36" t="s">
        <v>119</v>
      </c>
      <c r="K2" s="36"/>
    </row>
    <row r="3" spans="1:11" ht="15.75" thickBot="1" x14ac:dyDescent="0.3">
      <c r="A3" s="4" t="s">
        <v>1</v>
      </c>
      <c r="B3" s="9" t="s">
        <v>2</v>
      </c>
      <c r="C3" s="5" t="s">
        <v>24</v>
      </c>
      <c r="D3" s="5" t="s">
        <v>23</v>
      </c>
      <c r="E3" s="5" t="s">
        <v>24</v>
      </c>
      <c r="F3" s="21" t="s">
        <v>23</v>
      </c>
      <c r="G3" s="6"/>
      <c r="I3" s="7" t="s">
        <v>5</v>
      </c>
      <c r="J3" s="7" t="s">
        <v>23</v>
      </c>
      <c r="K3" s="7" t="s">
        <v>24</v>
      </c>
    </row>
    <row r="4" spans="1:11" x14ac:dyDescent="0.25">
      <c r="A4" s="1">
        <v>44255</v>
      </c>
      <c r="B4" s="10" t="s">
        <v>13</v>
      </c>
      <c r="C4" s="3">
        <v>0.5805555555555556</v>
      </c>
      <c r="D4" s="3">
        <v>0.55277777777777781</v>
      </c>
      <c r="E4" s="31" t="str">
        <f t="shared" ref="E4" si="0">IF(EXACT(C4,"F"),"FALTA",IF(EXACT(C4,"D"),"DESCANSO",IF(EXACT(C4,""),"",IF(EXACT(C4,"P"),"PERMISO",IF(IF(WEEKDAY(A4,11)&gt;=4,VALUE(C4)&gt;VALUE("13:10"),VALUE(C4)&gt;VALUE("13:10")),"RETARDO",IF(EXACT(C4,"F"),"FALTA","√"))))))</f>
        <v>RETARDO</v>
      </c>
      <c r="F4" s="31" t="str">
        <f t="shared" ref="F4" si="1">IF(EXACT(D4,"F"),"FALTA",IF(EXACT(D4,"D"),"DESCANSO",IF(EXACT(D4,""),"",IF(EXACT(D4,"P"),"PERMISO",IF(IF(WEEKDAY(A4,11)&gt;=4,VALUE(D4)&gt;VALUE("13:10"),VALUE(D4)&gt;VALUE("13:10")),"RETARDO",IF(EXACT(D4,"F"),"FALTA","√"))))))</f>
        <v>RETARDO</v>
      </c>
      <c r="G4" s="31"/>
      <c r="I4" t="s">
        <v>7</v>
      </c>
      <c r="J4">
        <f>COUNTIF($F$4:$F$18,"RETARDO")</f>
        <v>9</v>
      </c>
      <c r="K4">
        <f>COUNTIF(E$4:E$18,"RETARDO")</f>
        <v>12</v>
      </c>
    </row>
    <row r="5" spans="1:11" x14ac:dyDescent="0.25">
      <c r="A5" s="1">
        <v>44256</v>
      </c>
      <c r="B5" s="10" t="s">
        <v>14</v>
      </c>
      <c r="C5" s="3">
        <v>0.5625</v>
      </c>
      <c r="D5" s="3">
        <v>0.5625</v>
      </c>
      <c r="E5" s="31" t="str">
        <f t="shared" ref="E5:E41" si="2">IF(EXACT(C5,"F"),"FALTA",IF(EXACT(C5,"D"),"DESCANSO",IF(EXACT(C5,""),"",IF(EXACT(C5,"P"),"PERMISO",IF(IF(WEEKDAY(A5,11)&gt;=4,VALUE(C5)&gt;VALUE("13:10"),VALUE(C5)&gt;VALUE("13:10")),"RETARDO",IF(EXACT(C5,"F"),"FALTA","√"))))))</f>
        <v>RETARDO</v>
      </c>
      <c r="F5" s="31" t="str">
        <f t="shared" ref="F5:F65" si="3">IF(EXACT(D5,"F"),"FALTA",IF(EXACT(D5,"D"),"DESCANSO",IF(EXACT(D5,""),"",IF(EXACT(D5,"P"),"PERMISO",IF(IF(WEEKDAY(A5,11)&gt;=4,VALUE(D5)&gt;VALUE("13:10"),VALUE(D5)&gt;VALUE("13:10")),"RETARDO",IF(EXACT(D5,"F"),"FALTA","√"))))))</f>
        <v>RETARDO</v>
      </c>
      <c r="G5" s="31"/>
      <c r="I5" t="s">
        <v>9</v>
      </c>
      <c r="J5">
        <f>COUNTIF($F$4:$F$18,"FALTA")</f>
        <v>0</v>
      </c>
      <c r="K5">
        <f>COUNTIF(E$4:E$18,"FALTA")</f>
        <v>0</v>
      </c>
    </row>
    <row r="6" spans="1:11" x14ac:dyDescent="0.25">
      <c r="A6" s="1">
        <v>44257</v>
      </c>
      <c r="B6" s="10" t="s">
        <v>16</v>
      </c>
      <c r="C6" s="3">
        <v>0.5625</v>
      </c>
      <c r="D6" s="3" t="s">
        <v>15</v>
      </c>
      <c r="E6" s="31" t="str">
        <f t="shared" si="2"/>
        <v>RETARDO</v>
      </c>
      <c r="F6" s="31" t="str">
        <f t="shared" si="3"/>
        <v>DESCANSO</v>
      </c>
      <c r="G6" s="31"/>
      <c r="I6" t="s">
        <v>11</v>
      </c>
      <c r="J6">
        <f>ROUNDDOWN(J4/3,0)+J5</f>
        <v>3</v>
      </c>
      <c r="K6">
        <f>ROUNDDOWN(K4/3,0)+K5</f>
        <v>4</v>
      </c>
    </row>
    <row r="7" spans="1:11" x14ac:dyDescent="0.25">
      <c r="A7" s="1">
        <v>44258</v>
      </c>
      <c r="B7" s="10" t="s">
        <v>17</v>
      </c>
      <c r="C7" s="3" t="s">
        <v>15</v>
      </c>
      <c r="D7" s="3">
        <v>0.55694444444444446</v>
      </c>
      <c r="E7" s="31" t="str">
        <f t="shared" si="2"/>
        <v>DESCANSO</v>
      </c>
      <c r="F7" s="31" t="str">
        <f t="shared" si="3"/>
        <v>RETARDO</v>
      </c>
      <c r="G7" s="31"/>
    </row>
    <row r="8" spans="1:11" x14ac:dyDescent="0.25">
      <c r="A8" s="1">
        <v>44259</v>
      </c>
      <c r="B8" s="10" t="s">
        <v>8</v>
      </c>
      <c r="C8" s="3">
        <v>0.54861111111111105</v>
      </c>
      <c r="D8" s="3">
        <v>0.54861111111111105</v>
      </c>
      <c r="E8" s="31" t="str">
        <f t="shared" si="2"/>
        <v>√</v>
      </c>
      <c r="F8" s="31" t="str">
        <f t="shared" si="3"/>
        <v>√</v>
      </c>
      <c r="G8" s="31"/>
    </row>
    <row r="9" spans="1:11" x14ac:dyDescent="0.25">
      <c r="A9" s="1">
        <v>44260</v>
      </c>
      <c r="B9" s="10" t="s">
        <v>10</v>
      </c>
      <c r="C9" s="3">
        <v>0.57638888888888895</v>
      </c>
      <c r="D9" s="3">
        <v>0.54861111111111105</v>
      </c>
      <c r="E9" s="31" t="str">
        <f t="shared" si="2"/>
        <v>RETARDO</v>
      </c>
      <c r="F9" s="31" t="str">
        <f t="shared" si="3"/>
        <v>√</v>
      </c>
      <c r="G9" s="31"/>
    </row>
    <row r="10" spans="1:11" x14ac:dyDescent="0.25">
      <c r="A10" s="1">
        <v>44261</v>
      </c>
      <c r="B10" s="10" t="s">
        <v>12</v>
      </c>
      <c r="C10" s="3">
        <v>0.55763888888888891</v>
      </c>
      <c r="D10" s="3">
        <v>0.56388888888888888</v>
      </c>
      <c r="E10" s="31" t="str">
        <f t="shared" si="2"/>
        <v>RETARDO</v>
      </c>
      <c r="F10" s="31" t="str">
        <f t="shared" si="3"/>
        <v>RETARDO</v>
      </c>
      <c r="G10" s="31"/>
    </row>
    <row r="11" spans="1:11" x14ac:dyDescent="0.25">
      <c r="A11" s="1">
        <v>44262</v>
      </c>
      <c r="B11" s="10" t="s">
        <v>13</v>
      </c>
      <c r="C11" s="3">
        <v>0.5625</v>
      </c>
      <c r="D11" s="3">
        <v>0.56944444444444442</v>
      </c>
      <c r="E11" s="31" t="str">
        <f t="shared" si="2"/>
        <v>RETARDO</v>
      </c>
      <c r="F11" s="31" t="str">
        <f t="shared" si="3"/>
        <v>RETARDO</v>
      </c>
      <c r="G11" s="31"/>
    </row>
    <row r="12" spans="1:11" x14ac:dyDescent="0.25">
      <c r="A12" s="1">
        <v>44263</v>
      </c>
      <c r="B12" s="10" t="s">
        <v>14</v>
      </c>
      <c r="C12" s="3">
        <v>0.55763888888888891</v>
      </c>
      <c r="D12" s="3" t="s">
        <v>15</v>
      </c>
      <c r="E12" s="31" t="str">
        <f t="shared" si="2"/>
        <v>RETARDO</v>
      </c>
      <c r="F12" s="31" t="str">
        <f t="shared" si="3"/>
        <v>DESCANSO</v>
      </c>
      <c r="G12" s="31"/>
    </row>
    <row r="13" spans="1:11" x14ac:dyDescent="0.25">
      <c r="A13" s="1">
        <v>44264</v>
      </c>
      <c r="B13" s="10" t="s">
        <v>16</v>
      </c>
      <c r="C13" s="3">
        <v>0.55347222222222225</v>
      </c>
      <c r="D13" s="3">
        <v>0.55902777777777779</v>
      </c>
      <c r="E13" s="31" t="str">
        <f t="shared" si="2"/>
        <v>RETARDO</v>
      </c>
      <c r="F13" s="31" t="str">
        <f t="shared" si="3"/>
        <v>RETARDO</v>
      </c>
      <c r="G13" s="31" t="s">
        <v>18</v>
      </c>
    </row>
    <row r="14" spans="1:11" x14ac:dyDescent="0.25">
      <c r="A14" s="1">
        <v>44265</v>
      </c>
      <c r="B14" s="10" t="s">
        <v>17</v>
      </c>
      <c r="C14" s="3" t="s">
        <v>15</v>
      </c>
      <c r="D14" s="3">
        <v>0.54861111111111105</v>
      </c>
      <c r="E14" s="31" t="str">
        <f t="shared" si="2"/>
        <v>DESCANSO</v>
      </c>
      <c r="F14" s="31" t="str">
        <f t="shared" si="3"/>
        <v>√</v>
      </c>
      <c r="G14" s="31"/>
    </row>
    <row r="15" spans="1:11" x14ac:dyDescent="0.25">
      <c r="A15" s="1">
        <v>44266</v>
      </c>
      <c r="B15" s="10" t="s">
        <v>8</v>
      </c>
      <c r="C15" s="3">
        <v>0.55277777777777781</v>
      </c>
      <c r="D15" s="3">
        <v>0.57500000000000007</v>
      </c>
      <c r="E15" s="31" t="str">
        <f t="shared" si="2"/>
        <v>RETARDO</v>
      </c>
      <c r="F15" s="31" t="str">
        <f t="shared" si="3"/>
        <v>RETARDO</v>
      </c>
      <c r="G15" s="31"/>
    </row>
    <row r="16" spans="1:11" x14ac:dyDescent="0.25">
      <c r="A16" s="1">
        <v>44267</v>
      </c>
      <c r="B16" s="10" t="s">
        <v>10</v>
      </c>
      <c r="C16" s="3">
        <v>0.56597222222222221</v>
      </c>
      <c r="D16" s="3">
        <v>0.56597222222222221</v>
      </c>
      <c r="E16" s="31" t="str">
        <f t="shared" si="2"/>
        <v>RETARDO</v>
      </c>
      <c r="F16" s="31" t="str">
        <f t="shared" si="3"/>
        <v>RETARDO</v>
      </c>
      <c r="G16" s="31"/>
    </row>
    <row r="17" spans="1:14" x14ac:dyDescent="0.25">
      <c r="A17" s="1">
        <v>44268</v>
      </c>
      <c r="B17" s="10" t="s">
        <v>12</v>
      </c>
      <c r="C17" s="3">
        <v>0.58333333333333337</v>
      </c>
      <c r="D17" s="3">
        <v>0.5625</v>
      </c>
      <c r="E17" s="31" t="str">
        <f t="shared" si="2"/>
        <v>RETARDO</v>
      </c>
      <c r="F17" s="31" t="str">
        <f t="shared" si="3"/>
        <v>RETARDO</v>
      </c>
      <c r="G17" s="31"/>
    </row>
    <row r="18" spans="1:14" x14ac:dyDescent="0.25">
      <c r="A18" s="1">
        <v>44269</v>
      </c>
      <c r="B18" s="10" t="s">
        <v>13</v>
      </c>
      <c r="C18" s="3">
        <v>0.55902777777777779</v>
      </c>
      <c r="D18" s="3">
        <v>0.54861111111111105</v>
      </c>
      <c r="E18" s="31" t="str">
        <f t="shared" si="2"/>
        <v>RETARDO</v>
      </c>
      <c r="F18" s="31" t="str">
        <f t="shared" si="3"/>
        <v>√</v>
      </c>
      <c r="G18" s="31"/>
      <c r="J18" s="36" t="s">
        <v>120</v>
      </c>
      <c r="K18" s="36"/>
    </row>
    <row r="19" spans="1:14" x14ac:dyDescent="0.25">
      <c r="A19" s="1">
        <v>44270</v>
      </c>
      <c r="B19" s="10" t="s">
        <v>14</v>
      </c>
      <c r="C19" s="3">
        <v>0.5625</v>
      </c>
      <c r="D19" s="3">
        <v>0.54861111111111105</v>
      </c>
      <c r="E19" s="31" t="str">
        <f t="shared" si="2"/>
        <v>RETARDO</v>
      </c>
      <c r="F19" s="31" t="str">
        <f t="shared" si="3"/>
        <v>√</v>
      </c>
      <c r="G19" s="31"/>
      <c r="I19" s="7" t="s">
        <v>5</v>
      </c>
      <c r="J19" s="7" t="s">
        <v>23</v>
      </c>
      <c r="K19" s="7" t="s">
        <v>24</v>
      </c>
    </row>
    <row r="20" spans="1:14" x14ac:dyDescent="0.25">
      <c r="A20" s="1">
        <v>44271</v>
      </c>
      <c r="B20" s="10" t="s">
        <v>16</v>
      </c>
      <c r="C20" s="3">
        <v>0.57291666666666663</v>
      </c>
      <c r="D20" s="3" t="s">
        <v>15</v>
      </c>
      <c r="E20" s="31" t="str">
        <f t="shared" si="2"/>
        <v>RETARDO</v>
      </c>
      <c r="F20" s="31" t="str">
        <f t="shared" si="3"/>
        <v>DESCANSO</v>
      </c>
      <c r="G20" s="31"/>
      <c r="I20" t="s">
        <v>7</v>
      </c>
      <c r="J20">
        <f>COUNTIF($F$19:$F$34,"RETARDO")</f>
        <v>5</v>
      </c>
      <c r="K20">
        <f>COUNTIF(E$19:E$34,"RETARDO")</f>
        <v>12</v>
      </c>
    </row>
    <row r="21" spans="1:14" x14ac:dyDescent="0.25">
      <c r="A21" s="1">
        <v>44272</v>
      </c>
      <c r="B21" s="10" t="s">
        <v>17</v>
      </c>
      <c r="C21" s="3" t="s">
        <v>15</v>
      </c>
      <c r="D21" s="3" t="s">
        <v>113</v>
      </c>
      <c r="E21" s="31" t="str">
        <f t="shared" si="2"/>
        <v>DESCANSO</v>
      </c>
      <c r="F21" s="31" t="str">
        <f t="shared" si="3"/>
        <v>PERMISO</v>
      </c>
      <c r="G21" s="31"/>
      <c r="I21" t="s">
        <v>9</v>
      </c>
      <c r="J21">
        <f>COUNTIF($F$19:$F$34,"FALTA")</f>
        <v>0</v>
      </c>
      <c r="K21">
        <f>COUNTIF(E$19:E$34,"FALTA")</f>
        <v>0</v>
      </c>
    </row>
    <row r="22" spans="1:14" x14ac:dyDescent="0.25">
      <c r="A22" s="1">
        <v>44273</v>
      </c>
      <c r="B22" s="10" t="s">
        <v>8</v>
      </c>
      <c r="C22" s="3">
        <v>0.54861111111111105</v>
      </c>
      <c r="D22" s="3">
        <v>0.55902777777777779</v>
      </c>
      <c r="E22" s="31" t="str">
        <f t="shared" si="2"/>
        <v>√</v>
      </c>
      <c r="F22" s="31" t="str">
        <f t="shared" si="3"/>
        <v>RETARDO</v>
      </c>
      <c r="G22" s="31"/>
      <c r="I22" t="s">
        <v>11</v>
      </c>
      <c r="J22">
        <f>ROUNDDOWN(J20/3,0)+J21</f>
        <v>1</v>
      </c>
      <c r="K22">
        <f>ROUNDDOWN(K20/3,0)+K21</f>
        <v>4</v>
      </c>
    </row>
    <row r="23" spans="1:14" x14ac:dyDescent="0.25">
      <c r="A23" s="1">
        <v>44274</v>
      </c>
      <c r="B23" s="10" t="s">
        <v>10</v>
      </c>
      <c r="C23" s="3">
        <v>0.61111111111111105</v>
      </c>
      <c r="D23" s="3">
        <v>0.55902777777777779</v>
      </c>
      <c r="E23" s="31" t="str">
        <f t="shared" si="2"/>
        <v>RETARDO</v>
      </c>
      <c r="F23" s="31" t="str">
        <f t="shared" si="3"/>
        <v>RETARDO</v>
      </c>
      <c r="G23" s="31"/>
      <c r="N23" s="1"/>
    </row>
    <row r="24" spans="1:14" x14ac:dyDescent="0.25">
      <c r="A24" s="1">
        <v>44275</v>
      </c>
      <c r="B24" s="10" t="s">
        <v>12</v>
      </c>
      <c r="C24" s="3">
        <v>0.54861111111111105</v>
      </c>
      <c r="D24" s="3">
        <v>0.56597222222222221</v>
      </c>
      <c r="E24" s="31" t="str">
        <f t="shared" si="2"/>
        <v>√</v>
      </c>
      <c r="F24" s="31" t="str">
        <f t="shared" si="3"/>
        <v>RETARDO</v>
      </c>
      <c r="G24" s="31"/>
      <c r="N24" s="1"/>
    </row>
    <row r="25" spans="1:14" x14ac:dyDescent="0.25">
      <c r="A25" s="1">
        <v>44276</v>
      </c>
      <c r="B25" s="10" t="s">
        <v>13</v>
      </c>
      <c r="C25" s="3">
        <v>0.55069444444444449</v>
      </c>
      <c r="D25" s="3">
        <v>0.5625</v>
      </c>
      <c r="E25" s="31" t="str">
        <f t="shared" si="2"/>
        <v>RETARDO</v>
      </c>
      <c r="F25" s="31" t="str">
        <f t="shared" si="3"/>
        <v>RETARDO</v>
      </c>
      <c r="G25" s="31"/>
      <c r="N25" s="1"/>
    </row>
    <row r="26" spans="1:14" x14ac:dyDescent="0.25">
      <c r="A26" s="1">
        <v>44277</v>
      </c>
      <c r="B26" s="10" t="s">
        <v>14</v>
      </c>
      <c r="C26" s="3">
        <v>0.57916666666666672</v>
      </c>
      <c r="D26" s="3" t="s">
        <v>15</v>
      </c>
      <c r="E26" s="31" t="str">
        <f t="shared" si="2"/>
        <v>RETARDO</v>
      </c>
      <c r="F26" s="31" t="str">
        <f t="shared" si="3"/>
        <v>DESCANSO</v>
      </c>
      <c r="G26" s="31"/>
      <c r="N26" s="1"/>
    </row>
    <row r="27" spans="1:14" x14ac:dyDescent="0.25">
      <c r="A27" s="1">
        <v>44278</v>
      </c>
      <c r="B27" s="10" t="s">
        <v>16</v>
      </c>
      <c r="C27" s="3">
        <v>0.56180555555555556</v>
      </c>
      <c r="D27" s="3">
        <v>0.54861111111111105</v>
      </c>
      <c r="E27" s="31" t="str">
        <f t="shared" si="2"/>
        <v>RETARDO</v>
      </c>
      <c r="F27" s="31" t="str">
        <f t="shared" si="3"/>
        <v>√</v>
      </c>
      <c r="G27" s="31"/>
    </row>
    <row r="28" spans="1:14" ht="15" customHeight="1" x14ac:dyDescent="0.25">
      <c r="A28" s="1">
        <v>44279</v>
      </c>
      <c r="B28" s="10" t="s">
        <v>17</v>
      </c>
      <c r="C28" s="3" t="s">
        <v>15</v>
      </c>
      <c r="D28" s="3">
        <v>0.55625000000000002</v>
      </c>
      <c r="E28" s="31" t="str">
        <f t="shared" si="2"/>
        <v>DESCANSO</v>
      </c>
      <c r="F28" s="31" t="str">
        <f t="shared" si="3"/>
        <v>RETARDO</v>
      </c>
      <c r="G28" s="31"/>
    </row>
    <row r="29" spans="1:14" ht="15" customHeight="1" x14ac:dyDescent="0.25">
      <c r="A29" s="1">
        <v>44280</v>
      </c>
      <c r="B29" s="10" t="s">
        <v>8</v>
      </c>
      <c r="C29" s="3">
        <v>0.5708333333333333</v>
      </c>
      <c r="D29" s="3">
        <v>0.54861111111111105</v>
      </c>
      <c r="E29" s="31" t="str">
        <f t="shared" si="2"/>
        <v>RETARDO</v>
      </c>
      <c r="F29" s="31" t="str">
        <f t="shared" si="3"/>
        <v>√</v>
      </c>
      <c r="G29" s="31"/>
      <c r="J29" s="36" t="s">
        <v>121</v>
      </c>
      <c r="K29" s="36"/>
    </row>
    <row r="30" spans="1:14" ht="15" customHeight="1" x14ac:dyDescent="0.25">
      <c r="A30" s="1">
        <v>44281</v>
      </c>
      <c r="B30" s="10" t="s">
        <v>10</v>
      </c>
      <c r="C30" s="3">
        <v>0.56805555555555554</v>
      </c>
      <c r="D30" s="3">
        <v>0.54166666666666663</v>
      </c>
      <c r="E30" s="31" t="str">
        <f t="shared" si="2"/>
        <v>RETARDO</v>
      </c>
      <c r="F30" s="31" t="str">
        <f t="shared" si="3"/>
        <v>√</v>
      </c>
      <c r="G30" s="31"/>
      <c r="I30" s="7" t="s">
        <v>5</v>
      </c>
      <c r="J30" s="7" t="s">
        <v>23</v>
      </c>
      <c r="K30" s="7" t="s">
        <v>24</v>
      </c>
    </row>
    <row r="31" spans="1:14" x14ac:dyDescent="0.25">
      <c r="A31" s="1">
        <v>44282</v>
      </c>
      <c r="B31" s="10" t="s">
        <v>12</v>
      </c>
      <c r="C31" s="3">
        <v>0.58333333333333337</v>
      </c>
      <c r="D31" s="3" t="s">
        <v>113</v>
      </c>
      <c r="E31" s="31" t="str">
        <f t="shared" si="2"/>
        <v>RETARDO</v>
      </c>
      <c r="F31" s="31" t="str">
        <f t="shared" si="3"/>
        <v>PERMISO</v>
      </c>
      <c r="G31" s="31"/>
      <c r="I31" t="s">
        <v>7</v>
      </c>
      <c r="J31">
        <f>COUNTIF($F$35:$F$49,"RETARDO")</f>
        <v>5</v>
      </c>
      <c r="K31">
        <f>COUNTIF(E$35:E$49,"RETARDO")</f>
        <v>8</v>
      </c>
    </row>
    <row r="32" spans="1:14" x14ac:dyDescent="0.25">
      <c r="A32" s="1">
        <v>44283</v>
      </c>
      <c r="B32" s="10" t="s">
        <v>13</v>
      </c>
      <c r="C32" s="3">
        <v>0.5625</v>
      </c>
      <c r="D32" s="3">
        <v>0.54861111111111105</v>
      </c>
      <c r="E32" s="31" t="str">
        <f t="shared" si="2"/>
        <v>RETARDO</v>
      </c>
      <c r="F32" s="31" t="str">
        <f t="shared" si="3"/>
        <v>√</v>
      </c>
      <c r="G32" s="31"/>
      <c r="I32" t="s">
        <v>9</v>
      </c>
      <c r="J32">
        <f>COUNTIF($F$35:$F$49,"FALTA")</f>
        <v>0</v>
      </c>
      <c r="K32">
        <f>COUNTIF(E$35:E$49,"FALTA")</f>
        <v>3</v>
      </c>
    </row>
    <row r="33" spans="1:13" x14ac:dyDescent="0.25">
      <c r="A33" s="1">
        <v>44284</v>
      </c>
      <c r="B33" s="10" t="s">
        <v>14</v>
      </c>
      <c r="C33" s="3">
        <v>0.56736111111111109</v>
      </c>
      <c r="D33" s="3" t="s">
        <v>15</v>
      </c>
      <c r="E33" s="31" t="str">
        <f t="shared" si="2"/>
        <v>RETARDO</v>
      </c>
      <c r="F33" s="31" t="str">
        <f t="shared" si="3"/>
        <v>DESCANSO</v>
      </c>
      <c r="G33" s="31"/>
      <c r="I33" t="s">
        <v>11</v>
      </c>
      <c r="J33">
        <f>ROUNDDOWN(J31/3,0)+J32</f>
        <v>1</v>
      </c>
      <c r="K33">
        <f>ROUNDDOWN(K31/3,0)+K32</f>
        <v>5</v>
      </c>
    </row>
    <row r="34" spans="1:13" x14ac:dyDescent="0.25">
      <c r="A34" s="1">
        <v>44285</v>
      </c>
      <c r="B34" s="10" t="s">
        <v>16</v>
      </c>
      <c r="C34" s="3">
        <v>0.57986111111111105</v>
      </c>
      <c r="D34" s="3">
        <v>0.54861111111111105</v>
      </c>
      <c r="E34" s="31" t="str">
        <f t="shared" si="2"/>
        <v>RETARDO</v>
      </c>
      <c r="F34" s="31" t="str">
        <f t="shared" si="3"/>
        <v>√</v>
      </c>
      <c r="G34" s="31"/>
    </row>
    <row r="35" spans="1:13" x14ac:dyDescent="0.25">
      <c r="A35" s="1">
        <v>44286</v>
      </c>
      <c r="B35" s="10" t="s">
        <v>17</v>
      </c>
      <c r="C35" s="3" t="s">
        <v>15</v>
      </c>
      <c r="D35" s="3">
        <v>0.54166666666666663</v>
      </c>
      <c r="E35" s="31" t="str">
        <f t="shared" si="2"/>
        <v>DESCANSO</v>
      </c>
      <c r="F35" s="31" t="str">
        <f t="shared" si="3"/>
        <v>√</v>
      </c>
      <c r="G35" s="31"/>
      <c r="M35" t="s">
        <v>18</v>
      </c>
    </row>
    <row r="36" spans="1:13" x14ac:dyDescent="0.25">
      <c r="A36" s="1">
        <v>44287</v>
      </c>
      <c r="B36" s="10" t="s">
        <v>8</v>
      </c>
      <c r="C36" s="3">
        <v>0.5625</v>
      </c>
      <c r="D36" s="3">
        <v>0.54861111111111105</v>
      </c>
      <c r="E36" s="31" t="str">
        <f t="shared" si="2"/>
        <v>RETARDO</v>
      </c>
      <c r="F36" s="31" t="str">
        <f t="shared" si="3"/>
        <v>√</v>
      </c>
      <c r="G36" s="31"/>
    </row>
    <row r="37" spans="1:13" x14ac:dyDescent="0.25">
      <c r="A37" s="1">
        <v>44288</v>
      </c>
      <c r="B37" s="10" t="s">
        <v>10</v>
      </c>
      <c r="C37" s="3">
        <v>0.56944444444444442</v>
      </c>
      <c r="D37" s="3" t="s">
        <v>113</v>
      </c>
      <c r="E37" s="31" t="str">
        <f t="shared" si="2"/>
        <v>RETARDO</v>
      </c>
      <c r="F37" s="31" t="str">
        <f t="shared" si="3"/>
        <v>PERMISO</v>
      </c>
      <c r="G37" s="31"/>
    </row>
    <row r="38" spans="1:13" x14ac:dyDescent="0.25">
      <c r="A38" s="1">
        <v>44289</v>
      </c>
      <c r="B38" s="10" t="s">
        <v>12</v>
      </c>
      <c r="C38" s="3">
        <v>0.56944444444444442</v>
      </c>
      <c r="D38" s="3">
        <v>0.55694444444444446</v>
      </c>
      <c r="E38" s="31" t="str">
        <f t="shared" si="2"/>
        <v>RETARDO</v>
      </c>
      <c r="F38" s="31" t="str">
        <f t="shared" si="3"/>
        <v>RETARDO</v>
      </c>
      <c r="G38" s="31"/>
    </row>
    <row r="39" spans="1:13" x14ac:dyDescent="0.25">
      <c r="A39" s="1">
        <v>44290</v>
      </c>
      <c r="B39" s="10" t="s">
        <v>13</v>
      </c>
      <c r="C39" s="3">
        <v>0.55694444444444446</v>
      </c>
      <c r="D39" s="3">
        <v>0.54861111111111105</v>
      </c>
      <c r="E39" s="31" t="str">
        <f t="shared" si="2"/>
        <v>RETARDO</v>
      </c>
      <c r="F39" s="31" t="str">
        <f t="shared" si="3"/>
        <v>√</v>
      </c>
      <c r="G39" s="31"/>
    </row>
    <row r="40" spans="1:13" x14ac:dyDescent="0.25">
      <c r="A40" s="1">
        <v>44291</v>
      </c>
      <c r="B40" s="10" t="s">
        <v>14</v>
      </c>
      <c r="C40" s="3">
        <v>0.59375</v>
      </c>
      <c r="D40" s="3">
        <v>0.54861111111111105</v>
      </c>
      <c r="E40" s="31" t="str">
        <f t="shared" si="2"/>
        <v>RETARDO</v>
      </c>
      <c r="F40" s="31" t="str">
        <f t="shared" si="3"/>
        <v>√</v>
      </c>
      <c r="G40" s="31"/>
    </row>
    <row r="41" spans="1:13" x14ac:dyDescent="0.25">
      <c r="A41" s="1">
        <v>44292</v>
      </c>
      <c r="B41" s="10" t="s">
        <v>16</v>
      </c>
      <c r="C41" s="3">
        <v>0.58680555555555558</v>
      </c>
      <c r="D41" s="3" t="s">
        <v>15</v>
      </c>
      <c r="E41" s="31" t="str">
        <f t="shared" si="2"/>
        <v>RETARDO</v>
      </c>
      <c r="F41" s="31" t="str">
        <f t="shared" si="3"/>
        <v>DESCANSO</v>
      </c>
      <c r="G41" s="31"/>
    </row>
    <row r="42" spans="1:13" x14ac:dyDescent="0.25">
      <c r="A42" s="1">
        <v>44293</v>
      </c>
      <c r="B42" s="10" t="s">
        <v>17</v>
      </c>
      <c r="C42" s="3" t="s">
        <v>15</v>
      </c>
      <c r="D42" s="3">
        <v>0.54861111111111105</v>
      </c>
      <c r="E42" s="31" t="str">
        <f>IF(EXACT(C42,"F"),"FALTA",IF(EXACT(C42,"D"),"DESCANSO",IF(EXACT(C42,""),"",IF(EXACT(C42,"P"),"PERMISO",IF(VALUE(C42)&gt;VALUE("13:19"),"FALTA",IF(VALUE(C42)&gt;VALUE("13:10"),"RETARDO",IF(EXACT(C42,"F"),"FALTA","√")))))))</f>
        <v>DESCANSO</v>
      </c>
      <c r="F42" s="31" t="str">
        <f t="shared" si="3"/>
        <v>√</v>
      </c>
      <c r="G42" s="31"/>
    </row>
    <row r="43" spans="1:13" x14ac:dyDescent="0.25">
      <c r="A43" s="1">
        <v>44294</v>
      </c>
      <c r="B43" s="10" t="s">
        <v>8</v>
      </c>
      <c r="C43" s="3">
        <v>0.56111111111111112</v>
      </c>
      <c r="D43" s="3">
        <v>0.54861111111111105</v>
      </c>
      <c r="E43" s="31" t="str">
        <f>IF(EXACT(C43,"F"),"FALTA",IF(EXACT(C43,"D"),"DESCANSO",IF(EXACT(C43,""),"",IF(EXACT(C43,"P"),"PERMISO",IF(VALUE(C43)&gt;VALUE("13:20"),"FALTA",IF(VALUE(C43)&gt;VALUE("13:10"),"RETARDO",IF(EXACT(C43,"F"),"FALTA","√")))))))</f>
        <v>FALTA</v>
      </c>
      <c r="F43" s="31" t="str">
        <f t="shared" si="3"/>
        <v>√</v>
      </c>
      <c r="G43" s="31"/>
    </row>
    <row r="44" spans="1:13" x14ac:dyDescent="0.25">
      <c r="A44" s="1">
        <v>44295</v>
      </c>
      <c r="B44" s="10" t="s">
        <v>10</v>
      </c>
      <c r="C44" s="3">
        <v>0.55069444444444449</v>
      </c>
      <c r="D44" s="3">
        <v>0.55208333333333337</v>
      </c>
      <c r="E44" s="31" t="str">
        <f t="shared" ref="E44:E65" si="4">IF(EXACT(C44,"F"),"FALTA",IF(EXACT(C44,"D"),"DESCANSO",IF(EXACT(C44,""),"",IF(EXACT(C44,"P"),"PERMISO",IF(VALUE(C44)&gt;VALUE("13:20"),"FALTA",IF(VALUE(C44)&gt;VALUE("13:10"),"RETARDO",IF(EXACT(C44,"F"),"FALTA","√")))))))</f>
        <v>RETARDO</v>
      </c>
      <c r="F44" s="31" t="str">
        <f t="shared" si="3"/>
        <v>RETARDO</v>
      </c>
      <c r="G44" s="31"/>
    </row>
    <row r="45" spans="1:13" x14ac:dyDescent="0.25">
      <c r="A45" s="1">
        <v>44296</v>
      </c>
      <c r="B45" s="10" t="s">
        <v>12</v>
      </c>
      <c r="C45" s="3">
        <v>0.55833333333333335</v>
      </c>
      <c r="D45" s="3">
        <v>0.55833333333333335</v>
      </c>
      <c r="E45" s="31" t="str">
        <f t="shared" si="4"/>
        <v>FALTA</v>
      </c>
      <c r="F45" s="31" t="str">
        <f t="shared" si="3"/>
        <v>RETARDO</v>
      </c>
      <c r="G45" s="31"/>
    </row>
    <row r="46" spans="1:13" x14ac:dyDescent="0.25">
      <c r="A46" s="1">
        <v>44297</v>
      </c>
      <c r="B46" s="10" t="s">
        <v>13</v>
      </c>
      <c r="C46" s="3">
        <v>0.54861111111111105</v>
      </c>
      <c r="D46" s="3">
        <v>0.56111111111111112</v>
      </c>
      <c r="E46" s="31" t="str">
        <f t="shared" si="4"/>
        <v>√</v>
      </c>
      <c r="F46" s="31" t="str">
        <f t="shared" si="3"/>
        <v>RETARDO</v>
      </c>
      <c r="G46" s="31"/>
      <c r="J46" s="36" t="s">
        <v>122</v>
      </c>
      <c r="K46" s="36"/>
    </row>
    <row r="47" spans="1:13" x14ac:dyDescent="0.25">
      <c r="A47" s="1">
        <v>44298</v>
      </c>
      <c r="B47" s="10" t="s">
        <v>14</v>
      </c>
      <c r="C47" s="3">
        <v>0.56180555555555556</v>
      </c>
      <c r="D47" s="3">
        <v>0.54791666666666672</v>
      </c>
      <c r="E47" s="31" t="str">
        <f t="shared" si="4"/>
        <v>FALTA</v>
      </c>
      <c r="F47" s="31" t="str">
        <f t="shared" si="3"/>
        <v>√</v>
      </c>
      <c r="G47" s="31"/>
      <c r="I47" s="7" t="s">
        <v>5</v>
      </c>
      <c r="J47" s="7" t="s">
        <v>23</v>
      </c>
      <c r="K47" s="7" t="s">
        <v>24</v>
      </c>
    </row>
    <row r="48" spans="1:13" x14ac:dyDescent="0.25">
      <c r="A48" s="1">
        <v>44299</v>
      </c>
      <c r="B48" s="10" t="s">
        <v>16</v>
      </c>
      <c r="C48" s="3">
        <v>0.55277777777777781</v>
      </c>
      <c r="D48" s="3" t="s">
        <v>15</v>
      </c>
      <c r="E48" s="31" t="str">
        <f t="shared" si="4"/>
        <v>RETARDO</v>
      </c>
      <c r="F48" s="31" t="str">
        <f t="shared" si="3"/>
        <v>DESCANSO</v>
      </c>
      <c r="G48" s="31"/>
      <c r="I48" t="s">
        <v>7</v>
      </c>
      <c r="J48">
        <f>COUNTIF(F$49:F$64,"RETARDO")</f>
        <v>8</v>
      </c>
      <c r="K48">
        <f>COUNTIF(E$49:E$64,"RETARDO")</f>
        <v>8</v>
      </c>
    </row>
    <row r="49" spans="1:11" x14ac:dyDescent="0.25">
      <c r="A49" s="1">
        <v>44300</v>
      </c>
      <c r="B49" s="10" t="s">
        <v>17</v>
      </c>
      <c r="C49" s="31" t="s">
        <v>15</v>
      </c>
      <c r="D49" s="3">
        <v>0.55833333333333335</v>
      </c>
      <c r="E49" s="31" t="str">
        <f t="shared" si="4"/>
        <v>DESCANSO</v>
      </c>
      <c r="F49" s="31" t="str">
        <f t="shared" si="3"/>
        <v>RETARDO</v>
      </c>
      <c r="G49" s="31"/>
      <c r="I49" t="s">
        <v>9</v>
      </c>
      <c r="J49">
        <f>COUNTIF(F$49:F$62,"FALTA")</f>
        <v>1</v>
      </c>
      <c r="K49">
        <f>COUNTIF(E$49:E$62,"FALTA")</f>
        <v>0</v>
      </c>
    </row>
    <row r="50" spans="1:11" x14ac:dyDescent="0.25">
      <c r="A50" s="1">
        <v>44301</v>
      </c>
      <c r="B50" s="10" t="s">
        <v>8</v>
      </c>
      <c r="C50" s="3">
        <v>0.54861111111111105</v>
      </c>
      <c r="D50" s="3">
        <v>0.54861111111111105</v>
      </c>
      <c r="E50" s="31" t="str">
        <f t="shared" si="4"/>
        <v>√</v>
      </c>
      <c r="F50" s="31" t="str">
        <f t="shared" si="3"/>
        <v>√</v>
      </c>
      <c r="G50" s="31"/>
      <c r="I50" t="s">
        <v>11</v>
      </c>
      <c r="J50">
        <f>ROUNDDOWN(J48/3,0)+J49</f>
        <v>3</v>
      </c>
      <c r="K50">
        <f>ROUNDDOWN(K48/3,0)+K49</f>
        <v>2</v>
      </c>
    </row>
    <row r="51" spans="1:11" x14ac:dyDescent="0.25">
      <c r="A51" s="1">
        <v>44302</v>
      </c>
      <c r="B51" s="10" t="s">
        <v>10</v>
      </c>
      <c r="C51" s="3">
        <v>0.54861111111111105</v>
      </c>
      <c r="D51" s="3">
        <v>0.57916666666666672</v>
      </c>
      <c r="E51" s="31" t="str">
        <f t="shared" si="4"/>
        <v>√</v>
      </c>
      <c r="F51" s="31" t="str">
        <f t="shared" si="3"/>
        <v>RETARDO</v>
      </c>
      <c r="G51" s="31"/>
    </row>
    <row r="52" spans="1:11" x14ac:dyDescent="0.25">
      <c r="A52" s="1">
        <v>44303</v>
      </c>
      <c r="B52" s="10" t="s">
        <v>12</v>
      </c>
      <c r="C52" s="3">
        <v>0.5625</v>
      </c>
      <c r="D52" s="3">
        <v>0.54861111111111105</v>
      </c>
      <c r="E52" s="31" t="s">
        <v>123</v>
      </c>
      <c r="F52" s="31" t="str">
        <f t="shared" si="3"/>
        <v>√</v>
      </c>
      <c r="G52" s="31"/>
    </row>
    <row r="53" spans="1:11" x14ac:dyDescent="0.25">
      <c r="A53" s="1">
        <v>44304</v>
      </c>
      <c r="B53" s="10" t="s">
        <v>13</v>
      </c>
      <c r="C53" s="3">
        <v>0.54861111111111105</v>
      </c>
      <c r="D53" s="3" t="s">
        <v>110</v>
      </c>
      <c r="E53" s="31" t="str">
        <f t="shared" si="4"/>
        <v>√</v>
      </c>
      <c r="F53" s="31" t="str">
        <f t="shared" si="3"/>
        <v>FALTA</v>
      </c>
      <c r="G53" s="31"/>
    </row>
    <row r="54" spans="1:11" x14ac:dyDescent="0.25">
      <c r="A54" s="1">
        <v>44305</v>
      </c>
      <c r="B54" s="10" t="s">
        <v>14</v>
      </c>
      <c r="C54" s="3">
        <v>0.5625</v>
      </c>
      <c r="D54" s="3">
        <v>0.55902777777777779</v>
      </c>
      <c r="E54" s="31" t="s">
        <v>123</v>
      </c>
      <c r="F54" s="31" t="str">
        <f t="shared" si="3"/>
        <v>RETARDO</v>
      </c>
      <c r="G54" s="31"/>
    </row>
    <row r="55" spans="1:11" x14ac:dyDescent="0.25">
      <c r="A55" s="1">
        <v>44306</v>
      </c>
      <c r="B55" s="10" t="s">
        <v>16</v>
      </c>
      <c r="C55" s="3" t="s">
        <v>15</v>
      </c>
      <c r="D55" s="27">
        <v>0.54861111111111105</v>
      </c>
      <c r="E55" s="31" t="str">
        <f t="shared" si="4"/>
        <v>DESCANSO</v>
      </c>
      <c r="F55" s="31" t="str">
        <f t="shared" si="3"/>
        <v>√</v>
      </c>
      <c r="G55" s="31"/>
    </row>
    <row r="56" spans="1:11" x14ac:dyDescent="0.25">
      <c r="A56" s="1">
        <v>44307</v>
      </c>
      <c r="B56" s="10" t="s">
        <v>17</v>
      </c>
      <c r="C56" s="3">
        <v>0.55486111111111114</v>
      </c>
      <c r="D56" s="3" t="s">
        <v>15</v>
      </c>
      <c r="E56" s="31" t="s">
        <v>123</v>
      </c>
      <c r="F56" s="31" t="str">
        <f t="shared" si="3"/>
        <v>DESCANSO</v>
      </c>
      <c r="G56" s="31"/>
    </row>
    <row r="57" spans="1:11" x14ac:dyDescent="0.25">
      <c r="A57" s="1">
        <v>44308</v>
      </c>
      <c r="B57" s="10" t="s">
        <v>8</v>
      </c>
      <c r="C57" s="3">
        <v>0.55555555555555558</v>
      </c>
      <c r="D57" s="27" t="s">
        <v>113</v>
      </c>
      <c r="E57" s="31" t="str">
        <f t="shared" si="4"/>
        <v>RETARDO</v>
      </c>
      <c r="F57" s="31" t="str">
        <f t="shared" si="3"/>
        <v>PERMISO</v>
      </c>
      <c r="G57" s="31" t="s">
        <v>124</v>
      </c>
      <c r="J57" s="36" t="s">
        <v>22</v>
      </c>
      <c r="K57" s="36"/>
    </row>
    <row r="58" spans="1:11" x14ac:dyDescent="0.25">
      <c r="A58" s="1">
        <v>44309</v>
      </c>
      <c r="B58" s="10" t="s">
        <v>10</v>
      </c>
      <c r="C58" s="3">
        <v>0.55486111111111114</v>
      </c>
      <c r="D58" s="3">
        <v>0.55138888888888882</v>
      </c>
      <c r="E58" s="31" t="str">
        <f t="shared" si="4"/>
        <v>RETARDO</v>
      </c>
      <c r="F58" s="31" t="str">
        <f t="shared" si="3"/>
        <v>RETARDO</v>
      </c>
      <c r="G58" s="31" t="s">
        <v>125</v>
      </c>
      <c r="I58" s="7" t="s">
        <v>5</v>
      </c>
      <c r="J58" s="7" t="s">
        <v>23</v>
      </c>
      <c r="K58" s="7" t="s">
        <v>24</v>
      </c>
    </row>
    <row r="59" spans="1:11" x14ac:dyDescent="0.25">
      <c r="A59" s="1">
        <v>44310</v>
      </c>
      <c r="B59" s="10" t="s">
        <v>12</v>
      </c>
      <c r="C59" s="3">
        <v>0.54166666666666663</v>
      </c>
      <c r="D59" s="3">
        <v>0.56597222222222221</v>
      </c>
      <c r="E59" s="31" t="str">
        <f t="shared" si="4"/>
        <v>√</v>
      </c>
      <c r="F59" s="31" t="str">
        <f t="shared" si="3"/>
        <v>RETARDO</v>
      </c>
      <c r="G59" s="31"/>
      <c r="I59" t="s">
        <v>7</v>
      </c>
      <c r="J59">
        <f>COUNTIF(F$58:F$62,"RETARDO")</f>
        <v>4</v>
      </c>
      <c r="K59">
        <f>COUNTIF(E$58:E$62,"RETARDO")</f>
        <v>4</v>
      </c>
    </row>
    <row r="60" spans="1:11" x14ac:dyDescent="0.25">
      <c r="A60" s="1">
        <v>44311</v>
      </c>
      <c r="B60" s="10" t="s">
        <v>13</v>
      </c>
      <c r="C60" s="3">
        <v>0.57638888888888895</v>
      </c>
      <c r="D60" s="3">
        <v>0.56944444444444442</v>
      </c>
      <c r="E60" s="31" t="s">
        <v>123</v>
      </c>
      <c r="F60" s="31" t="str">
        <f t="shared" si="3"/>
        <v>RETARDO</v>
      </c>
      <c r="G60" s="31"/>
      <c r="I60" t="s">
        <v>9</v>
      </c>
      <c r="J60">
        <f>COUNTIF(F$58:F$62,"FALTA")</f>
        <v>0</v>
      </c>
      <c r="K60">
        <f>COUNTIF(E$58:E$62,"FALTA")</f>
        <v>0</v>
      </c>
    </row>
    <row r="61" spans="1:11" x14ac:dyDescent="0.25">
      <c r="A61" s="1">
        <v>44312</v>
      </c>
      <c r="B61" s="10" t="s">
        <v>14</v>
      </c>
      <c r="C61" s="3">
        <v>0.56944444444444442</v>
      </c>
      <c r="D61" s="3">
        <v>0.57638888888888895</v>
      </c>
      <c r="E61" s="31" t="s">
        <v>123</v>
      </c>
      <c r="F61" s="31" t="str">
        <f t="shared" si="3"/>
        <v>RETARDO</v>
      </c>
      <c r="G61" s="31"/>
      <c r="I61" t="s">
        <v>11</v>
      </c>
      <c r="J61">
        <f>ROUNDDOWN(J59/3,0)+J60</f>
        <v>1</v>
      </c>
      <c r="K61">
        <f>ROUNDDOWN(K59/3,0)+K60</f>
        <v>1</v>
      </c>
    </row>
    <row r="62" spans="1:11" x14ac:dyDescent="0.25">
      <c r="A62" s="1">
        <v>44313</v>
      </c>
      <c r="B62" s="10" t="s">
        <v>16</v>
      </c>
      <c r="C62" s="3">
        <v>0.56874999999999998</v>
      </c>
      <c r="D62" s="3" t="s">
        <v>15</v>
      </c>
      <c r="E62" s="31" t="s">
        <v>123</v>
      </c>
      <c r="F62" s="31" t="str">
        <f t="shared" si="3"/>
        <v>DESCANSO</v>
      </c>
      <c r="G62" s="31"/>
    </row>
    <row r="63" spans="1:11" x14ac:dyDescent="0.25">
      <c r="A63" s="1">
        <v>44314</v>
      </c>
      <c r="B63" s="10" t="s">
        <v>17</v>
      </c>
      <c r="C63" s="3">
        <v>0.54861111111111105</v>
      </c>
      <c r="D63" s="3">
        <v>0.5625</v>
      </c>
      <c r="E63" s="31" t="str">
        <f t="shared" si="4"/>
        <v>√</v>
      </c>
      <c r="F63" s="31" t="str">
        <f t="shared" si="3"/>
        <v>RETARDO</v>
      </c>
      <c r="G63" s="31"/>
    </row>
    <row r="64" spans="1:11" x14ac:dyDescent="0.25">
      <c r="A64" s="1">
        <v>44315</v>
      </c>
      <c r="B64" s="10" t="s">
        <v>8</v>
      </c>
      <c r="C64" s="31" t="s">
        <v>15</v>
      </c>
      <c r="D64" s="3" t="s">
        <v>113</v>
      </c>
      <c r="E64" s="31" t="str">
        <f t="shared" si="4"/>
        <v>DESCANSO</v>
      </c>
      <c r="F64" s="31" t="str">
        <f t="shared" si="3"/>
        <v>PERMISO</v>
      </c>
      <c r="G64" s="31"/>
    </row>
    <row r="65" spans="1:6" x14ac:dyDescent="0.25">
      <c r="A65" s="1">
        <v>44316</v>
      </c>
      <c r="B65" s="10" t="s">
        <v>10</v>
      </c>
      <c r="C65" s="3">
        <v>0.56111111111111112</v>
      </c>
      <c r="D65" s="3">
        <v>0.56111111111111112</v>
      </c>
      <c r="E65" s="31" t="str">
        <f t="shared" si="4"/>
        <v>FALTA</v>
      </c>
      <c r="F65" s="31" t="str">
        <f t="shared" si="3"/>
        <v>RETARDO</v>
      </c>
    </row>
    <row r="66" spans="1:6" x14ac:dyDescent="0.25">
      <c r="A66" s="1"/>
      <c r="B66" s="10"/>
      <c r="C66" s="31"/>
      <c r="D66" s="31"/>
      <c r="E66" s="31"/>
      <c r="F66" s="31"/>
    </row>
  </sheetData>
  <mergeCells count="6">
    <mergeCell ref="J57:K57"/>
    <mergeCell ref="E2:G2"/>
    <mergeCell ref="J2:K2"/>
    <mergeCell ref="J18:K18"/>
    <mergeCell ref="J29:K29"/>
    <mergeCell ref="J46:K46"/>
  </mergeCells>
  <phoneticPr fontId="2" type="noConversion"/>
  <conditionalFormatting sqref="G4:G45">
    <cfRule type="containsText" dxfId="36" priority="17" operator="containsText" text="PERMISO">
      <formula>NOT(ISERROR(SEARCH("PERMISO",G4)))</formula>
    </cfRule>
    <cfRule type="containsText" dxfId="35" priority="18" operator="containsText" text="RETARDO">
      <formula>NOT(ISERROR(SEARCH("RETARDO",G4)))</formula>
    </cfRule>
    <cfRule type="containsText" dxfId="34" priority="19" operator="containsText" text="FALTA">
      <formula>NOT(ISERROR(SEARCH("FALTA",G4)))</formula>
    </cfRule>
  </conditionalFormatting>
  <conditionalFormatting sqref="I3:K3 E1:G3 E66:G1048576 G4:G65">
    <cfRule type="containsText" dxfId="33" priority="16" operator="containsText" text="√">
      <formula>NOT(ISERROR(SEARCH("√",E1)))</formula>
    </cfRule>
  </conditionalFormatting>
  <conditionalFormatting sqref="E1:F3 E66:F1048576">
    <cfRule type="containsText" dxfId="32" priority="15" operator="containsText" text="DESCANSO">
      <formula>NOT(ISERROR(SEARCH("DESCANSO",E1)))</formula>
    </cfRule>
  </conditionalFormatting>
  <conditionalFormatting sqref="I47:K47">
    <cfRule type="containsText" dxfId="31" priority="14" operator="containsText" text="√">
      <formula>NOT(ISERROR(SEARCH("√",I47)))</formula>
    </cfRule>
  </conditionalFormatting>
  <conditionalFormatting sqref="I58:K58">
    <cfRule type="containsText" dxfId="30" priority="13" operator="containsText" text="√">
      <formula>NOT(ISERROR(SEARCH("√",I58)))</formula>
    </cfRule>
  </conditionalFormatting>
  <conditionalFormatting sqref="I19:K19">
    <cfRule type="containsText" dxfId="29" priority="7" operator="containsText" text="√">
      <formula>NOT(ISERROR(SEARCH("√",I19)))</formula>
    </cfRule>
  </conditionalFormatting>
  <conditionalFormatting sqref="I30:K30">
    <cfRule type="containsText" dxfId="28" priority="6" operator="containsText" text="√">
      <formula>NOT(ISERROR(SEARCH("√",I30)))</formula>
    </cfRule>
  </conditionalFormatting>
  <conditionalFormatting sqref="E4:F65">
    <cfRule type="containsText" dxfId="27" priority="3" operator="containsText" text="PERMISO">
      <formula>NOT(ISERROR(SEARCH("PERMISO",E4)))</formula>
    </cfRule>
    <cfRule type="containsText" dxfId="26" priority="4" operator="containsText" text="RETARDO">
      <formula>NOT(ISERROR(SEARCH("RETARDO",E4)))</formula>
    </cfRule>
    <cfRule type="containsText" dxfId="25" priority="5" operator="containsText" text="FALTA">
      <formula>NOT(ISERROR(SEARCH("FALTA",E4)))</formula>
    </cfRule>
  </conditionalFormatting>
  <conditionalFormatting sqref="E4:F65">
    <cfRule type="containsText" dxfId="24" priority="2" operator="containsText" text="√">
      <formula>NOT(ISERROR(SEARCH("√",E4)))</formula>
    </cfRule>
  </conditionalFormatting>
  <conditionalFormatting sqref="E4:F65">
    <cfRule type="containsText" dxfId="23" priority="1" operator="containsText" text="DESCANSO">
      <formula>NOT(ISERROR(SEARCH("DESCANSO",E4)))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2"/>
  <sheetViews>
    <sheetView topLeftCell="A20" workbookViewId="0">
      <selection activeCell="F48" sqref="E48:F48"/>
    </sheetView>
  </sheetViews>
  <sheetFormatPr baseColWidth="10" defaultColWidth="11.42578125" defaultRowHeight="15" x14ac:dyDescent="0.25"/>
  <cols>
    <col min="2" max="2" width="15.85546875" style="22" bestFit="1" customWidth="1"/>
    <col min="3" max="4" width="11.42578125" style="22" customWidth="1"/>
    <col min="5" max="6" width="11.85546875" style="22" customWidth="1"/>
    <col min="7" max="7" width="36.7109375" style="22" bestFit="1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1" ht="15.75" thickBot="1" x14ac:dyDescent="0.3">
      <c r="B1" s="31"/>
      <c r="C1" s="31"/>
      <c r="D1" s="31"/>
      <c r="E1" s="31"/>
      <c r="F1" s="31"/>
      <c r="G1" s="31"/>
    </row>
    <row r="2" spans="1:11" ht="15.75" thickBot="1" x14ac:dyDescent="0.3">
      <c r="B2" s="31"/>
      <c r="C2" s="31"/>
      <c r="D2" s="31"/>
      <c r="E2" s="37"/>
      <c r="F2" s="37"/>
      <c r="G2" s="38"/>
      <c r="J2" s="36" t="s">
        <v>126</v>
      </c>
      <c r="K2" s="36"/>
    </row>
    <row r="3" spans="1:11" ht="15.75" thickBot="1" x14ac:dyDescent="0.3">
      <c r="A3" s="4" t="s">
        <v>1</v>
      </c>
      <c r="B3" s="9" t="s">
        <v>2</v>
      </c>
      <c r="C3" s="5" t="s">
        <v>24</v>
      </c>
      <c r="D3" s="5" t="s">
        <v>23</v>
      </c>
      <c r="E3" s="5" t="s">
        <v>24</v>
      </c>
      <c r="F3" s="21" t="s">
        <v>23</v>
      </c>
      <c r="G3" s="6"/>
      <c r="I3" s="7" t="s">
        <v>5</v>
      </c>
      <c r="J3" s="7" t="s">
        <v>23</v>
      </c>
      <c r="K3" s="7" t="s">
        <v>24</v>
      </c>
    </row>
    <row r="4" spans="1:11" x14ac:dyDescent="0.25">
      <c r="A4" s="1">
        <v>44197</v>
      </c>
      <c r="B4" s="10" t="s">
        <v>10</v>
      </c>
      <c r="C4" s="3" t="s">
        <v>15</v>
      </c>
      <c r="D4" s="3" t="s">
        <v>15</v>
      </c>
      <c r="E4" s="31" t="str">
        <f>IF(EXACT(C4,"F"),"FALTA",IF(EXACT(C4,"D"),"DESCANSO",IF(EXACT(C4,""),"",IF(EXACT(C4,"P"),"PERMISO",IF(IF(WEEKDAY(A4,11)&gt;=4,VALUE(C4)&gt;VALUE("13:00"),VALUE(C4)&gt;VALUE("12:20")),"RETARDO",IF(EXACT(C4,"F"),"FALTA","√"))))))</f>
        <v>DESCANSO</v>
      </c>
      <c r="F4" s="31" t="str">
        <f>IF(EXACT(D4,"F"),"FALTA",IF(EXACT(D4,"D"),"DESCANSO",IF(EXACT(D4,""),"",IF(EXACT(D4,"P"),"PERMISO",IF(IF(WEEKDAY(A4,11)&gt;=4,VALUE(D4)&gt;VALUE("13:00"),VALUE(D4)&gt;VALUE("12:20")),"RETARDO",IF(EXACT(D4,"F"),"FALTA","√"))))))</f>
        <v>DESCANSO</v>
      </c>
      <c r="G4" s="31"/>
      <c r="I4" t="s">
        <v>7</v>
      </c>
      <c r="J4">
        <f>COUNTIF($F$4:$F$17,"RETARDO")</f>
        <v>4</v>
      </c>
      <c r="K4">
        <f>COUNTIF(E$4:E$17,"RETARDO")</f>
        <v>6</v>
      </c>
    </row>
    <row r="5" spans="1:11" x14ac:dyDescent="0.25">
      <c r="A5" s="1">
        <v>44198</v>
      </c>
      <c r="B5" s="10" t="s">
        <v>106</v>
      </c>
      <c r="C5" s="3">
        <v>0.51250000000000007</v>
      </c>
      <c r="D5" s="3">
        <v>0.54166666666666663</v>
      </c>
      <c r="E5" s="31" t="str">
        <f t="shared" ref="E5:E14" si="0">IF(EXACT(C5,"F"),"FALTA",IF(EXACT(C5,"D"),"DESCANSO",IF(EXACT(C5,""),"",IF(EXACT(C5,"P"),"PERMISO",IF(IF(WEEKDAY(A5,11)&gt;=4,VALUE(C5)&gt;VALUE("13:00"),VALUE(C5)&gt;VALUE("12:20")),"RETARDO",IF(EXACT(C5,"F"),"FALTA","√"))))))</f>
        <v>√</v>
      </c>
      <c r="F5" s="31" t="str">
        <f t="shared" ref="F5:F14" si="1">IF(EXACT(D5,"F"),"FALTA",IF(EXACT(D5,"D"),"DESCANSO",IF(EXACT(D5,""),"",IF(EXACT(D5,"P"),"PERMISO",IF(IF(WEEKDAY(A5,11)&gt;=4,VALUE(D5)&gt;VALUE("13:00"),VALUE(D5)&gt;VALUE("12:20")),"RETARDO",IF(EXACT(D5,"F"),"FALTA","√"))))))</f>
        <v>√</v>
      </c>
      <c r="G5" s="31"/>
      <c r="I5" t="s">
        <v>9</v>
      </c>
      <c r="J5">
        <f>COUNTIF($F$4:$F$18,"FALTA")</f>
        <v>0</v>
      </c>
      <c r="K5">
        <f>COUNTIF(E$4:E$18,"FALTA")</f>
        <v>0</v>
      </c>
    </row>
    <row r="6" spans="1:11" x14ac:dyDescent="0.25">
      <c r="A6" s="1">
        <v>44199</v>
      </c>
      <c r="B6" s="10" t="s">
        <v>13</v>
      </c>
      <c r="C6" s="3">
        <v>0.56944444444444442</v>
      </c>
      <c r="D6" s="3">
        <v>0.54791666666666672</v>
      </c>
      <c r="E6" s="31" t="str">
        <f t="shared" si="0"/>
        <v>RETARDO</v>
      </c>
      <c r="F6" s="31" t="str">
        <f t="shared" si="1"/>
        <v>RETARDO</v>
      </c>
      <c r="G6" s="31"/>
      <c r="I6" t="s">
        <v>11</v>
      </c>
      <c r="J6">
        <f>ROUNDDOWN(J4/3,0)+J5</f>
        <v>1</v>
      </c>
      <c r="K6">
        <f>ROUNDDOWN(K4/3,0)+K5</f>
        <v>2</v>
      </c>
    </row>
    <row r="7" spans="1:11" x14ac:dyDescent="0.25">
      <c r="A7" s="1">
        <v>44200</v>
      </c>
      <c r="B7" s="10" t="s">
        <v>14</v>
      </c>
      <c r="C7" s="3">
        <v>0.51041666666666663</v>
      </c>
      <c r="D7" s="3" t="s">
        <v>15</v>
      </c>
      <c r="E7" s="31" t="str">
        <f t="shared" si="0"/>
        <v>√</v>
      </c>
      <c r="F7" s="31" t="str">
        <f t="shared" si="1"/>
        <v>DESCANSO</v>
      </c>
      <c r="G7" s="31"/>
    </row>
    <row r="8" spans="1:11" x14ac:dyDescent="0.25">
      <c r="A8" s="1">
        <v>44201</v>
      </c>
      <c r="B8" s="10" t="s">
        <v>16</v>
      </c>
      <c r="C8" s="3">
        <v>0.53819444444444442</v>
      </c>
      <c r="D8" s="3">
        <v>0.56874999999999998</v>
      </c>
      <c r="E8" s="31" t="str">
        <f t="shared" si="0"/>
        <v>RETARDO</v>
      </c>
      <c r="F8" s="31" t="str">
        <f t="shared" si="1"/>
        <v>RETARDO</v>
      </c>
      <c r="G8" s="31"/>
    </row>
    <row r="9" spans="1:11" x14ac:dyDescent="0.25">
      <c r="A9" s="1">
        <v>44202</v>
      </c>
      <c r="B9" s="10" t="s">
        <v>17</v>
      </c>
      <c r="C9" s="31" t="s">
        <v>15</v>
      </c>
      <c r="D9" s="3">
        <v>0.51041666666666663</v>
      </c>
      <c r="E9" s="31" t="str">
        <f t="shared" si="0"/>
        <v>DESCANSO</v>
      </c>
      <c r="F9" s="31" t="str">
        <f t="shared" si="1"/>
        <v>√</v>
      </c>
      <c r="G9" s="31"/>
    </row>
    <row r="10" spans="1:11" x14ac:dyDescent="0.25">
      <c r="A10" s="1">
        <v>44203</v>
      </c>
      <c r="B10" s="10" t="s">
        <v>8</v>
      </c>
      <c r="C10" s="3">
        <v>0.54861111111111105</v>
      </c>
      <c r="D10" s="3">
        <v>0.51388888888888895</v>
      </c>
      <c r="E10" s="31" t="str">
        <f t="shared" si="0"/>
        <v>RETARDO</v>
      </c>
      <c r="F10" s="31" t="str">
        <f t="shared" si="1"/>
        <v>√</v>
      </c>
      <c r="G10" s="31"/>
    </row>
    <row r="11" spans="1:11" x14ac:dyDescent="0.25">
      <c r="A11" s="1">
        <v>44204</v>
      </c>
      <c r="B11" s="10" t="s">
        <v>10</v>
      </c>
      <c r="C11" s="3">
        <v>0.55208333333333337</v>
      </c>
      <c r="D11" s="3">
        <v>0.54166666666666663</v>
      </c>
      <c r="E11" s="31" t="str">
        <f t="shared" si="0"/>
        <v>RETARDO</v>
      </c>
      <c r="F11" s="31" t="str">
        <f>IF(EXACT(D11,"F"),"FALTA",IF(EXACT(D11,"D"),"DESCANSO",IF(EXACT(D11,""),"",IF(EXACT(D11,"P"),"PERMISO",IF(IF(WEEKDAY(A11,11)&gt;=4,VALUE(D11)&gt;VALUE("13:00"),VALUE(D11)&gt;VALUE("12:20")),"RETARDO",IF(EXACT(D11,"F"),"FALTA","√"))))))</f>
        <v>√</v>
      </c>
      <c r="G11" s="31"/>
    </row>
    <row r="12" spans="1:11" x14ac:dyDescent="0.25">
      <c r="A12" s="1">
        <v>44205</v>
      </c>
      <c r="B12" s="10" t="s">
        <v>12</v>
      </c>
      <c r="C12" s="3">
        <v>0.61111111111111105</v>
      </c>
      <c r="D12" s="3">
        <v>0.55208333333333337</v>
      </c>
      <c r="E12" s="31" t="str">
        <f t="shared" si="0"/>
        <v>RETARDO</v>
      </c>
      <c r="F12" s="31" t="str">
        <f t="shared" si="1"/>
        <v>RETARDO</v>
      </c>
      <c r="G12" s="31"/>
    </row>
    <row r="13" spans="1:11" x14ac:dyDescent="0.25">
      <c r="A13" s="1">
        <v>44206</v>
      </c>
      <c r="B13" s="10" t="s">
        <v>13</v>
      </c>
      <c r="C13" s="3">
        <v>0.54166666666666663</v>
      </c>
      <c r="D13" s="3">
        <v>0.54166666666666663</v>
      </c>
      <c r="E13" s="31" t="str">
        <f t="shared" si="0"/>
        <v>√</v>
      </c>
      <c r="F13" s="31" t="str">
        <f t="shared" si="1"/>
        <v>√</v>
      </c>
      <c r="G13" s="31"/>
    </row>
    <row r="14" spans="1:11" x14ac:dyDescent="0.25">
      <c r="A14" s="1">
        <v>44207</v>
      </c>
      <c r="B14" s="10" t="s">
        <v>14</v>
      </c>
      <c r="C14" s="3">
        <v>0.55347222222222225</v>
      </c>
      <c r="D14" s="3">
        <v>0.51388888888888895</v>
      </c>
      <c r="E14" s="31" t="str">
        <f t="shared" si="0"/>
        <v>RETARDO</v>
      </c>
      <c r="F14" s="31" t="str">
        <f t="shared" si="1"/>
        <v>√</v>
      </c>
      <c r="G14" s="31"/>
    </row>
    <row r="15" spans="1:11" x14ac:dyDescent="0.25">
      <c r="A15" s="1">
        <v>44208</v>
      </c>
      <c r="B15" s="10" t="s">
        <v>16</v>
      </c>
      <c r="C15" s="3">
        <v>0.54861111111111105</v>
      </c>
      <c r="D15" s="3" t="s">
        <v>15</v>
      </c>
      <c r="E15" s="31" t="str">
        <f>IF(EXACT(C15,"F"),"FALTA",IF(EXACT(C15,"D"),"DESCANSO",IF(EXACT(C15,""),"",IF(EXACT(C15,"P"),"PERMISO",IF(IF(WEEKDAY(A15,11)&gt;=4,VALUE(C15)&gt;VALUE("13:10"),VALUE(C15)&gt;VALUE("13:10")),"RETARDO",IF(EXACT(C15,"F"),"FALTA","√"))))))</f>
        <v>√</v>
      </c>
      <c r="F15" s="31" t="str">
        <f>IF(EXACT(D15,"F"),"FALTA",IF(EXACT(D15,"D"),"DESCANSO",IF(EXACT(D15,""),"",IF(EXACT(D15,"P"),"PERMISO",IF(IF(WEEKDAY(A15,11)&gt;=4,VALUE(D15)&gt;VALUE("13:10"),VALUE(D15)&gt;VALUE("13:10")),"RETARDO",IF(EXACT(D15,"F"),"FALTA","√"))))))</f>
        <v>DESCANSO</v>
      </c>
      <c r="G15" s="31"/>
    </row>
    <row r="16" spans="1:11" x14ac:dyDescent="0.25">
      <c r="A16" s="1">
        <v>44209</v>
      </c>
      <c r="B16" s="10" t="s">
        <v>17</v>
      </c>
      <c r="C16" s="31" t="s">
        <v>15</v>
      </c>
      <c r="D16" s="3">
        <v>0.54861111111111105</v>
      </c>
      <c r="E16" s="31" t="str">
        <f t="shared" ref="E16:E62" si="2">IF(EXACT(C16,"F"),"FALTA",IF(EXACT(C16,"D"),"DESCANSO",IF(EXACT(C16,""),"",IF(EXACT(C16,"P"),"PERMISO",IF(IF(WEEKDAY(A16,11)&gt;=4,VALUE(C16)&gt;VALUE("13:10"),VALUE(C16)&gt;VALUE("13:10")),"RETARDO",IF(EXACT(C16,"F"),"FALTA","√"))))))</f>
        <v>DESCANSO</v>
      </c>
      <c r="F16" s="31" t="str">
        <f t="shared" ref="F16:F62" si="3">IF(EXACT(D16,"F"),"FALTA",IF(EXACT(D16,"D"),"DESCANSO",IF(EXACT(D16,""),"",IF(EXACT(D16,"P"),"PERMISO",IF(IF(WEEKDAY(A16,11)&gt;=4,VALUE(D16)&gt;VALUE("13:10"),VALUE(D16)&gt;VALUE("13:10")),"RETARDO",IF(EXACT(D16,"F"),"FALTA","√"))))))</f>
        <v>√</v>
      </c>
      <c r="G16" s="31"/>
    </row>
    <row r="17" spans="1:14" x14ac:dyDescent="0.25">
      <c r="A17" s="1">
        <v>44210</v>
      </c>
      <c r="B17" s="10" t="s">
        <v>8</v>
      </c>
      <c r="C17" s="3">
        <v>0.54861111111111105</v>
      </c>
      <c r="D17" s="3">
        <v>0.55277777777777781</v>
      </c>
      <c r="E17" s="31" t="str">
        <f t="shared" si="2"/>
        <v>√</v>
      </c>
      <c r="F17" s="31" t="str">
        <f t="shared" si="3"/>
        <v>RETARDO</v>
      </c>
      <c r="G17" s="31"/>
    </row>
    <row r="18" spans="1:14" x14ac:dyDescent="0.25">
      <c r="A18" s="1">
        <v>44211</v>
      </c>
      <c r="B18" s="10" t="s">
        <v>10</v>
      </c>
      <c r="C18" s="3">
        <v>0.55138888888888882</v>
      </c>
      <c r="D18" s="3">
        <v>0.55833333333333335</v>
      </c>
      <c r="E18" s="31" t="str">
        <f t="shared" si="2"/>
        <v>RETARDO</v>
      </c>
      <c r="F18" s="31" t="str">
        <f t="shared" si="3"/>
        <v>RETARDO</v>
      </c>
      <c r="G18" s="31"/>
      <c r="J18" s="36" t="s">
        <v>127</v>
      </c>
      <c r="K18" s="36"/>
    </row>
    <row r="19" spans="1:14" x14ac:dyDescent="0.25">
      <c r="A19" s="1">
        <v>44212</v>
      </c>
      <c r="B19" s="10" t="s">
        <v>12</v>
      </c>
      <c r="C19" s="3">
        <v>0.58680555555555558</v>
      </c>
      <c r="D19" s="3">
        <v>0.54583333333333328</v>
      </c>
      <c r="E19" s="31" t="str">
        <f t="shared" si="2"/>
        <v>RETARDO</v>
      </c>
      <c r="F19" s="31" t="str">
        <f t="shared" si="3"/>
        <v>√</v>
      </c>
      <c r="G19" s="31"/>
      <c r="I19" s="7" t="s">
        <v>5</v>
      </c>
      <c r="J19" s="7" t="s">
        <v>23</v>
      </c>
      <c r="K19" s="7" t="s">
        <v>24</v>
      </c>
    </row>
    <row r="20" spans="1:14" x14ac:dyDescent="0.25">
      <c r="A20" s="1">
        <v>44213</v>
      </c>
      <c r="B20" s="10" t="s">
        <v>13</v>
      </c>
      <c r="C20" s="3">
        <v>0.58333333333333337</v>
      </c>
      <c r="D20" s="3">
        <v>0.54513888888888895</v>
      </c>
      <c r="E20" s="31" t="str">
        <f t="shared" si="2"/>
        <v>RETARDO</v>
      </c>
      <c r="F20" s="31" t="str">
        <f t="shared" si="3"/>
        <v>√</v>
      </c>
      <c r="G20" s="31"/>
      <c r="I20" t="s">
        <v>7</v>
      </c>
      <c r="J20">
        <f>COUNTIF($F$18:$F$33,"RETARDO")</f>
        <v>2</v>
      </c>
      <c r="K20">
        <f>COUNTIF(E$18:E$33,"RETARDO")</f>
        <v>8</v>
      </c>
    </row>
    <row r="21" spans="1:14" x14ac:dyDescent="0.25">
      <c r="A21" s="1">
        <v>44214</v>
      </c>
      <c r="B21" s="10" t="s">
        <v>14</v>
      </c>
      <c r="C21" s="3" t="s">
        <v>15</v>
      </c>
      <c r="D21" s="3">
        <v>0.55208333333333337</v>
      </c>
      <c r="E21" s="31" t="str">
        <f t="shared" si="2"/>
        <v>DESCANSO</v>
      </c>
      <c r="F21" s="31" t="str">
        <f t="shared" si="3"/>
        <v>RETARDO</v>
      </c>
      <c r="G21" s="31"/>
      <c r="I21" t="s">
        <v>9</v>
      </c>
      <c r="J21">
        <f>COUNTIF($F$18:$F$33,"FALTA")</f>
        <v>1</v>
      </c>
      <c r="K21">
        <f>COUNTIF(E$18:E$33,"FALTA")</f>
        <v>0</v>
      </c>
    </row>
    <row r="22" spans="1:14" x14ac:dyDescent="0.25">
      <c r="A22" s="1">
        <v>44215</v>
      </c>
      <c r="B22" s="10" t="s">
        <v>16</v>
      </c>
      <c r="C22" s="3">
        <v>0.54583333333333328</v>
      </c>
      <c r="D22" s="3" t="s">
        <v>15</v>
      </c>
      <c r="E22" s="31" t="str">
        <f t="shared" si="2"/>
        <v>√</v>
      </c>
      <c r="F22" s="31" t="str">
        <f t="shared" si="3"/>
        <v>DESCANSO</v>
      </c>
      <c r="G22" s="31"/>
      <c r="I22" t="s">
        <v>11</v>
      </c>
      <c r="J22">
        <f>ROUNDDOWN(J20/3,0)+J21</f>
        <v>1</v>
      </c>
      <c r="K22">
        <f>ROUNDDOWN(K20/3,0)+K21</f>
        <v>2</v>
      </c>
    </row>
    <row r="23" spans="1:14" x14ac:dyDescent="0.25">
      <c r="A23" s="1">
        <v>44216</v>
      </c>
      <c r="B23" s="10" t="s">
        <v>17</v>
      </c>
      <c r="C23" s="3">
        <v>0.54305555555555551</v>
      </c>
      <c r="D23" s="3">
        <v>0.54305555555555551</v>
      </c>
      <c r="E23" s="31" t="str">
        <f t="shared" si="2"/>
        <v>√</v>
      </c>
      <c r="F23" s="31" t="str">
        <f t="shared" si="3"/>
        <v>√</v>
      </c>
      <c r="G23" s="31"/>
      <c r="N23" s="1"/>
    </row>
    <row r="24" spans="1:14" x14ac:dyDescent="0.25">
      <c r="A24" s="1">
        <v>44217</v>
      </c>
      <c r="B24" s="10" t="s">
        <v>8</v>
      </c>
      <c r="C24" s="3">
        <v>0.58680555555555558</v>
      </c>
      <c r="D24" s="3">
        <v>0.54791666666666672</v>
      </c>
      <c r="E24" s="31" t="str">
        <f t="shared" si="2"/>
        <v>RETARDO</v>
      </c>
      <c r="F24" s="31" t="str">
        <f t="shared" si="3"/>
        <v>√</v>
      </c>
      <c r="G24" s="31"/>
      <c r="N24" s="1"/>
    </row>
    <row r="25" spans="1:14" x14ac:dyDescent="0.25">
      <c r="A25" s="1">
        <v>44218</v>
      </c>
      <c r="B25" s="10" t="s">
        <v>10</v>
      </c>
      <c r="C25" s="3">
        <v>0.56944444444444442</v>
      </c>
      <c r="D25" s="3">
        <v>0.54861111111111105</v>
      </c>
      <c r="E25" s="31" t="str">
        <f t="shared" si="2"/>
        <v>RETARDO</v>
      </c>
      <c r="F25" s="31" t="str">
        <f t="shared" si="3"/>
        <v>√</v>
      </c>
      <c r="G25" s="31"/>
      <c r="N25" s="1"/>
    </row>
    <row r="26" spans="1:14" x14ac:dyDescent="0.25">
      <c r="A26" s="1">
        <v>44219</v>
      </c>
      <c r="B26" s="10" t="s">
        <v>12</v>
      </c>
      <c r="C26" s="3">
        <v>0.54861111111111105</v>
      </c>
      <c r="D26" s="3" t="s">
        <v>113</v>
      </c>
      <c r="E26" s="31" t="str">
        <f t="shared" si="2"/>
        <v>√</v>
      </c>
      <c r="F26" s="31" t="str">
        <f t="shared" si="3"/>
        <v>PERMISO</v>
      </c>
      <c r="G26" s="31"/>
      <c r="N26" s="1"/>
    </row>
    <row r="27" spans="1:14" x14ac:dyDescent="0.25">
      <c r="A27" s="1">
        <v>44220</v>
      </c>
      <c r="B27" s="10" t="s">
        <v>13</v>
      </c>
      <c r="C27" s="3" t="s">
        <v>113</v>
      </c>
      <c r="D27" s="3">
        <v>0.54861111111111105</v>
      </c>
      <c r="E27" s="31" t="str">
        <f t="shared" si="2"/>
        <v>PERMISO</v>
      </c>
      <c r="F27" s="31" t="str">
        <f t="shared" si="3"/>
        <v>√</v>
      </c>
      <c r="G27" s="31"/>
    </row>
    <row r="28" spans="1:14" ht="15" customHeight="1" x14ac:dyDescent="0.25">
      <c r="A28" s="1">
        <v>44221</v>
      </c>
      <c r="B28" s="10" t="s">
        <v>14</v>
      </c>
      <c r="C28" s="3">
        <v>0.54375000000000007</v>
      </c>
      <c r="D28" s="3" t="s">
        <v>15</v>
      </c>
      <c r="E28" s="31" t="str">
        <f t="shared" si="2"/>
        <v>√</v>
      </c>
      <c r="F28" s="31" t="str">
        <f t="shared" si="3"/>
        <v>DESCANSO</v>
      </c>
      <c r="G28" s="31"/>
    </row>
    <row r="29" spans="1:14" ht="15" customHeight="1" x14ac:dyDescent="0.25">
      <c r="A29" s="1">
        <v>44222</v>
      </c>
      <c r="B29" s="10" t="s">
        <v>16</v>
      </c>
      <c r="C29" s="3">
        <v>0.5625</v>
      </c>
      <c r="D29" s="31" t="s">
        <v>110</v>
      </c>
      <c r="E29" s="31" t="str">
        <f t="shared" si="2"/>
        <v>RETARDO</v>
      </c>
      <c r="F29" s="31" t="str">
        <f t="shared" si="3"/>
        <v>FALTA</v>
      </c>
      <c r="G29" s="31"/>
      <c r="J29" s="36" t="s">
        <v>128</v>
      </c>
      <c r="K29" s="36"/>
    </row>
    <row r="30" spans="1:14" ht="15" customHeight="1" x14ac:dyDescent="0.25">
      <c r="A30" s="1">
        <v>44223</v>
      </c>
      <c r="B30" s="10" t="s">
        <v>17</v>
      </c>
      <c r="C30" s="3" t="s">
        <v>15</v>
      </c>
      <c r="D30" s="3">
        <v>0.54861111111111105</v>
      </c>
      <c r="E30" s="31" t="str">
        <f t="shared" si="2"/>
        <v>DESCANSO</v>
      </c>
      <c r="F30" s="31" t="str">
        <f t="shared" si="3"/>
        <v>√</v>
      </c>
      <c r="G30" s="31"/>
      <c r="I30" s="7" t="s">
        <v>5</v>
      </c>
      <c r="J30" s="7" t="s">
        <v>23</v>
      </c>
      <c r="K30" s="7" t="s">
        <v>24</v>
      </c>
    </row>
    <row r="31" spans="1:14" x14ac:dyDescent="0.25">
      <c r="A31" s="1">
        <v>44224</v>
      </c>
      <c r="B31" s="10" t="s">
        <v>8</v>
      </c>
      <c r="C31" s="3">
        <v>0.57638888888888895</v>
      </c>
      <c r="D31" s="3">
        <v>0.54861111111111105</v>
      </c>
      <c r="E31" s="31" t="str">
        <f t="shared" si="2"/>
        <v>RETARDO</v>
      </c>
      <c r="F31" s="31" t="str">
        <f t="shared" si="3"/>
        <v>√</v>
      </c>
      <c r="G31" s="31"/>
      <c r="I31" t="s">
        <v>7</v>
      </c>
      <c r="J31">
        <f>COUNTIF($F$34:$F$48,"RETARDO")</f>
        <v>7</v>
      </c>
      <c r="K31">
        <f>COUNTIF(E$34:E$48,"RETARDO")</f>
        <v>8</v>
      </c>
    </row>
    <row r="32" spans="1:14" x14ac:dyDescent="0.25">
      <c r="A32" s="1">
        <v>44225</v>
      </c>
      <c r="B32" s="10" t="s">
        <v>10</v>
      </c>
      <c r="C32" s="3">
        <v>0.5493055555555556</v>
      </c>
      <c r="D32" s="3">
        <v>0.54861111111111105</v>
      </c>
      <c r="E32" s="31" t="str">
        <f t="shared" si="2"/>
        <v>RETARDO</v>
      </c>
      <c r="F32" s="31" t="str">
        <f t="shared" si="3"/>
        <v>√</v>
      </c>
      <c r="G32" s="31"/>
      <c r="I32" t="s">
        <v>9</v>
      </c>
      <c r="J32">
        <f>COUNTIF($F$34:$F$48,"FALTA")</f>
        <v>0</v>
      </c>
      <c r="K32">
        <f>COUNTIF(E$34:E$48,"FALTA")</f>
        <v>0</v>
      </c>
    </row>
    <row r="33" spans="1:13" x14ac:dyDescent="0.25">
      <c r="A33" s="1">
        <v>44226</v>
      </c>
      <c r="B33" s="10" t="s">
        <v>12</v>
      </c>
      <c r="C33" s="3">
        <v>0.53125</v>
      </c>
      <c r="D33" s="3">
        <v>0.54513888888888895</v>
      </c>
      <c r="E33" s="31" t="str">
        <f t="shared" si="2"/>
        <v>√</v>
      </c>
      <c r="F33" s="31" t="str">
        <f t="shared" si="3"/>
        <v>√</v>
      </c>
      <c r="G33" s="31"/>
      <c r="I33" t="s">
        <v>11</v>
      </c>
      <c r="J33">
        <f>ROUNDDOWN(J31/3,0)+J32</f>
        <v>2</v>
      </c>
      <c r="K33">
        <f>ROUNDDOWN(K31/3,0)+K32</f>
        <v>2</v>
      </c>
    </row>
    <row r="34" spans="1:13" x14ac:dyDescent="0.25">
      <c r="A34" s="1">
        <v>44227</v>
      </c>
      <c r="B34" s="10" t="s">
        <v>13</v>
      </c>
      <c r="C34" s="3">
        <v>0.53819444444444442</v>
      </c>
      <c r="D34" s="3">
        <v>0.54861111111111105</v>
      </c>
      <c r="E34" s="31" t="s">
        <v>123</v>
      </c>
      <c r="F34" s="31" t="str">
        <f t="shared" si="3"/>
        <v>√</v>
      </c>
      <c r="G34" s="31"/>
    </row>
    <row r="35" spans="1:13" x14ac:dyDescent="0.25">
      <c r="A35" s="1">
        <v>44228</v>
      </c>
      <c r="B35" s="10" t="s">
        <v>14</v>
      </c>
      <c r="C35" s="3">
        <v>0.54791666666666672</v>
      </c>
      <c r="D35" s="3">
        <v>0.54861111111111105</v>
      </c>
      <c r="E35" s="31" t="str">
        <f t="shared" si="2"/>
        <v>√</v>
      </c>
      <c r="F35" s="31" t="str">
        <f t="shared" si="3"/>
        <v>√</v>
      </c>
      <c r="G35" s="31"/>
      <c r="M35" t="s">
        <v>18</v>
      </c>
    </row>
    <row r="36" spans="1:13" x14ac:dyDescent="0.25">
      <c r="A36" s="1">
        <v>44229</v>
      </c>
      <c r="B36" s="10" t="s">
        <v>16</v>
      </c>
      <c r="C36" s="3">
        <v>0.55208333333333337</v>
      </c>
      <c r="D36" s="31" t="s">
        <v>15</v>
      </c>
      <c r="E36" s="31" t="str">
        <f t="shared" si="2"/>
        <v>RETARDO</v>
      </c>
      <c r="F36" s="31" t="str">
        <f t="shared" si="3"/>
        <v>DESCANSO</v>
      </c>
      <c r="G36" s="31"/>
    </row>
    <row r="37" spans="1:13" x14ac:dyDescent="0.25">
      <c r="A37" s="1">
        <v>44230</v>
      </c>
      <c r="B37" s="10" t="s">
        <v>17</v>
      </c>
      <c r="C37" s="31" t="s">
        <v>15</v>
      </c>
      <c r="D37" s="3">
        <v>0.55555555555555558</v>
      </c>
      <c r="E37" s="31" t="str">
        <f t="shared" si="2"/>
        <v>DESCANSO</v>
      </c>
      <c r="F37" s="31" t="str">
        <f t="shared" si="3"/>
        <v>RETARDO</v>
      </c>
      <c r="G37" s="31"/>
    </row>
    <row r="38" spans="1:13" x14ac:dyDescent="0.25">
      <c r="A38" s="1">
        <v>44231</v>
      </c>
      <c r="B38" s="10" t="s">
        <v>8</v>
      </c>
      <c r="C38" s="3">
        <v>0.54861111111111105</v>
      </c>
      <c r="D38" s="3">
        <v>0.55555555555555558</v>
      </c>
      <c r="E38" s="31" t="str">
        <f t="shared" si="2"/>
        <v>√</v>
      </c>
      <c r="F38" s="31" t="str">
        <f t="shared" si="3"/>
        <v>RETARDO</v>
      </c>
      <c r="G38" s="31"/>
    </row>
    <row r="39" spans="1:13" x14ac:dyDescent="0.25">
      <c r="A39" s="1">
        <v>44232</v>
      </c>
      <c r="B39" s="10" t="s">
        <v>10</v>
      </c>
      <c r="C39" s="3">
        <v>0.57291666666666663</v>
      </c>
      <c r="D39" s="3">
        <v>0.54791666666666672</v>
      </c>
      <c r="E39" s="31" t="str">
        <f t="shared" si="2"/>
        <v>RETARDO</v>
      </c>
      <c r="F39" s="31" t="str">
        <f t="shared" si="3"/>
        <v>√</v>
      </c>
      <c r="G39" s="31"/>
    </row>
    <row r="40" spans="1:13" x14ac:dyDescent="0.25">
      <c r="A40" s="1">
        <v>44233</v>
      </c>
      <c r="B40" s="10" t="s">
        <v>12</v>
      </c>
      <c r="C40" s="3">
        <v>0.55694444444444446</v>
      </c>
      <c r="D40" s="3">
        <v>0.59236111111111112</v>
      </c>
      <c r="E40" s="31" t="str">
        <f t="shared" si="2"/>
        <v>RETARDO</v>
      </c>
      <c r="F40" s="31" t="str">
        <f t="shared" si="3"/>
        <v>RETARDO</v>
      </c>
      <c r="G40" s="31"/>
    </row>
    <row r="41" spans="1:13" x14ac:dyDescent="0.25">
      <c r="A41" s="1">
        <v>44234</v>
      </c>
      <c r="B41" s="10" t="s">
        <v>13</v>
      </c>
      <c r="C41" s="3">
        <v>0.54166666666666663</v>
      </c>
      <c r="D41" s="3">
        <v>0.55208333333333337</v>
      </c>
      <c r="E41" s="31" t="str">
        <f t="shared" si="2"/>
        <v>√</v>
      </c>
      <c r="F41" s="31" t="str">
        <f t="shared" si="3"/>
        <v>RETARDO</v>
      </c>
      <c r="G41" s="31"/>
    </row>
    <row r="42" spans="1:13" x14ac:dyDescent="0.25">
      <c r="A42" s="1">
        <v>44235</v>
      </c>
      <c r="B42" s="10" t="s">
        <v>14</v>
      </c>
      <c r="C42" s="3">
        <v>0.57986111111111105</v>
      </c>
      <c r="D42" s="3">
        <v>0.54861111111111105</v>
      </c>
      <c r="E42" s="31" t="str">
        <f t="shared" si="2"/>
        <v>RETARDO</v>
      </c>
      <c r="F42" s="31" t="str">
        <f t="shared" si="3"/>
        <v>√</v>
      </c>
      <c r="G42" s="31"/>
    </row>
    <row r="43" spans="1:13" x14ac:dyDescent="0.25">
      <c r="A43" s="1">
        <v>44236</v>
      </c>
      <c r="B43" s="10" t="s">
        <v>16</v>
      </c>
      <c r="C43" s="3">
        <v>0.54861111111111105</v>
      </c>
      <c r="D43" s="31" t="s">
        <v>15</v>
      </c>
      <c r="E43" s="31" t="str">
        <f t="shared" si="2"/>
        <v>√</v>
      </c>
      <c r="F43" s="31" t="str">
        <f t="shared" si="3"/>
        <v>DESCANSO</v>
      </c>
      <c r="G43" s="31"/>
    </row>
    <row r="44" spans="1:13" x14ac:dyDescent="0.25">
      <c r="A44" s="1">
        <v>44237</v>
      </c>
      <c r="B44" s="10" t="s">
        <v>17</v>
      </c>
      <c r="C44" s="31" t="s">
        <v>15</v>
      </c>
      <c r="D44" s="3">
        <v>0.55763888888888891</v>
      </c>
      <c r="E44" s="31" t="str">
        <f t="shared" si="2"/>
        <v>DESCANSO</v>
      </c>
      <c r="F44" s="31" t="str">
        <f t="shared" si="3"/>
        <v>RETARDO</v>
      </c>
      <c r="G44" s="31"/>
    </row>
    <row r="45" spans="1:13" x14ac:dyDescent="0.25">
      <c r="A45" s="1">
        <v>44238</v>
      </c>
      <c r="B45" s="10" t="s">
        <v>8</v>
      </c>
      <c r="C45" s="3">
        <v>0.54861111111111105</v>
      </c>
      <c r="D45" s="3">
        <v>0.54861111111111105</v>
      </c>
      <c r="E45" s="31" t="str">
        <f t="shared" si="2"/>
        <v>√</v>
      </c>
      <c r="F45" s="31" t="str">
        <f t="shared" si="3"/>
        <v>√</v>
      </c>
      <c r="G45" s="31"/>
    </row>
    <row r="46" spans="1:13" x14ac:dyDescent="0.25">
      <c r="A46" s="1">
        <v>44239</v>
      </c>
      <c r="B46" s="10" t="s">
        <v>10</v>
      </c>
      <c r="C46" s="3">
        <v>0.56597222222222221</v>
      </c>
      <c r="D46" s="3">
        <v>0.55972222222222223</v>
      </c>
      <c r="E46" s="31" t="str">
        <f t="shared" si="2"/>
        <v>RETARDO</v>
      </c>
      <c r="F46" s="31" t="str">
        <f t="shared" si="3"/>
        <v>RETARDO</v>
      </c>
      <c r="G46" s="31"/>
      <c r="J46" s="36" t="s">
        <v>122</v>
      </c>
      <c r="K46" s="36"/>
    </row>
    <row r="47" spans="1:13" x14ac:dyDescent="0.25">
      <c r="A47" s="1">
        <v>44240</v>
      </c>
      <c r="B47" s="10" t="s">
        <v>12</v>
      </c>
      <c r="C47" s="3">
        <v>0.57222222222222219</v>
      </c>
      <c r="D47" s="3">
        <v>0.56944444444444442</v>
      </c>
      <c r="E47" s="31" t="str">
        <f t="shared" si="2"/>
        <v>RETARDO</v>
      </c>
      <c r="F47" s="31" t="str">
        <f t="shared" si="3"/>
        <v>RETARDO</v>
      </c>
      <c r="G47" s="31"/>
      <c r="I47" s="7" t="s">
        <v>5</v>
      </c>
      <c r="J47" s="7" t="s">
        <v>23</v>
      </c>
      <c r="K47" s="7" t="s">
        <v>24</v>
      </c>
    </row>
    <row r="48" spans="1:13" x14ac:dyDescent="0.25">
      <c r="A48" s="1">
        <v>44241</v>
      </c>
      <c r="B48" s="10" t="s">
        <v>13</v>
      </c>
      <c r="C48" s="3">
        <v>0.56597222222222221</v>
      </c>
      <c r="D48" s="3">
        <v>0.54513888888888895</v>
      </c>
      <c r="E48" s="31" t="str">
        <f t="shared" si="2"/>
        <v>RETARDO</v>
      </c>
      <c r="F48" s="31" t="str">
        <f t="shared" si="3"/>
        <v>√</v>
      </c>
      <c r="G48" s="31"/>
      <c r="I48" t="s">
        <v>7</v>
      </c>
      <c r="J48">
        <f>COUNTIF(F$49:F$62,"RETARDO")</f>
        <v>6</v>
      </c>
      <c r="K48">
        <f>COUNTIF(E$49:E$62,"RETARDO")</f>
        <v>8</v>
      </c>
    </row>
    <row r="49" spans="1:11" x14ac:dyDescent="0.25">
      <c r="A49" s="1">
        <v>44242</v>
      </c>
      <c r="B49" s="10" t="s">
        <v>14</v>
      </c>
      <c r="C49" s="31" t="s">
        <v>113</v>
      </c>
      <c r="D49" s="31" t="s">
        <v>113</v>
      </c>
      <c r="E49" s="31" t="str">
        <f t="shared" si="2"/>
        <v>PERMISO</v>
      </c>
      <c r="F49" s="31" t="str">
        <f t="shared" si="3"/>
        <v>PERMISO</v>
      </c>
      <c r="G49" s="31"/>
      <c r="I49" t="s">
        <v>9</v>
      </c>
      <c r="J49">
        <f>COUNTIF(F$49:F$62,"FALTA")</f>
        <v>1</v>
      </c>
      <c r="K49">
        <f>COUNTIF(E$49:E$62,"FALTA")</f>
        <v>0</v>
      </c>
    </row>
    <row r="50" spans="1:11" x14ac:dyDescent="0.25">
      <c r="A50" s="1">
        <v>44243</v>
      </c>
      <c r="B50" s="10" t="s">
        <v>16</v>
      </c>
      <c r="C50" s="31" t="s">
        <v>113</v>
      </c>
      <c r="D50" s="3" t="s">
        <v>113</v>
      </c>
      <c r="E50" s="31" t="str">
        <f t="shared" si="2"/>
        <v>PERMISO</v>
      </c>
      <c r="F50" s="31" t="str">
        <f t="shared" si="3"/>
        <v>PERMISO</v>
      </c>
      <c r="G50" s="31"/>
      <c r="I50" t="s">
        <v>11</v>
      </c>
      <c r="J50">
        <f>ROUNDDOWN(J48/3,0)+J49</f>
        <v>3</v>
      </c>
      <c r="K50">
        <f>ROUNDDOWN(K48/3,0)+K49</f>
        <v>2</v>
      </c>
    </row>
    <row r="51" spans="1:11" x14ac:dyDescent="0.25">
      <c r="A51" s="1">
        <v>44244</v>
      </c>
      <c r="B51" s="10" t="s">
        <v>17</v>
      </c>
      <c r="C51" s="31" t="s">
        <v>15</v>
      </c>
      <c r="D51" s="3">
        <v>0.55555555555555558</v>
      </c>
      <c r="E51" s="31" t="str">
        <f t="shared" si="2"/>
        <v>DESCANSO</v>
      </c>
      <c r="F51" s="31" t="str">
        <f t="shared" si="3"/>
        <v>RETARDO</v>
      </c>
      <c r="G51" s="31"/>
    </row>
    <row r="52" spans="1:11" x14ac:dyDescent="0.25">
      <c r="A52" s="1">
        <v>44245</v>
      </c>
      <c r="B52" s="10" t="s">
        <v>8</v>
      </c>
      <c r="C52" s="3">
        <v>0.5625</v>
      </c>
      <c r="D52" s="3" t="s">
        <v>15</v>
      </c>
      <c r="E52" s="31" t="str">
        <f t="shared" si="2"/>
        <v>RETARDO</v>
      </c>
      <c r="F52" s="31" t="str">
        <f t="shared" si="3"/>
        <v>DESCANSO</v>
      </c>
      <c r="G52" s="31"/>
    </row>
    <row r="53" spans="1:11" x14ac:dyDescent="0.25">
      <c r="A53" s="1">
        <v>44246</v>
      </c>
      <c r="B53" s="10" t="s">
        <v>10</v>
      </c>
      <c r="C53" s="3">
        <v>0.56597222222222221</v>
      </c>
      <c r="D53" s="3">
        <v>0.55486111111111114</v>
      </c>
      <c r="E53" s="31" t="str">
        <f t="shared" si="2"/>
        <v>RETARDO</v>
      </c>
      <c r="F53" s="31" t="str">
        <f t="shared" si="3"/>
        <v>RETARDO</v>
      </c>
      <c r="G53" s="31"/>
    </row>
    <row r="54" spans="1:11" x14ac:dyDescent="0.25">
      <c r="A54" s="1">
        <v>44247</v>
      </c>
      <c r="B54" s="10" t="s">
        <v>12</v>
      </c>
      <c r="C54" s="3">
        <v>0.57500000000000007</v>
      </c>
      <c r="D54" s="3" t="s">
        <v>110</v>
      </c>
      <c r="E54" s="31" t="str">
        <f t="shared" si="2"/>
        <v>RETARDO</v>
      </c>
      <c r="F54" s="31" t="str">
        <f t="shared" si="3"/>
        <v>FALTA</v>
      </c>
      <c r="G54" s="31"/>
    </row>
    <row r="55" spans="1:11" x14ac:dyDescent="0.25">
      <c r="A55" s="1">
        <v>44248</v>
      </c>
      <c r="B55" s="10" t="s">
        <v>13</v>
      </c>
      <c r="C55" s="3">
        <v>0.54375000000000007</v>
      </c>
      <c r="D55" s="3">
        <v>0.5625</v>
      </c>
      <c r="E55" s="31" t="str">
        <f t="shared" si="2"/>
        <v>√</v>
      </c>
      <c r="F55" s="31" t="str">
        <f t="shared" si="3"/>
        <v>RETARDO</v>
      </c>
      <c r="G55" s="31"/>
    </row>
    <row r="56" spans="1:11" x14ac:dyDescent="0.25">
      <c r="A56" s="1">
        <v>44249</v>
      </c>
      <c r="B56" s="10" t="s">
        <v>14</v>
      </c>
      <c r="C56" s="3">
        <v>0.55208333333333337</v>
      </c>
      <c r="D56" s="3">
        <v>0.55208333333333337</v>
      </c>
      <c r="E56" s="31" t="str">
        <f t="shared" si="2"/>
        <v>RETARDO</v>
      </c>
      <c r="F56" s="31" t="str">
        <f t="shared" si="3"/>
        <v>RETARDO</v>
      </c>
      <c r="G56" s="31"/>
    </row>
    <row r="57" spans="1:11" x14ac:dyDescent="0.25">
      <c r="A57" s="1">
        <v>44250</v>
      </c>
      <c r="B57" s="10" t="s">
        <v>16</v>
      </c>
      <c r="C57" s="3">
        <v>0.55902777777777779</v>
      </c>
      <c r="D57" s="3" t="s">
        <v>15</v>
      </c>
      <c r="E57" s="31" t="str">
        <f t="shared" si="2"/>
        <v>RETARDO</v>
      </c>
      <c r="F57" s="31" t="str">
        <f t="shared" si="3"/>
        <v>DESCANSO</v>
      </c>
      <c r="G57" s="31"/>
      <c r="J57" s="36" t="s">
        <v>22</v>
      </c>
      <c r="K57" s="36"/>
    </row>
    <row r="58" spans="1:11" x14ac:dyDescent="0.25">
      <c r="A58" s="1">
        <v>44251</v>
      </c>
      <c r="B58" s="10" t="s">
        <v>17</v>
      </c>
      <c r="C58" s="3" t="s">
        <v>15</v>
      </c>
      <c r="D58" s="3">
        <v>0.54861111111111105</v>
      </c>
      <c r="E58" s="31" t="str">
        <f t="shared" si="2"/>
        <v>DESCANSO</v>
      </c>
      <c r="F58" s="31" t="str">
        <f t="shared" si="3"/>
        <v>√</v>
      </c>
      <c r="G58" s="31"/>
      <c r="I58" s="7" t="s">
        <v>5</v>
      </c>
      <c r="J58" s="7" t="s">
        <v>23</v>
      </c>
      <c r="K58" s="7" t="s">
        <v>24</v>
      </c>
    </row>
    <row r="59" spans="1:11" x14ac:dyDescent="0.25">
      <c r="A59" s="1">
        <v>44252</v>
      </c>
      <c r="B59" s="10" t="s">
        <v>8</v>
      </c>
      <c r="C59" s="3">
        <v>0.56944444444444442</v>
      </c>
      <c r="D59" s="3">
        <v>0.55555555555555558</v>
      </c>
      <c r="E59" s="31" t="str">
        <f t="shared" si="2"/>
        <v>RETARDO</v>
      </c>
      <c r="F59" s="31" t="str">
        <f t="shared" si="3"/>
        <v>RETARDO</v>
      </c>
      <c r="G59" s="31"/>
      <c r="I59" t="s">
        <v>7</v>
      </c>
      <c r="J59">
        <f>COUNTIF(F$58:F$62,"RETARDO")</f>
        <v>2</v>
      </c>
      <c r="K59">
        <f>COUNTIF(E$58:E$62,"RETARDO")</f>
        <v>3</v>
      </c>
    </row>
    <row r="60" spans="1:11" x14ac:dyDescent="0.25">
      <c r="A60" s="1">
        <v>44253</v>
      </c>
      <c r="B60" s="10" t="s">
        <v>10</v>
      </c>
      <c r="C60" s="3">
        <v>0.57638888888888895</v>
      </c>
      <c r="D60" s="3">
        <v>0.54861111111111105</v>
      </c>
      <c r="E60" s="31" t="str">
        <f t="shared" si="2"/>
        <v>RETARDO</v>
      </c>
      <c r="F60" s="31" t="str">
        <f t="shared" si="3"/>
        <v>√</v>
      </c>
      <c r="G60" s="31"/>
      <c r="I60" t="s">
        <v>9</v>
      </c>
      <c r="J60">
        <f>COUNTIF(F$58:F$62,"FALTA")</f>
        <v>0</v>
      </c>
      <c r="K60">
        <f>COUNTIF(E$58:E$62,"FALTA")</f>
        <v>0</v>
      </c>
    </row>
    <row r="61" spans="1:11" x14ac:dyDescent="0.25">
      <c r="A61" s="1">
        <v>44254</v>
      </c>
      <c r="B61" s="10" t="s">
        <v>12</v>
      </c>
      <c r="C61" s="3" t="s">
        <v>113</v>
      </c>
      <c r="D61" s="3">
        <v>0.54861111111111105</v>
      </c>
      <c r="E61" s="31" t="str">
        <f t="shared" si="2"/>
        <v>PERMISO</v>
      </c>
      <c r="F61" s="31" t="str">
        <f t="shared" si="3"/>
        <v>√</v>
      </c>
      <c r="G61" s="31"/>
      <c r="I61" t="s">
        <v>11</v>
      </c>
      <c r="J61">
        <f>ROUNDDOWN(J59/3,0)+J60</f>
        <v>0</v>
      </c>
      <c r="K61">
        <f>ROUNDDOWN(K59/3,0)+K60</f>
        <v>1</v>
      </c>
    </row>
    <row r="62" spans="1:11" x14ac:dyDescent="0.25">
      <c r="A62" s="1">
        <v>44255</v>
      </c>
      <c r="B62" s="10" t="s">
        <v>13</v>
      </c>
      <c r="C62" s="3">
        <v>0.5805555555555556</v>
      </c>
      <c r="D62" s="3">
        <v>0.55277777777777781</v>
      </c>
      <c r="E62" s="31" t="str">
        <f t="shared" si="2"/>
        <v>RETARDO</v>
      </c>
      <c r="F62" s="31" t="str">
        <f t="shared" si="3"/>
        <v>RETARDO</v>
      </c>
      <c r="G62" s="31"/>
    </row>
  </sheetData>
  <mergeCells count="6">
    <mergeCell ref="J57:K57"/>
    <mergeCell ref="E2:G2"/>
    <mergeCell ref="J2:K2"/>
    <mergeCell ref="J29:K29"/>
    <mergeCell ref="J46:K46"/>
    <mergeCell ref="J18:K18"/>
  </mergeCells>
  <phoneticPr fontId="2" type="noConversion"/>
  <conditionalFormatting sqref="G4:G45">
    <cfRule type="containsText" dxfId="22" priority="14" operator="containsText" text="PERMISO">
      <formula>NOT(ISERROR(SEARCH("PERMISO",G4)))</formula>
    </cfRule>
    <cfRule type="containsText" dxfId="21" priority="15" operator="containsText" text="RETARDO">
      <formula>NOT(ISERROR(SEARCH("RETARDO",G4)))</formula>
    </cfRule>
    <cfRule type="containsText" dxfId="20" priority="16" operator="containsText" text="FALTA">
      <formula>NOT(ISERROR(SEARCH("FALTA",G4)))</formula>
    </cfRule>
  </conditionalFormatting>
  <conditionalFormatting sqref="I3:K3 E1:G3 E63:G1048576 G4:G62">
    <cfRule type="containsText" dxfId="19" priority="13" operator="containsText" text="√">
      <formula>NOT(ISERROR(SEARCH("√",E1)))</formula>
    </cfRule>
  </conditionalFormatting>
  <conditionalFormatting sqref="E1:F3 E63:F1048576">
    <cfRule type="containsText" dxfId="18" priority="12" operator="containsText" text="DESCANSO">
      <formula>NOT(ISERROR(SEARCH("DESCANSO",E1)))</formula>
    </cfRule>
  </conditionalFormatting>
  <conditionalFormatting sqref="I47:K47">
    <cfRule type="containsText" dxfId="17" priority="9" operator="containsText" text="√">
      <formula>NOT(ISERROR(SEARCH("√",I47)))</formula>
    </cfRule>
  </conditionalFormatting>
  <conditionalFormatting sqref="I58:K58">
    <cfRule type="containsText" dxfId="16" priority="8" operator="containsText" text="√">
      <formula>NOT(ISERROR(SEARCH("√",I58)))</formula>
    </cfRule>
  </conditionalFormatting>
  <conditionalFormatting sqref="E4:F62">
    <cfRule type="containsText" dxfId="15" priority="5" operator="containsText" text="PERMISO">
      <formula>NOT(ISERROR(SEARCH("PERMISO",E4)))</formula>
    </cfRule>
    <cfRule type="containsText" dxfId="14" priority="6" operator="containsText" text="RETARDO">
      <formula>NOT(ISERROR(SEARCH("RETARDO",E4)))</formula>
    </cfRule>
    <cfRule type="containsText" dxfId="13" priority="7" operator="containsText" text="FALTA">
      <formula>NOT(ISERROR(SEARCH("FALTA",E4)))</formula>
    </cfRule>
  </conditionalFormatting>
  <conditionalFormatting sqref="E4:F62">
    <cfRule type="containsText" dxfId="12" priority="4" operator="containsText" text="√">
      <formula>NOT(ISERROR(SEARCH("√",E4)))</formula>
    </cfRule>
  </conditionalFormatting>
  <conditionalFormatting sqref="E4:F62">
    <cfRule type="containsText" dxfId="11" priority="3" operator="containsText" text="DESCANSO">
      <formula>NOT(ISERROR(SEARCH("DESCANSO",E4)))</formula>
    </cfRule>
  </conditionalFormatting>
  <conditionalFormatting sqref="I19:K19">
    <cfRule type="containsText" dxfId="10" priority="2" operator="containsText" text="√">
      <formula>NOT(ISERROR(SEARCH("√",I19)))</formula>
    </cfRule>
  </conditionalFormatting>
  <conditionalFormatting sqref="I30:K30">
    <cfRule type="containsText" dxfId="9" priority="1" operator="containsText" text="√">
      <formula>NOT(ISERROR(SEARCH("√",I30)))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4"/>
  <sheetViews>
    <sheetView topLeftCell="A44" workbookViewId="0">
      <selection activeCell="J58" sqref="J58"/>
    </sheetView>
  </sheetViews>
  <sheetFormatPr baseColWidth="10" defaultColWidth="11.42578125" defaultRowHeight="15" x14ac:dyDescent="0.25"/>
  <cols>
    <col min="2" max="2" width="15.85546875" style="8" bestFit="1" customWidth="1"/>
    <col min="3" max="3" width="0" style="2" hidden="1" customWidth="1"/>
    <col min="4" max="4" width="11.42578125" style="2" customWidth="1"/>
    <col min="5" max="5" width="11.42578125" style="15" customWidth="1"/>
    <col min="6" max="6" width="11.42578125" style="2" hidden="1" customWidth="1"/>
    <col min="7" max="7" width="11.85546875" style="2" customWidth="1"/>
    <col min="8" max="8" width="11.85546875" style="15" customWidth="1"/>
    <col min="9" max="9" width="36.7109375" style="2" bestFit="1" customWidth="1"/>
    <col min="11" max="11" width="17.28515625" bestFit="1" customWidth="1"/>
    <col min="12" max="12" width="11.85546875" bestFit="1" customWidth="1"/>
    <col min="13" max="13" width="11.85546875" customWidth="1"/>
  </cols>
  <sheetData>
    <row r="1" spans="1:13" ht="15.75" thickBot="1" x14ac:dyDescent="0.3">
      <c r="B1" s="31"/>
      <c r="C1" s="31"/>
      <c r="D1" s="31"/>
      <c r="E1" s="31"/>
      <c r="F1" s="31"/>
      <c r="G1" s="31"/>
      <c r="H1" s="31"/>
      <c r="I1" s="31"/>
    </row>
    <row r="2" spans="1:13" ht="15.75" thickBot="1" x14ac:dyDescent="0.3">
      <c r="B2" s="31"/>
      <c r="C2" s="31"/>
      <c r="D2" s="31"/>
      <c r="E2" s="31"/>
      <c r="F2" s="41" t="s">
        <v>129</v>
      </c>
      <c r="G2" s="42"/>
      <c r="H2" s="42"/>
      <c r="I2" s="43"/>
      <c r="L2" s="36" t="s">
        <v>130</v>
      </c>
      <c r="M2" s="36"/>
    </row>
    <row r="3" spans="1:13" ht="15.75" thickBot="1" x14ac:dyDescent="0.3">
      <c r="A3" s="4" t="s">
        <v>1</v>
      </c>
      <c r="B3" s="9" t="s">
        <v>2</v>
      </c>
      <c r="C3" s="5" t="s">
        <v>32</v>
      </c>
      <c r="D3" s="5" t="s">
        <v>24</v>
      </c>
      <c r="E3" s="5" t="s">
        <v>23</v>
      </c>
      <c r="F3" s="5" t="s">
        <v>32</v>
      </c>
      <c r="G3" s="5" t="s">
        <v>24</v>
      </c>
      <c r="H3" s="21" t="s">
        <v>23</v>
      </c>
      <c r="I3" s="6"/>
      <c r="K3" s="7" t="s">
        <v>5</v>
      </c>
      <c r="L3" s="7" t="s">
        <v>32</v>
      </c>
      <c r="M3" s="7" t="s">
        <v>24</v>
      </c>
    </row>
    <row r="4" spans="1:13" x14ac:dyDescent="0.25">
      <c r="A4" s="1">
        <v>44126</v>
      </c>
      <c r="B4" s="10" t="s">
        <v>8</v>
      </c>
      <c r="C4" s="3">
        <v>0.51388888888888895</v>
      </c>
      <c r="D4" s="3">
        <v>0.51944444444444449</v>
      </c>
      <c r="E4" s="3"/>
      <c r="F4" s="31" t="str">
        <f>IF(EXACT(C4,"F"),"FALTA",IF(EXACT(C4,"D"),"DESCANSO",IF(EXACT(C4,""),"",IF(EXACT(C4,"P"),"PERMISO",IF(VALUE(C4)&gt;VALUE("12:20"),"RETARDO",IF(EXACT(C4,"F"),"FALTA","√"))))))</f>
        <v>√</v>
      </c>
      <c r="G4" s="31" t="str">
        <f>IF(EXACT(D4,"F"),"FALTA",IF(EXACT(D4,"D"),"DESCANSO",IF(EXACT(D4,""),"",IF(EXACT(D4,"P"),"PERMISO",IF(VALUE(D4)&gt;VALUE("12:20"),"RETARDO",IF(EXACT(D4,"F"),"FALTA","√"))))))</f>
        <v>RETARDO</v>
      </c>
      <c r="H4" s="31"/>
      <c r="I4" s="31"/>
      <c r="K4" t="s">
        <v>7</v>
      </c>
      <c r="L4">
        <f>COUNTIF(F$4:F$13,"RETARDO")</f>
        <v>3</v>
      </c>
      <c r="M4">
        <f>COUNTIF(G$4:G$13,"RETARDO")</f>
        <v>4</v>
      </c>
    </row>
    <row r="5" spans="1:13" x14ac:dyDescent="0.25">
      <c r="A5" s="1">
        <v>44127</v>
      </c>
      <c r="B5" s="10" t="s">
        <v>10</v>
      </c>
      <c r="C5" s="31" t="s">
        <v>113</v>
      </c>
      <c r="D5" s="3">
        <v>0.52013888888888882</v>
      </c>
      <c r="E5" s="3"/>
      <c r="F5" s="31" t="str">
        <f t="shared" ref="F5:F43" si="0">IF(EXACT(C5,"F"),"FALTA",IF(EXACT(C5,"D"),"DESCANSO",IF(EXACT(C5,""),"",IF(EXACT(C5,"P"),"PERMISO",IF(VALUE(C5)&gt;VALUE("12:20"),"RETARDO",IF(EXACT(C5,"F"),"FALTA","√"))))))</f>
        <v>PERMISO</v>
      </c>
      <c r="G5" s="31" t="str">
        <f t="shared" ref="G5:H46" si="1">IF(EXACT(D5,"F"),"FALTA",IF(EXACT(D5,"D"),"DESCANSO",IF(EXACT(D5,""),"",IF(EXACT(D5,"P"),"PERMISO",IF(VALUE(D5)&gt;VALUE("12:20"),"RETARDO",IF(EXACT(D5,"F"),"FALTA","√"))))))</f>
        <v>RETARDO</v>
      </c>
      <c r="H5" s="31"/>
      <c r="I5" s="31" t="s">
        <v>131</v>
      </c>
      <c r="K5" t="s">
        <v>9</v>
      </c>
      <c r="L5">
        <f>COUNTIF(F$4:F$13,"FALTA")</f>
        <v>0</v>
      </c>
      <c r="M5">
        <f>COUNTIF(G$4:G$13,"FALTA")</f>
        <v>0</v>
      </c>
    </row>
    <row r="6" spans="1:13" x14ac:dyDescent="0.25">
      <c r="A6" s="1">
        <v>44128</v>
      </c>
      <c r="B6" s="10" t="s">
        <v>12</v>
      </c>
      <c r="C6" s="3">
        <v>0.52777777777777779</v>
      </c>
      <c r="D6" s="3">
        <v>0.51180555555555551</v>
      </c>
      <c r="E6" s="3"/>
      <c r="F6" s="31" t="str">
        <f t="shared" si="0"/>
        <v>RETARDO</v>
      </c>
      <c r="G6" s="31" t="str">
        <f t="shared" si="1"/>
        <v>√</v>
      </c>
      <c r="H6" s="31"/>
      <c r="I6" s="31"/>
      <c r="K6" t="s">
        <v>11</v>
      </c>
      <c r="L6">
        <f>ROUNDDOWN(L4/3,0)+L5</f>
        <v>1</v>
      </c>
      <c r="M6">
        <f>ROUNDDOWN(M4/3,0)+M5</f>
        <v>1</v>
      </c>
    </row>
    <row r="7" spans="1:13" x14ac:dyDescent="0.25">
      <c r="A7" s="1">
        <v>44129</v>
      </c>
      <c r="B7" s="10" t="s">
        <v>13</v>
      </c>
      <c r="C7" s="31" t="s">
        <v>113</v>
      </c>
      <c r="D7" s="3">
        <v>0.51388888888888895</v>
      </c>
      <c r="E7" s="3"/>
      <c r="F7" s="31" t="str">
        <f t="shared" si="0"/>
        <v>PERMISO</v>
      </c>
      <c r="G7" s="31" t="str">
        <f t="shared" si="1"/>
        <v>√</v>
      </c>
      <c r="H7" s="31"/>
      <c r="I7" s="31" t="s">
        <v>132</v>
      </c>
    </row>
    <row r="8" spans="1:13" x14ac:dyDescent="0.25">
      <c r="A8" s="1">
        <v>44130</v>
      </c>
      <c r="B8" s="10" t="s">
        <v>14</v>
      </c>
      <c r="C8" s="31" t="s">
        <v>113</v>
      </c>
      <c r="D8" s="3">
        <v>0.5131944444444444</v>
      </c>
      <c r="E8" s="3"/>
      <c r="F8" s="31" t="str">
        <f t="shared" si="0"/>
        <v>PERMISO</v>
      </c>
      <c r="G8" s="31" t="str">
        <f t="shared" si="1"/>
        <v>√</v>
      </c>
      <c r="H8" s="31"/>
      <c r="I8" s="31"/>
    </row>
    <row r="9" spans="1:13" x14ac:dyDescent="0.25">
      <c r="A9" s="1">
        <v>44131</v>
      </c>
      <c r="B9" s="10" t="s">
        <v>16</v>
      </c>
      <c r="C9" s="3">
        <v>0.52083333333333337</v>
      </c>
      <c r="D9" s="31" t="s">
        <v>15</v>
      </c>
      <c r="E9" s="31"/>
      <c r="F9" s="31" t="str">
        <f t="shared" si="0"/>
        <v>RETARDO</v>
      </c>
      <c r="G9" s="31" t="str">
        <f t="shared" si="1"/>
        <v>DESCANSO</v>
      </c>
      <c r="H9" s="31"/>
      <c r="I9" s="31"/>
    </row>
    <row r="10" spans="1:13" x14ac:dyDescent="0.25">
      <c r="A10" s="1">
        <v>44132</v>
      </c>
      <c r="B10" s="10" t="s">
        <v>17</v>
      </c>
      <c r="C10" s="3">
        <v>0.5131944444444444</v>
      </c>
      <c r="D10" s="3">
        <v>0.52777777777777779</v>
      </c>
      <c r="E10" s="3"/>
      <c r="F10" s="31" t="str">
        <f t="shared" si="0"/>
        <v>√</v>
      </c>
      <c r="G10" s="31" t="str">
        <f t="shared" si="1"/>
        <v>RETARDO</v>
      </c>
      <c r="H10" s="31"/>
      <c r="I10" s="31"/>
    </row>
    <row r="11" spans="1:13" x14ac:dyDescent="0.25">
      <c r="A11" s="1">
        <v>44133</v>
      </c>
      <c r="B11" s="10" t="s">
        <v>8</v>
      </c>
      <c r="C11" s="3">
        <v>0.53819444444444442</v>
      </c>
      <c r="D11" s="3">
        <v>0.53055555555555556</v>
      </c>
      <c r="E11" s="3"/>
      <c r="F11" s="31" t="str">
        <f t="shared" si="0"/>
        <v>RETARDO</v>
      </c>
      <c r="G11" s="31" t="str">
        <f t="shared" si="1"/>
        <v>RETARDO</v>
      </c>
      <c r="H11" s="31"/>
      <c r="I11" s="31"/>
    </row>
    <row r="12" spans="1:13" x14ac:dyDescent="0.25">
      <c r="A12" s="1">
        <v>44134</v>
      </c>
      <c r="B12" s="10" t="s">
        <v>10</v>
      </c>
      <c r="C12" s="3">
        <v>0.5131944444444444</v>
      </c>
      <c r="D12" s="3">
        <v>0.5131944444444444</v>
      </c>
      <c r="E12" s="3"/>
      <c r="F12" s="31" t="str">
        <f t="shared" si="0"/>
        <v>√</v>
      </c>
      <c r="G12" s="31" t="str">
        <f t="shared" si="1"/>
        <v>√</v>
      </c>
      <c r="H12" s="31"/>
      <c r="I12" s="31"/>
    </row>
    <row r="13" spans="1:13" x14ac:dyDescent="0.25">
      <c r="A13" s="1">
        <v>44135</v>
      </c>
      <c r="B13" s="10" t="s">
        <v>12</v>
      </c>
      <c r="C13" s="3">
        <v>0.51388888888888895</v>
      </c>
      <c r="D13" s="31" t="s">
        <v>113</v>
      </c>
      <c r="E13" s="31"/>
      <c r="F13" s="31" t="str">
        <f t="shared" si="0"/>
        <v>√</v>
      </c>
      <c r="G13" s="31" t="str">
        <f t="shared" si="1"/>
        <v>PERMISO</v>
      </c>
      <c r="H13" s="31"/>
      <c r="I13" s="31"/>
    </row>
    <row r="14" spans="1:13" x14ac:dyDescent="0.25">
      <c r="A14" s="1">
        <v>44136</v>
      </c>
      <c r="B14" s="10" t="s">
        <v>13</v>
      </c>
      <c r="C14" s="31" t="s">
        <v>113</v>
      </c>
      <c r="D14" s="31" t="s">
        <v>113</v>
      </c>
      <c r="E14" s="31"/>
      <c r="F14" s="31" t="str">
        <f t="shared" si="0"/>
        <v>PERMISO</v>
      </c>
      <c r="G14" s="31" t="str">
        <f t="shared" si="1"/>
        <v>PERMISO</v>
      </c>
      <c r="H14" s="31"/>
      <c r="I14" s="31"/>
      <c r="L14" s="36" t="s">
        <v>133</v>
      </c>
      <c r="M14" s="36"/>
    </row>
    <row r="15" spans="1:13" x14ac:dyDescent="0.25">
      <c r="A15" s="1">
        <v>44137</v>
      </c>
      <c r="B15" s="10" t="s">
        <v>14</v>
      </c>
      <c r="C15" s="3">
        <v>0.53333333333333333</v>
      </c>
      <c r="D15" s="3">
        <v>0.53333333333333333</v>
      </c>
      <c r="E15" s="3"/>
      <c r="F15" s="31" t="str">
        <f t="shared" si="0"/>
        <v>RETARDO</v>
      </c>
      <c r="G15" s="31" t="str">
        <f t="shared" si="1"/>
        <v>RETARDO</v>
      </c>
      <c r="H15" s="31"/>
      <c r="I15" s="31"/>
      <c r="K15" s="7" t="s">
        <v>5</v>
      </c>
      <c r="L15" s="7" t="s">
        <v>32</v>
      </c>
      <c r="M15" s="7" t="s">
        <v>24</v>
      </c>
    </row>
    <row r="16" spans="1:13" x14ac:dyDescent="0.25">
      <c r="A16" s="1">
        <v>44138</v>
      </c>
      <c r="B16" s="10" t="s">
        <v>16</v>
      </c>
      <c r="C16" s="31" t="s">
        <v>15</v>
      </c>
      <c r="D16" s="31" t="s">
        <v>113</v>
      </c>
      <c r="E16" s="31"/>
      <c r="F16" s="31" t="str">
        <f t="shared" si="0"/>
        <v>DESCANSO</v>
      </c>
      <c r="G16" s="31" t="str">
        <f t="shared" si="1"/>
        <v>PERMISO</v>
      </c>
      <c r="H16" s="31"/>
      <c r="I16" s="31"/>
      <c r="K16" t="s">
        <v>7</v>
      </c>
      <c r="L16">
        <f>COUNTIF(F$14:F$28,"RETARDO")</f>
        <v>2</v>
      </c>
      <c r="M16">
        <f>COUNTIF(G$14:G$28,"RETARDO")</f>
        <v>6</v>
      </c>
    </row>
    <row r="17" spans="1:17" x14ac:dyDescent="0.25">
      <c r="A17" s="1">
        <v>44139</v>
      </c>
      <c r="B17" s="10" t="s">
        <v>17</v>
      </c>
      <c r="C17" s="3">
        <v>0.49861111111111112</v>
      </c>
      <c r="D17" s="31" t="s">
        <v>15</v>
      </c>
      <c r="E17" s="31"/>
      <c r="F17" s="31" t="str">
        <f t="shared" si="0"/>
        <v>√</v>
      </c>
      <c r="G17" s="31" t="str">
        <f t="shared" si="1"/>
        <v>DESCANSO</v>
      </c>
      <c r="H17" s="31"/>
      <c r="I17" s="31"/>
      <c r="K17" t="s">
        <v>9</v>
      </c>
      <c r="L17">
        <f>COUNTIF(F$14:F$28,"FALTA")</f>
        <v>2</v>
      </c>
      <c r="M17">
        <f>COUNTIF(G$14:G$28,"FALTA")</f>
        <v>0</v>
      </c>
    </row>
    <row r="18" spans="1:17" x14ac:dyDescent="0.25">
      <c r="A18" s="1">
        <v>44140</v>
      </c>
      <c r="B18" s="10" t="s">
        <v>8</v>
      </c>
      <c r="C18" s="3">
        <v>0.50347222222222221</v>
      </c>
      <c r="D18" s="3">
        <v>0.52222222222222225</v>
      </c>
      <c r="E18" s="3"/>
      <c r="F18" s="31" t="str">
        <f t="shared" si="0"/>
        <v>√</v>
      </c>
      <c r="G18" s="31" t="str">
        <f t="shared" si="1"/>
        <v>RETARDO</v>
      </c>
      <c r="H18" s="31"/>
      <c r="I18" s="31"/>
      <c r="K18" t="s">
        <v>11</v>
      </c>
      <c r="L18">
        <f>ROUNDDOWN(L16/3,0)+L17</f>
        <v>2</v>
      </c>
      <c r="M18">
        <f>ROUNDDOWN(M16/3,0)+M17</f>
        <v>2</v>
      </c>
    </row>
    <row r="19" spans="1:17" x14ac:dyDescent="0.25">
      <c r="A19" s="1">
        <v>44141</v>
      </c>
      <c r="B19" s="10" t="s">
        <v>10</v>
      </c>
      <c r="C19" s="3">
        <v>0.51041666666666663</v>
      </c>
      <c r="D19" s="3">
        <v>0.51388888888888895</v>
      </c>
      <c r="E19" s="3"/>
      <c r="F19" s="31" t="str">
        <f t="shared" si="0"/>
        <v>√</v>
      </c>
      <c r="G19" s="31" t="str">
        <f t="shared" si="1"/>
        <v>√</v>
      </c>
      <c r="H19" s="31"/>
      <c r="I19" s="31"/>
    </row>
    <row r="20" spans="1:17" x14ac:dyDescent="0.25">
      <c r="A20" s="1">
        <v>44142</v>
      </c>
      <c r="B20" s="10" t="s">
        <v>12</v>
      </c>
      <c r="C20" s="31" t="s">
        <v>15</v>
      </c>
      <c r="D20" s="3">
        <v>0.51388888888888895</v>
      </c>
      <c r="E20" s="3"/>
      <c r="F20" s="31" t="str">
        <f t="shared" si="0"/>
        <v>DESCANSO</v>
      </c>
      <c r="G20" s="31" t="str">
        <f t="shared" si="1"/>
        <v>√</v>
      </c>
      <c r="H20" s="31"/>
      <c r="I20" s="31"/>
    </row>
    <row r="21" spans="1:17" x14ac:dyDescent="0.25">
      <c r="A21" s="1">
        <v>44143</v>
      </c>
      <c r="B21" s="10" t="s">
        <v>13</v>
      </c>
      <c r="C21" s="3">
        <v>0.50694444444444442</v>
      </c>
      <c r="D21" s="3">
        <v>0.52777777777777779</v>
      </c>
      <c r="E21" s="3"/>
      <c r="F21" s="31" t="str">
        <f t="shared" si="0"/>
        <v>√</v>
      </c>
      <c r="G21" s="31" t="str">
        <f t="shared" si="1"/>
        <v>RETARDO</v>
      </c>
      <c r="H21" s="31"/>
      <c r="I21" s="31"/>
    </row>
    <row r="22" spans="1:17" x14ac:dyDescent="0.25">
      <c r="A22" s="1">
        <v>44144</v>
      </c>
      <c r="B22" s="10" t="s">
        <v>14</v>
      </c>
      <c r="C22" s="3">
        <v>0.49305555555555558</v>
      </c>
      <c r="D22" s="3">
        <v>0.51388888888888895</v>
      </c>
      <c r="E22" s="3"/>
      <c r="F22" s="31" t="str">
        <f t="shared" si="0"/>
        <v>√</v>
      </c>
      <c r="G22" s="31" t="str">
        <f t="shared" si="1"/>
        <v>√</v>
      </c>
      <c r="H22" s="31"/>
      <c r="I22" s="31"/>
      <c r="Q22" t="s">
        <v>134</v>
      </c>
    </row>
    <row r="23" spans="1:17" x14ac:dyDescent="0.25">
      <c r="A23" s="1">
        <v>44145</v>
      </c>
      <c r="B23" s="10" t="s">
        <v>16</v>
      </c>
      <c r="C23" s="3" t="s">
        <v>113</v>
      </c>
      <c r="D23" s="3">
        <v>0.50694444444444442</v>
      </c>
      <c r="E23" s="3"/>
      <c r="F23" s="31" t="str">
        <f t="shared" si="0"/>
        <v>PERMISO</v>
      </c>
      <c r="G23" s="31" t="str">
        <f t="shared" si="1"/>
        <v>√</v>
      </c>
      <c r="H23" s="31"/>
      <c r="I23" s="31"/>
      <c r="O23" t="s">
        <v>135</v>
      </c>
      <c r="P23" s="1">
        <v>44155</v>
      </c>
      <c r="Q23">
        <v>130</v>
      </c>
    </row>
    <row r="24" spans="1:17" x14ac:dyDescent="0.25">
      <c r="A24" s="1">
        <v>44146</v>
      </c>
      <c r="B24" s="10" t="s">
        <v>17</v>
      </c>
      <c r="C24" s="31" t="s">
        <v>113</v>
      </c>
      <c r="D24" s="31" t="s">
        <v>113</v>
      </c>
      <c r="E24" s="31"/>
      <c r="F24" s="31" t="str">
        <f t="shared" si="0"/>
        <v>PERMISO</v>
      </c>
      <c r="G24" s="31" t="str">
        <f t="shared" si="1"/>
        <v>PERMISO</v>
      </c>
      <c r="H24" s="31"/>
      <c r="I24" s="31" t="s">
        <v>136</v>
      </c>
      <c r="P24" s="1">
        <v>44156</v>
      </c>
      <c r="Q24">
        <v>130</v>
      </c>
    </row>
    <row r="25" spans="1:17" x14ac:dyDescent="0.25">
      <c r="A25" s="1">
        <v>44147</v>
      </c>
      <c r="B25" s="10" t="s">
        <v>8</v>
      </c>
      <c r="C25" s="3">
        <v>0.5131944444444444</v>
      </c>
      <c r="D25" s="3">
        <v>0.53333333333333333</v>
      </c>
      <c r="E25" s="3"/>
      <c r="F25" s="31" t="str">
        <f t="shared" si="0"/>
        <v>√</v>
      </c>
      <c r="G25" s="31" t="str">
        <f t="shared" si="1"/>
        <v>RETARDO</v>
      </c>
      <c r="H25" s="31"/>
      <c r="I25" s="31"/>
      <c r="P25" s="1">
        <v>44157</v>
      </c>
      <c r="Q25">
        <v>130</v>
      </c>
    </row>
    <row r="26" spans="1:17" x14ac:dyDescent="0.25">
      <c r="A26" s="1">
        <v>44148</v>
      </c>
      <c r="B26" s="10" t="s">
        <v>10</v>
      </c>
      <c r="C26" s="3">
        <v>0.51736111111111105</v>
      </c>
      <c r="D26" s="3">
        <v>0.51388888888888895</v>
      </c>
      <c r="E26" s="3"/>
      <c r="F26" s="31" t="str">
        <f t="shared" si="0"/>
        <v>RETARDO</v>
      </c>
      <c r="G26" s="31" t="str">
        <f t="shared" si="1"/>
        <v>√</v>
      </c>
      <c r="H26" s="31"/>
      <c r="I26" s="31"/>
      <c r="P26" s="1">
        <v>44158</v>
      </c>
      <c r="Q26">
        <v>130</v>
      </c>
    </row>
    <row r="27" spans="1:17" x14ac:dyDescent="0.25">
      <c r="A27" s="1">
        <v>44149</v>
      </c>
      <c r="B27" s="10" t="s">
        <v>12</v>
      </c>
      <c r="C27" s="31" t="s">
        <v>110</v>
      </c>
      <c r="D27" s="3">
        <v>0.54166666666666663</v>
      </c>
      <c r="E27" s="3"/>
      <c r="F27" s="31" t="str">
        <f t="shared" si="0"/>
        <v>FALTA</v>
      </c>
      <c r="G27" s="31" t="str">
        <f t="shared" si="1"/>
        <v>RETARDO</v>
      </c>
      <c r="H27" s="31"/>
      <c r="I27" s="31"/>
    </row>
    <row r="28" spans="1:17" ht="15" customHeight="1" x14ac:dyDescent="0.25">
      <c r="A28" s="1">
        <v>44150</v>
      </c>
      <c r="B28" s="10" t="s">
        <v>13</v>
      </c>
      <c r="C28" s="31" t="s">
        <v>110</v>
      </c>
      <c r="D28" s="3">
        <v>0.52083333333333337</v>
      </c>
      <c r="E28" s="3"/>
      <c r="F28" s="31" t="str">
        <f t="shared" si="0"/>
        <v>FALTA</v>
      </c>
      <c r="G28" s="31" t="str">
        <f t="shared" si="1"/>
        <v>RETARDO</v>
      </c>
      <c r="H28" s="31"/>
      <c r="I28" s="31"/>
    </row>
    <row r="29" spans="1:17" ht="15" customHeight="1" x14ac:dyDescent="0.25">
      <c r="A29" s="1">
        <v>44151</v>
      </c>
      <c r="B29" s="10" t="s">
        <v>14</v>
      </c>
      <c r="C29" s="31" t="s">
        <v>15</v>
      </c>
      <c r="D29" s="31" t="s">
        <v>113</v>
      </c>
      <c r="E29" s="31"/>
      <c r="F29" s="31" t="str">
        <f t="shared" si="0"/>
        <v>DESCANSO</v>
      </c>
      <c r="G29" s="31" t="str">
        <f t="shared" si="1"/>
        <v>PERMISO</v>
      </c>
      <c r="H29" s="31"/>
      <c r="I29" s="31"/>
      <c r="L29" s="36" t="s">
        <v>137</v>
      </c>
      <c r="M29" s="36"/>
    </row>
    <row r="30" spans="1:17" ht="15" customHeight="1" x14ac:dyDescent="0.25">
      <c r="A30" s="1">
        <v>44152</v>
      </c>
      <c r="B30" s="10" t="s">
        <v>16</v>
      </c>
      <c r="C30" s="31" t="s">
        <v>110</v>
      </c>
      <c r="D30" s="3">
        <v>0.51388888888888895</v>
      </c>
      <c r="E30" s="3"/>
      <c r="F30" s="31" t="str">
        <f t="shared" si="0"/>
        <v>FALTA</v>
      </c>
      <c r="G30" s="31" t="str">
        <f t="shared" si="1"/>
        <v>√</v>
      </c>
      <c r="H30" s="31"/>
      <c r="I30" s="31"/>
      <c r="K30" s="7" t="s">
        <v>5</v>
      </c>
      <c r="L30" s="7" t="s">
        <v>32</v>
      </c>
      <c r="M30" s="7" t="s">
        <v>24</v>
      </c>
    </row>
    <row r="31" spans="1:17" x14ac:dyDescent="0.25">
      <c r="A31" s="1">
        <v>44153</v>
      </c>
      <c r="B31" s="10" t="s">
        <v>17</v>
      </c>
      <c r="C31" s="31" t="s">
        <v>110</v>
      </c>
      <c r="D31" s="3">
        <v>0.56944444444444442</v>
      </c>
      <c r="E31" s="3"/>
      <c r="F31" s="31" t="str">
        <f t="shared" si="0"/>
        <v>FALTA</v>
      </c>
      <c r="G31" s="31" t="str">
        <f t="shared" si="1"/>
        <v>RETARDO</v>
      </c>
      <c r="H31" s="31"/>
      <c r="I31" s="31"/>
      <c r="K31" t="s">
        <v>7</v>
      </c>
      <c r="L31">
        <f>COUNTIF(F$28:F$43,"RETARDO")</f>
        <v>0</v>
      </c>
      <c r="M31">
        <f>COUNTIF(G$28:G$43,"RETARDO")</f>
        <v>5</v>
      </c>
    </row>
    <row r="32" spans="1:17" x14ac:dyDescent="0.25">
      <c r="A32" s="1">
        <v>44154</v>
      </c>
      <c r="B32" s="10" t="s">
        <v>8</v>
      </c>
      <c r="C32" s="31" t="s">
        <v>110</v>
      </c>
      <c r="D32" s="31" t="s">
        <v>113</v>
      </c>
      <c r="E32" s="31"/>
      <c r="F32" s="31" t="str">
        <f t="shared" si="0"/>
        <v>FALTA</v>
      </c>
      <c r="G32" s="31" t="str">
        <f t="shared" si="1"/>
        <v>PERMISO</v>
      </c>
      <c r="H32" s="31"/>
      <c r="I32" s="31"/>
      <c r="K32" t="s">
        <v>9</v>
      </c>
      <c r="L32">
        <f>COUNTIF(F$29:F$43,"FALTA")</f>
        <v>8</v>
      </c>
      <c r="M32">
        <f>COUNTIF(G$29:G$43,"FALTA")</f>
        <v>0</v>
      </c>
    </row>
    <row r="33" spans="1:13" x14ac:dyDescent="0.25">
      <c r="A33" s="1">
        <v>44155</v>
      </c>
      <c r="B33" s="10" t="s">
        <v>10</v>
      </c>
      <c r="C33" s="31" t="s">
        <v>110</v>
      </c>
      <c r="D33" s="31" t="s">
        <v>113</v>
      </c>
      <c r="E33" s="31"/>
      <c r="F33" s="31" t="str">
        <f t="shared" si="0"/>
        <v>FALTA</v>
      </c>
      <c r="G33" s="31" t="str">
        <f t="shared" si="1"/>
        <v>PERMISO</v>
      </c>
      <c r="H33" s="31"/>
      <c r="I33" s="31"/>
      <c r="K33" t="s">
        <v>11</v>
      </c>
      <c r="L33">
        <f>ROUNDDOWN(L31/3,0)+L32</f>
        <v>8</v>
      </c>
      <c r="M33">
        <f>ROUNDDOWN(M31/3,0)+M32</f>
        <v>1</v>
      </c>
    </row>
    <row r="34" spans="1:13" x14ac:dyDescent="0.25">
      <c r="A34" s="1">
        <v>44156</v>
      </c>
      <c r="B34" s="10" t="s">
        <v>12</v>
      </c>
      <c r="C34" s="31" t="s">
        <v>110</v>
      </c>
      <c r="D34" s="3" t="s">
        <v>113</v>
      </c>
      <c r="E34" s="3"/>
      <c r="F34" s="31" t="str">
        <f t="shared" si="0"/>
        <v>FALTA</v>
      </c>
      <c r="G34" s="31" t="str">
        <f t="shared" si="1"/>
        <v>PERMISO</v>
      </c>
      <c r="H34" s="31"/>
      <c r="I34" s="31"/>
    </row>
    <row r="35" spans="1:13" x14ac:dyDescent="0.25">
      <c r="A35" s="1">
        <v>44157</v>
      </c>
      <c r="B35" s="10" t="s">
        <v>13</v>
      </c>
      <c r="C35" s="31" t="s">
        <v>110</v>
      </c>
      <c r="D35" s="31" t="s">
        <v>113</v>
      </c>
      <c r="E35" s="31"/>
      <c r="F35" s="31" t="str">
        <f t="shared" si="0"/>
        <v>FALTA</v>
      </c>
      <c r="G35" s="31" t="str">
        <f t="shared" si="1"/>
        <v>PERMISO</v>
      </c>
      <c r="H35" s="31"/>
      <c r="I35" s="31"/>
    </row>
    <row r="36" spans="1:13" x14ac:dyDescent="0.25">
      <c r="A36" s="1">
        <v>44158</v>
      </c>
      <c r="B36" s="10" t="s">
        <v>14</v>
      </c>
      <c r="C36" s="31" t="s">
        <v>110</v>
      </c>
      <c r="D36" s="31" t="s">
        <v>113</v>
      </c>
      <c r="E36" s="31"/>
      <c r="F36" s="31" t="str">
        <f t="shared" si="0"/>
        <v>FALTA</v>
      </c>
      <c r="G36" s="31" t="str">
        <f t="shared" si="1"/>
        <v>PERMISO</v>
      </c>
      <c r="H36" s="31"/>
      <c r="I36" s="31"/>
    </row>
    <row r="37" spans="1:13" x14ac:dyDescent="0.25">
      <c r="A37" s="1">
        <v>44159</v>
      </c>
      <c r="B37" s="10" t="s">
        <v>16</v>
      </c>
      <c r="C37" s="31" t="s">
        <v>110</v>
      </c>
      <c r="D37" s="31" t="s">
        <v>113</v>
      </c>
      <c r="E37" s="3" t="s">
        <v>113</v>
      </c>
      <c r="F37" s="31" t="str">
        <f t="shared" si="0"/>
        <v>FALTA</v>
      </c>
      <c r="G37" s="31" t="str">
        <f t="shared" si="1"/>
        <v>PERMISO</v>
      </c>
      <c r="H37" s="31" t="str">
        <f t="shared" si="1"/>
        <v>PERMISO</v>
      </c>
      <c r="I37" s="31"/>
    </row>
    <row r="38" spans="1:13" x14ac:dyDescent="0.25">
      <c r="A38" s="1">
        <v>44160</v>
      </c>
      <c r="B38" s="10" t="s">
        <v>17</v>
      </c>
      <c r="C38" s="31"/>
      <c r="D38" s="31" t="s">
        <v>15</v>
      </c>
      <c r="E38" s="3">
        <v>0.48958333333333331</v>
      </c>
      <c r="F38" s="31" t="str">
        <f t="shared" si="0"/>
        <v/>
      </c>
      <c r="G38" s="31" t="str">
        <f t="shared" si="1"/>
        <v>DESCANSO</v>
      </c>
      <c r="H38" s="31" t="str">
        <f t="shared" si="1"/>
        <v>√</v>
      </c>
      <c r="I38" s="31"/>
    </row>
    <row r="39" spans="1:13" x14ac:dyDescent="0.25">
      <c r="A39" s="1">
        <v>44161</v>
      </c>
      <c r="B39" s="10" t="s">
        <v>8</v>
      </c>
      <c r="C39" s="31"/>
      <c r="D39" s="3">
        <v>0.52777777777777779</v>
      </c>
      <c r="E39" s="3">
        <v>0.49305555555555558</v>
      </c>
      <c r="F39" s="31" t="str">
        <f t="shared" si="0"/>
        <v/>
      </c>
      <c r="G39" s="31" t="str">
        <f t="shared" si="1"/>
        <v>RETARDO</v>
      </c>
      <c r="H39" s="31" t="str">
        <f t="shared" si="1"/>
        <v>√</v>
      </c>
      <c r="I39" s="31"/>
    </row>
    <row r="40" spans="1:13" x14ac:dyDescent="0.25">
      <c r="A40" s="1">
        <v>44162</v>
      </c>
      <c r="B40" s="10" t="s">
        <v>10</v>
      </c>
      <c r="C40" s="31"/>
      <c r="D40" s="3">
        <v>0.57638888888888895</v>
      </c>
      <c r="E40" s="3">
        <v>0.49305555555555558</v>
      </c>
      <c r="F40" s="31" t="str">
        <f t="shared" si="0"/>
        <v/>
      </c>
      <c r="G40" s="31" t="str">
        <f t="shared" si="1"/>
        <v>RETARDO</v>
      </c>
      <c r="H40" s="31" t="str">
        <f t="shared" si="1"/>
        <v>√</v>
      </c>
      <c r="I40" s="31"/>
    </row>
    <row r="41" spans="1:13" x14ac:dyDescent="0.25">
      <c r="A41" s="1">
        <v>44163</v>
      </c>
      <c r="B41" s="10" t="s">
        <v>12</v>
      </c>
      <c r="C41" s="31"/>
      <c r="D41" s="3">
        <v>0.51388888888888895</v>
      </c>
      <c r="E41" s="3">
        <v>0.50694444444444442</v>
      </c>
      <c r="F41" s="31" t="str">
        <f t="shared" si="0"/>
        <v/>
      </c>
      <c r="G41" s="31" t="str">
        <f t="shared" si="1"/>
        <v>√</v>
      </c>
      <c r="H41" s="31" t="str">
        <f t="shared" si="1"/>
        <v>√</v>
      </c>
      <c r="I41" s="31"/>
    </row>
    <row r="42" spans="1:13" x14ac:dyDescent="0.25">
      <c r="A42" s="1">
        <v>44164</v>
      </c>
      <c r="B42" s="10" t="s">
        <v>13</v>
      </c>
      <c r="C42" s="31"/>
      <c r="D42" s="3">
        <v>0.57638888888888895</v>
      </c>
      <c r="E42" s="31" t="s">
        <v>113</v>
      </c>
      <c r="F42" s="31" t="str">
        <f t="shared" si="0"/>
        <v/>
      </c>
      <c r="G42" s="31" t="str">
        <f t="shared" si="1"/>
        <v>RETARDO</v>
      </c>
      <c r="H42" s="31" t="str">
        <f t="shared" si="1"/>
        <v>PERMISO</v>
      </c>
      <c r="I42" s="31"/>
    </row>
    <row r="43" spans="1:13" x14ac:dyDescent="0.25">
      <c r="A43" s="1">
        <v>44165</v>
      </c>
      <c r="B43" s="10" t="s">
        <v>14</v>
      </c>
      <c r="C43" s="31"/>
      <c r="D43" s="31" t="s">
        <v>113</v>
      </c>
      <c r="E43" s="31" t="s">
        <v>113</v>
      </c>
      <c r="F43" s="31" t="str">
        <f t="shared" si="0"/>
        <v/>
      </c>
      <c r="G43" s="31" t="str">
        <f t="shared" si="1"/>
        <v>PERMISO</v>
      </c>
      <c r="H43" s="31" t="str">
        <f t="shared" si="1"/>
        <v>PERMISO</v>
      </c>
      <c r="I43" s="31" t="s">
        <v>138</v>
      </c>
    </row>
    <row r="44" spans="1:13" x14ac:dyDescent="0.25">
      <c r="A44" s="1">
        <v>44166</v>
      </c>
      <c r="B44" s="10" t="s">
        <v>16</v>
      </c>
      <c r="C44" s="31"/>
      <c r="D44" s="31" t="s">
        <v>113</v>
      </c>
      <c r="E44" s="3">
        <v>0.50694444444444442</v>
      </c>
      <c r="F44" s="31"/>
      <c r="G44" s="31" t="str">
        <f t="shared" si="1"/>
        <v>PERMISO</v>
      </c>
      <c r="H44" s="31" t="str">
        <f t="shared" si="1"/>
        <v>√</v>
      </c>
      <c r="I44" s="31" t="s">
        <v>138</v>
      </c>
    </row>
    <row r="45" spans="1:13" x14ac:dyDescent="0.25">
      <c r="A45" s="1">
        <v>44167</v>
      </c>
      <c r="B45" s="10" t="s">
        <v>17</v>
      </c>
      <c r="C45" s="31"/>
      <c r="D45" s="31" t="s">
        <v>113</v>
      </c>
      <c r="E45" s="3">
        <v>0.52083333333333337</v>
      </c>
      <c r="F45" s="31"/>
      <c r="G45" s="31" t="str">
        <f t="shared" si="1"/>
        <v>PERMISO</v>
      </c>
      <c r="H45" s="31" t="str">
        <f t="shared" si="1"/>
        <v>RETARDO</v>
      </c>
      <c r="I45" s="31" t="s">
        <v>138</v>
      </c>
    </row>
    <row r="46" spans="1:13" x14ac:dyDescent="0.25">
      <c r="A46" s="1">
        <v>44168</v>
      </c>
      <c r="B46" s="10" t="s">
        <v>8</v>
      </c>
      <c r="C46" s="31"/>
      <c r="D46" s="31" t="s">
        <v>113</v>
      </c>
      <c r="E46" s="3">
        <v>0.52083333333333337</v>
      </c>
      <c r="F46" s="31"/>
      <c r="G46" s="31" t="str">
        <f t="shared" si="1"/>
        <v>PERMISO</v>
      </c>
      <c r="H46" s="31" t="str">
        <f t="shared" si="1"/>
        <v>RETARDO</v>
      </c>
      <c r="I46" s="31" t="s">
        <v>138</v>
      </c>
      <c r="L46" s="36" t="s">
        <v>139</v>
      </c>
      <c r="M46" s="36"/>
    </row>
    <row r="47" spans="1:13" x14ac:dyDescent="0.25">
      <c r="A47" s="1">
        <v>44169</v>
      </c>
      <c r="B47" s="10" t="s">
        <v>10</v>
      </c>
      <c r="C47" s="31"/>
      <c r="D47" s="31" t="s">
        <v>113</v>
      </c>
      <c r="E47" s="3">
        <v>0.51041666666666663</v>
      </c>
      <c r="F47" s="31"/>
      <c r="G47" s="31" t="str">
        <f t="shared" ref="G47:H60" si="2">IF(EXACT(D47,"F"),"FALTA",IF(EXACT(D47,"D"),"DESCANSO",IF(EXACT(D47,""),"",IF(EXACT(D47,"P"),"PERMISO",IF(VALUE(D47)&gt;VALUE("12:20"),"RETARDO",IF(EXACT(D47,"F"),"FALTA","√"))))))</f>
        <v>PERMISO</v>
      </c>
      <c r="H47" s="31" t="str">
        <f t="shared" si="2"/>
        <v>√</v>
      </c>
      <c r="I47" s="31" t="s">
        <v>138</v>
      </c>
      <c r="K47" s="7" t="s">
        <v>5</v>
      </c>
      <c r="L47" s="7" t="s">
        <v>23</v>
      </c>
      <c r="M47" s="7" t="s">
        <v>24</v>
      </c>
    </row>
    <row r="48" spans="1:13" x14ac:dyDescent="0.25">
      <c r="A48" s="1">
        <v>44170</v>
      </c>
      <c r="B48" s="10" t="s">
        <v>12</v>
      </c>
      <c r="C48" s="31"/>
      <c r="D48" s="31" t="s">
        <v>113</v>
      </c>
      <c r="E48" s="3">
        <v>0.51388888888888895</v>
      </c>
      <c r="F48" s="31"/>
      <c r="G48" s="31" t="str">
        <f t="shared" si="2"/>
        <v>PERMISO</v>
      </c>
      <c r="H48" s="31" t="str">
        <f t="shared" si="2"/>
        <v>√</v>
      </c>
      <c r="I48" s="31" t="s">
        <v>138</v>
      </c>
      <c r="K48" t="s">
        <v>7</v>
      </c>
      <c r="L48">
        <f>COUNTIF(H$43:H$57,"RETARDO")</f>
        <v>3</v>
      </c>
      <c r="M48">
        <f>COUNTIF(G$43:G$57,"RETARDO")</f>
        <v>2</v>
      </c>
    </row>
    <row r="49" spans="1:13" x14ac:dyDescent="0.25">
      <c r="A49" s="1">
        <v>44171</v>
      </c>
      <c r="B49" s="10" t="s">
        <v>13</v>
      </c>
      <c r="C49" s="31"/>
      <c r="D49" s="31" t="s">
        <v>113</v>
      </c>
      <c r="E49" s="31" t="s">
        <v>15</v>
      </c>
      <c r="F49" s="31"/>
      <c r="G49" s="31" t="str">
        <f t="shared" si="2"/>
        <v>PERMISO</v>
      </c>
      <c r="H49" s="31" t="str">
        <f t="shared" si="2"/>
        <v>DESCANSO</v>
      </c>
      <c r="I49" s="31" t="s">
        <v>138</v>
      </c>
      <c r="K49" t="s">
        <v>9</v>
      </c>
      <c r="L49">
        <f>COUNTIF(H$43:H$58,"FALTA")</f>
        <v>0</v>
      </c>
      <c r="M49">
        <f>COUNTIF(G$43:G$58,"FALTA")</f>
        <v>0</v>
      </c>
    </row>
    <row r="50" spans="1:13" x14ac:dyDescent="0.25">
      <c r="A50" s="1">
        <v>44172</v>
      </c>
      <c r="B50" s="10" t="s">
        <v>14</v>
      </c>
      <c r="C50" s="31"/>
      <c r="D50" s="31" t="s">
        <v>113</v>
      </c>
      <c r="E50" s="3" t="s">
        <v>113</v>
      </c>
      <c r="F50" s="31"/>
      <c r="G50" s="31" t="str">
        <f t="shared" si="2"/>
        <v>PERMISO</v>
      </c>
      <c r="H50" s="31" t="str">
        <f t="shared" si="2"/>
        <v>PERMISO</v>
      </c>
      <c r="I50" s="31" t="s">
        <v>138</v>
      </c>
      <c r="K50" t="s">
        <v>11</v>
      </c>
      <c r="L50">
        <f>ROUNDDOWN(L48/3,0)+L49</f>
        <v>1</v>
      </c>
      <c r="M50">
        <f>ROUNDDOWN(M48/3,0)+M49</f>
        <v>0</v>
      </c>
    </row>
    <row r="51" spans="1:13" x14ac:dyDescent="0.25">
      <c r="A51" s="1">
        <v>44173</v>
      </c>
      <c r="B51" s="10" t="s">
        <v>16</v>
      </c>
      <c r="C51" s="31"/>
      <c r="D51" s="31" t="s">
        <v>113</v>
      </c>
      <c r="E51" s="3">
        <v>0.51388888888888895</v>
      </c>
      <c r="F51" s="31"/>
      <c r="G51" s="31" t="str">
        <f t="shared" si="2"/>
        <v>PERMISO</v>
      </c>
      <c r="H51" s="31" t="str">
        <f t="shared" si="2"/>
        <v>√</v>
      </c>
      <c r="I51" s="31" t="s">
        <v>138</v>
      </c>
    </row>
    <row r="52" spans="1:13" x14ac:dyDescent="0.25">
      <c r="A52" s="1">
        <v>44174</v>
      </c>
      <c r="B52" s="10" t="s">
        <v>17</v>
      </c>
      <c r="C52" s="31"/>
      <c r="D52" s="31" t="s">
        <v>113</v>
      </c>
      <c r="E52" s="3">
        <v>0.51250000000000007</v>
      </c>
      <c r="F52" s="31"/>
      <c r="G52" s="31" t="str">
        <f t="shared" si="2"/>
        <v>PERMISO</v>
      </c>
      <c r="H52" s="31" t="str">
        <f t="shared" si="2"/>
        <v>√</v>
      </c>
      <c r="I52" s="31" t="s">
        <v>138</v>
      </c>
    </row>
    <row r="53" spans="1:13" x14ac:dyDescent="0.25">
      <c r="A53" s="1">
        <v>44175</v>
      </c>
      <c r="B53" s="10" t="s">
        <v>8</v>
      </c>
      <c r="C53" s="31"/>
      <c r="D53" s="31" t="s">
        <v>113</v>
      </c>
      <c r="E53" s="31" t="s">
        <v>113</v>
      </c>
      <c r="F53" s="31"/>
      <c r="G53" s="31" t="str">
        <f t="shared" si="2"/>
        <v>PERMISO</v>
      </c>
      <c r="H53" s="31" t="str">
        <f t="shared" si="2"/>
        <v>PERMISO</v>
      </c>
      <c r="I53" s="31"/>
    </row>
    <row r="54" spans="1:13" x14ac:dyDescent="0.25">
      <c r="A54" s="1">
        <v>44176</v>
      </c>
      <c r="B54" s="10" t="s">
        <v>10</v>
      </c>
      <c r="C54" s="31"/>
      <c r="D54" s="3">
        <v>0.61458333333333337</v>
      </c>
      <c r="E54" s="3" t="s">
        <v>113</v>
      </c>
      <c r="F54" s="31"/>
      <c r="G54" s="31" t="str">
        <f t="shared" si="2"/>
        <v>RETARDO</v>
      </c>
      <c r="H54" s="31" t="str">
        <f t="shared" si="2"/>
        <v>PERMISO</v>
      </c>
      <c r="I54" s="31"/>
    </row>
    <row r="55" spans="1:13" x14ac:dyDescent="0.25">
      <c r="A55" s="1">
        <v>44177</v>
      </c>
      <c r="B55" s="10" t="s">
        <v>12</v>
      </c>
      <c r="C55" s="31"/>
      <c r="D55" s="3" t="s">
        <v>113</v>
      </c>
      <c r="E55" s="3">
        <v>0.5</v>
      </c>
      <c r="F55" s="31"/>
      <c r="G55" s="31" t="str">
        <f t="shared" si="2"/>
        <v>PERMISO</v>
      </c>
      <c r="H55" s="31" t="str">
        <f t="shared" si="2"/>
        <v>√</v>
      </c>
      <c r="I55" s="31"/>
    </row>
    <row r="56" spans="1:13" x14ac:dyDescent="0.25">
      <c r="A56" s="1">
        <v>44178</v>
      </c>
      <c r="B56" s="10" t="s">
        <v>13</v>
      </c>
      <c r="C56" s="31"/>
      <c r="D56" s="31" t="s">
        <v>113</v>
      </c>
      <c r="E56" s="3">
        <v>0.53819444444444442</v>
      </c>
      <c r="F56" s="31"/>
      <c r="G56" s="31" t="str">
        <f t="shared" si="2"/>
        <v>PERMISO</v>
      </c>
      <c r="H56" s="31" t="str">
        <f t="shared" si="2"/>
        <v>RETARDO</v>
      </c>
      <c r="I56" s="31"/>
    </row>
    <row r="57" spans="1:13" x14ac:dyDescent="0.25">
      <c r="A57" s="1">
        <v>44179</v>
      </c>
      <c r="B57" s="10" t="s">
        <v>14</v>
      </c>
      <c r="C57" s="31"/>
      <c r="D57" s="3">
        <v>0.5625</v>
      </c>
      <c r="E57" s="31" t="s">
        <v>15</v>
      </c>
      <c r="F57" s="31"/>
      <c r="G57" s="31" t="str">
        <f t="shared" si="2"/>
        <v>RETARDO</v>
      </c>
      <c r="H57" s="31" t="str">
        <f t="shared" si="2"/>
        <v>DESCANSO</v>
      </c>
      <c r="I57" s="31"/>
      <c r="L57" s="36" t="s">
        <v>22</v>
      </c>
      <c r="M57" s="36"/>
    </row>
    <row r="58" spans="1:13" x14ac:dyDescent="0.25">
      <c r="A58" s="1">
        <v>44180</v>
      </c>
      <c r="B58" s="10" t="s">
        <v>16</v>
      </c>
      <c r="C58" s="31"/>
      <c r="D58" s="3">
        <v>0.53472222222222221</v>
      </c>
      <c r="E58" s="3">
        <v>0.53472222222222221</v>
      </c>
      <c r="F58" s="31"/>
      <c r="G58" s="31" t="str">
        <f t="shared" si="2"/>
        <v>RETARDO</v>
      </c>
      <c r="H58" s="31" t="str">
        <f t="shared" si="2"/>
        <v>RETARDO</v>
      </c>
      <c r="I58" s="31"/>
      <c r="K58" s="7" t="s">
        <v>5</v>
      </c>
      <c r="L58" s="7" t="s">
        <v>23</v>
      </c>
      <c r="M58" s="7" t="s">
        <v>24</v>
      </c>
    </row>
    <row r="59" spans="1:13" x14ac:dyDescent="0.25">
      <c r="A59" s="1">
        <v>44181</v>
      </c>
      <c r="B59" s="10" t="s">
        <v>17</v>
      </c>
      <c r="C59" s="31"/>
      <c r="D59" s="31" t="s">
        <v>15</v>
      </c>
      <c r="E59" s="31" t="s">
        <v>113</v>
      </c>
      <c r="F59" s="31"/>
      <c r="G59" s="31" t="str">
        <f t="shared" si="2"/>
        <v>DESCANSO</v>
      </c>
      <c r="H59" s="31" t="str">
        <f t="shared" si="2"/>
        <v>PERMISO</v>
      </c>
      <c r="I59" s="31"/>
      <c r="K59" t="s">
        <v>7</v>
      </c>
      <c r="L59">
        <f>COUNTIF(H$58:H$74,"RETARDO")</f>
        <v>5</v>
      </c>
      <c r="M59">
        <f>COUNTIF(G$58:G$74,"RETARDO")</f>
        <v>8</v>
      </c>
    </row>
    <row r="60" spans="1:13" x14ac:dyDescent="0.25">
      <c r="A60" s="1">
        <v>44182</v>
      </c>
      <c r="B60" s="10" t="s">
        <v>8</v>
      </c>
      <c r="C60" s="31"/>
      <c r="D60" s="3">
        <v>0.50972222222222219</v>
      </c>
      <c r="E60" s="31" t="s">
        <v>113</v>
      </c>
      <c r="F60" s="31"/>
      <c r="G60" s="31" t="str">
        <f t="shared" si="2"/>
        <v>√</v>
      </c>
      <c r="H60" s="31" t="str">
        <f t="shared" si="2"/>
        <v>PERMISO</v>
      </c>
      <c r="I60" s="31"/>
      <c r="K60" t="s">
        <v>9</v>
      </c>
      <c r="L60">
        <f>COUNTIF(H$58:H$74,"FALTA")</f>
        <v>1</v>
      </c>
      <c r="M60">
        <f>COUNTIF(G$58:G$74,"FALTA")</f>
        <v>0</v>
      </c>
    </row>
    <row r="61" spans="1:13" x14ac:dyDescent="0.25">
      <c r="A61" s="1">
        <v>44183</v>
      </c>
      <c r="B61" s="10" t="s">
        <v>10</v>
      </c>
      <c r="C61" s="31"/>
      <c r="D61" s="3">
        <v>0.53472222222222221</v>
      </c>
      <c r="E61" s="3">
        <v>0.54166666666666663</v>
      </c>
      <c r="F61" s="31"/>
      <c r="G61" s="31" t="str">
        <f>IF(EXACT(D61,"F"),"FALTA",IF(EXACT(D61,"D"),"DESCANSO",IF(EXACT(D61,""),"",IF(EXACT(D61,"P"),"PERMISO",IF(IF(WEEKDAY(A61,11)&gt;=4,VALUE(D61)&gt;VALUE("13:00"),VALUE(D61)&gt;VALUE("12:20")),"RETARDO",IF(EXACT(D61,"F"),"FALTA","√"))))))</f>
        <v>√</v>
      </c>
      <c r="H61" s="31" t="str">
        <f>IF(EXACT(E61,"F"),"FALTA",IF(EXACT(E61,"D"),"DESCANSO",IF(EXACT(E61,""),"",IF(EXACT(E61,"P"),"PERMISO",IF(IF(WEEKDAY(A61,11)&gt;=4,VALUE(E61)&gt;VALUE("13:00"),VALUE(E61)&gt;VALUE("12:20")),"RETARDO",IF(EXACT(E61,"F"),"FALTA","√"))))))</f>
        <v>√</v>
      </c>
      <c r="I61" s="31"/>
      <c r="K61" t="s">
        <v>11</v>
      </c>
      <c r="L61">
        <f>ROUNDDOWN(L59/3,0)+L60</f>
        <v>2</v>
      </c>
      <c r="M61">
        <f>ROUNDDOWN(M59/3,0)+M60</f>
        <v>2</v>
      </c>
    </row>
    <row r="62" spans="1:13" x14ac:dyDescent="0.25">
      <c r="A62" s="1">
        <v>44184</v>
      </c>
      <c r="B62" s="10" t="s">
        <v>12</v>
      </c>
      <c r="C62" s="31"/>
      <c r="D62" s="3">
        <v>0.54652777777777783</v>
      </c>
      <c r="E62" s="31" t="s">
        <v>110</v>
      </c>
      <c r="F62" s="31"/>
      <c r="G62" s="31" t="str">
        <f t="shared" ref="G62:G74" si="3">IF(EXACT(D62,"F"),"FALTA",IF(EXACT(D62,"D"),"DESCANSO",IF(EXACT(D62,""),"",IF(EXACT(D62,"P"),"PERMISO",IF(IF(WEEKDAY(A62,11)&gt;=4,VALUE(D62)&gt;VALUE("13:00"),VALUE(D62)&gt;VALUE("12:20")),"RETARDO",IF(EXACT(D62,"F"),"FALTA","√"))))))</f>
        <v>RETARDO</v>
      </c>
      <c r="H62" s="31" t="str">
        <f t="shared" ref="H62:H74" si="4">IF(EXACT(E62,"F"),"FALTA",IF(EXACT(E62,"D"),"DESCANSO",IF(EXACT(E62,""),"",IF(EXACT(E62,"P"),"PERMISO",IF(IF(WEEKDAY(A62,11)&gt;=4,VALUE(E62)&gt;VALUE("13:00"),VALUE(E62)&gt;VALUE("12:20")),"RETARDO",IF(EXACT(E62,"F"),"FALTA","√"))))))</f>
        <v>FALTA</v>
      </c>
      <c r="I62" s="31"/>
    </row>
    <row r="63" spans="1:13" x14ac:dyDescent="0.25">
      <c r="A63" s="1">
        <v>44185</v>
      </c>
      <c r="B63" s="10" t="s">
        <v>13</v>
      </c>
      <c r="C63" s="31"/>
      <c r="D63" s="3">
        <v>0.56944444444444442</v>
      </c>
      <c r="E63" s="3">
        <v>0.54166666666666663</v>
      </c>
      <c r="F63" s="31"/>
      <c r="G63" s="31" t="str">
        <f t="shared" si="3"/>
        <v>RETARDO</v>
      </c>
      <c r="H63" s="31" t="str">
        <f t="shared" si="4"/>
        <v>√</v>
      </c>
      <c r="I63" s="31"/>
    </row>
    <row r="64" spans="1:13" x14ac:dyDescent="0.25">
      <c r="A64" s="1">
        <v>44186</v>
      </c>
      <c r="B64" s="10" t="s">
        <v>14</v>
      </c>
      <c r="C64" s="31"/>
      <c r="D64" s="3">
        <v>0.52777777777777779</v>
      </c>
      <c r="E64" s="3">
        <v>0.5180555555555556</v>
      </c>
      <c r="F64" s="31"/>
      <c r="G64" s="31" t="str">
        <f t="shared" si="3"/>
        <v>RETARDO</v>
      </c>
      <c r="H64" s="31" t="str">
        <f t="shared" si="4"/>
        <v>RETARDO</v>
      </c>
      <c r="I64" s="31"/>
    </row>
    <row r="65" spans="1:8" x14ac:dyDescent="0.25">
      <c r="A65" s="1">
        <v>44187</v>
      </c>
      <c r="B65" s="10" t="s">
        <v>16</v>
      </c>
      <c r="C65" s="31"/>
      <c r="D65" s="3">
        <v>0.52083333333333337</v>
      </c>
      <c r="E65" s="31" t="s">
        <v>15</v>
      </c>
      <c r="F65" s="31"/>
      <c r="G65" s="31" t="str">
        <f t="shared" si="3"/>
        <v>RETARDO</v>
      </c>
      <c r="H65" s="31" t="str">
        <f t="shared" si="4"/>
        <v>DESCANSO</v>
      </c>
    </row>
    <row r="66" spans="1:8" x14ac:dyDescent="0.25">
      <c r="A66" s="1">
        <v>44188</v>
      </c>
      <c r="B66" s="10" t="s">
        <v>17</v>
      </c>
      <c r="C66" s="31"/>
      <c r="D66" s="3" t="s">
        <v>15</v>
      </c>
      <c r="E66" s="3">
        <v>0.51388888888888895</v>
      </c>
      <c r="F66" s="31"/>
      <c r="G66" s="31" t="str">
        <f t="shared" si="3"/>
        <v>DESCANSO</v>
      </c>
      <c r="H66" s="31" t="str">
        <f t="shared" si="4"/>
        <v>√</v>
      </c>
    </row>
    <row r="67" spans="1:8" x14ac:dyDescent="0.25">
      <c r="A67" s="1">
        <v>44189</v>
      </c>
      <c r="B67" s="10" t="s">
        <v>8</v>
      </c>
      <c r="C67" s="31"/>
      <c r="D67" s="3">
        <v>0.50694444444444442</v>
      </c>
      <c r="E67" s="3">
        <v>0.5</v>
      </c>
      <c r="F67" s="31"/>
      <c r="G67" s="31" t="str">
        <f t="shared" si="3"/>
        <v>√</v>
      </c>
      <c r="H67" s="31" t="str">
        <f t="shared" si="4"/>
        <v>√</v>
      </c>
    </row>
    <row r="68" spans="1:8" x14ac:dyDescent="0.25">
      <c r="A68" s="1">
        <v>44190</v>
      </c>
      <c r="B68" s="10" t="s">
        <v>10</v>
      </c>
      <c r="C68" s="31"/>
      <c r="D68" s="31" t="s">
        <v>15</v>
      </c>
      <c r="E68" s="31" t="s">
        <v>15</v>
      </c>
      <c r="F68" s="31"/>
      <c r="G68" s="31" t="str">
        <f t="shared" si="3"/>
        <v>DESCANSO</v>
      </c>
      <c r="H68" s="31" t="str">
        <f t="shared" si="4"/>
        <v>DESCANSO</v>
      </c>
    </row>
    <row r="69" spans="1:8" x14ac:dyDescent="0.25">
      <c r="A69" s="1">
        <v>44191</v>
      </c>
      <c r="B69" s="10" t="s">
        <v>12</v>
      </c>
      <c r="C69" s="31"/>
      <c r="D69" s="3">
        <v>0.59722222222222221</v>
      </c>
      <c r="E69" s="3">
        <v>0.55208333333333337</v>
      </c>
      <c r="F69" s="31"/>
      <c r="G69" s="31" t="str">
        <f t="shared" si="3"/>
        <v>RETARDO</v>
      </c>
      <c r="H69" s="31" t="str">
        <f t="shared" si="4"/>
        <v>RETARDO</v>
      </c>
    </row>
    <row r="70" spans="1:8" x14ac:dyDescent="0.25">
      <c r="A70" s="1">
        <v>44192</v>
      </c>
      <c r="B70" s="10" t="s">
        <v>13</v>
      </c>
      <c r="C70" s="31"/>
      <c r="D70" s="3">
        <v>0.57986111111111105</v>
      </c>
      <c r="E70" s="3">
        <v>0.5625</v>
      </c>
      <c r="F70" s="31"/>
      <c r="G70" s="31" t="str">
        <f t="shared" si="3"/>
        <v>RETARDO</v>
      </c>
      <c r="H70" s="31" t="str">
        <f t="shared" si="4"/>
        <v>RETARDO</v>
      </c>
    </row>
    <row r="71" spans="1:8" x14ac:dyDescent="0.25">
      <c r="A71" s="1">
        <v>44193</v>
      </c>
      <c r="B71" s="10" t="s">
        <v>14</v>
      </c>
      <c r="C71" s="31"/>
      <c r="D71" s="31" t="s">
        <v>15</v>
      </c>
      <c r="E71" s="3">
        <v>0.51041666666666663</v>
      </c>
      <c r="F71" s="31"/>
      <c r="G71" s="31" t="str">
        <f t="shared" si="3"/>
        <v>DESCANSO</v>
      </c>
      <c r="H71" s="31" t="str">
        <f t="shared" si="4"/>
        <v>√</v>
      </c>
    </row>
    <row r="72" spans="1:8" x14ac:dyDescent="0.25">
      <c r="A72" s="1">
        <v>44194</v>
      </c>
      <c r="B72" s="10" t="s">
        <v>16</v>
      </c>
      <c r="C72" s="31"/>
      <c r="D72" s="3">
        <v>0.50902777777777775</v>
      </c>
      <c r="E72" s="31" t="s">
        <v>15</v>
      </c>
      <c r="F72" s="31"/>
      <c r="G72" s="31" t="str">
        <f t="shared" si="3"/>
        <v>√</v>
      </c>
      <c r="H72" s="31" t="str">
        <f t="shared" si="4"/>
        <v>DESCANSO</v>
      </c>
    </row>
    <row r="73" spans="1:8" x14ac:dyDescent="0.25">
      <c r="A73" s="1">
        <v>44195</v>
      </c>
      <c r="B73" s="10" t="s">
        <v>17</v>
      </c>
      <c r="C73" s="31"/>
      <c r="D73" s="3">
        <v>0.53819444444444442</v>
      </c>
      <c r="E73" s="3">
        <v>0.52430555555555558</v>
      </c>
      <c r="F73" s="31"/>
      <c r="G73" s="31" t="str">
        <f t="shared" si="3"/>
        <v>RETARDO</v>
      </c>
      <c r="H73" s="31" t="str">
        <f t="shared" si="4"/>
        <v>RETARDO</v>
      </c>
    </row>
    <row r="74" spans="1:8" x14ac:dyDescent="0.25">
      <c r="A74" s="1">
        <v>44196</v>
      </c>
      <c r="B74" s="10" t="s">
        <v>8</v>
      </c>
      <c r="C74" s="31"/>
      <c r="D74" s="3">
        <v>0.52083333333333337</v>
      </c>
      <c r="E74" s="3">
        <v>0.52083333333333337</v>
      </c>
      <c r="F74" s="31"/>
      <c r="G74" s="31" t="str">
        <f t="shared" si="3"/>
        <v>√</v>
      </c>
      <c r="H74" s="31" t="str">
        <f t="shared" si="4"/>
        <v>√</v>
      </c>
    </row>
  </sheetData>
  <mergeCells count="6">
    <mergeCell ref="L57:M57"/>
    <mergeCell ref="F2:I2"/>
    <mergeCell ref="L2:M2"/>
    <mergeCell ref="L14:M14"/>
    <mergeCell ref="L29:M29"/>
    <mergeCell ref="L46:M46"/>
  </mergeCells>
  <phoneticPr fontId="2" type="noConversion"/>
  <conditionalFormatting sqref="F4:I45 G46:G74 H44:H74">
    <cfRule type="containsText" dxfId="8" priority="7" operator="containsText" text="PERMISO">
      <formula>NOT(ISERROR(SEARCH("PERMISO",F4)))</formula>
    </cfRule>
    <cfRule type="containsText" dxfId="7" priority="8" operator="containsText" text="RETARDO">
      <formula>NOT(ISERROR(SEARCH("RETARDO",F4)))</formula>
    </cfRule>
    <cfRule type="containsText" dxfId="6" priority="9" operator="containsText" text="FALTA">
      <formula>NOT(ISERROR(SEARCH("FALTA",F4)))</formula>
    </cfRule>
  </conditionalFormatting>
  <conditionalFormatting sqref="K3:M3 F1:I1048576">
    <cfRule type="containsText" dxfId="5" priority="6" operator="containsText" text="√">
      <formula>NOT(ISERROR(SEARCH("√",F1)))</formula>
    </cfRule>
  </conditionalFormatting>
  <conditionalFormatting sqref="F1:H1048576">
    <cfRule type="containsText" dxfId="4" priority="5" operator="containsText" text="DESCANSO">
      <formula>NOT(ISERROR(SEARCH("DESCANSO",F1)))</formula>
    </cfRule>
  </conditionalFormatting>
  <conditionalFormatting sqref="K15:M15">
    <cfRule type="containsText" dxfId="3" priority="4" operator="containsText" text="√">
      <formula>NOT(ISERROR(SEARCH("√",K15)))</formula>
    </cfRule>
  </conditionalFormatting>
  <conditionalFormatting sqref="K30:M30">
    <cfRule type="containsText" dxfId="2" priority="3" operator="containsText" text="√">
      <formula>NOT(ISERROR(SEARCH("√",K30)))</formula>
    </cfRule>
  </conditionalFormatting>
  <conditionalFormatting sqref="K47:M47">
    <cfRule type="containsText" dxfId="1" priority="2" operator="containsText" text="√">
      <formula>NOT(ISERROR(SEARCH("√",K47)))</formula>
    </cfRule>
  </conditionalFormatting>
  <conditionalFormatting sqref="K58:M58">
    <cfRule type="containsText" dxfId="0" priority="1" operator="containsText" text="√">
      <formula>NOT(ISERROR(SEARCH("√",K58)))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113"/>
  <sheetViews>
    <sheetView topLeftCell="A24" workbookViewId="0">
      <selection activeCell="C43" sqref="C43"/>
    </sheetView>
  </sheetViews>
  <sheetFormatPr baseColWidth="10" defaultColWidth="11.42578125" defaultRowHeight="15" x14ac:dyDescent="0.25"/>
  <cols>
    <col min="1" max="1" width="7.42578125" bestFit="1" customWidth="1"/>
    <col min="2" max="2" width="12.7109375" customWidth="1"/>
    <col min="3" max="4" width="11.42578125" style="12"/>
    <col min="9" max="10" width="11.42578125" style="12"/>
    <col min="18" max="18" width="11.42578125" style="12"/>
  </cols>
  <sheetData>
    <row r="1" spans="1:24" x14ac:dyDescent="0.25">
      <c r="C1" s="40">
        <v>2020</v>
      </c>
      <c r="D1" s="40"/>
      <c r="E1" s="36">
        <v>2021</v>
      </c>
      <c r="F1" s="36"/>
      <c r="G1" t="s">
        <v>25</v>
      </c>
      <c r="H1" t="s">
        <v>142</v>
      </c>
    </row>
    <row r="2" spans="1:24" x14ac:dyDescent="0.25">
      <c r="B2" t="s">
        <v>26</v>
      </c>
      <c r="C2" s="12">
        <v>126.6669</v>
      </c>
      <c r="D2" s="12">
        <v>126.6669</v>
      </c>
      <c r="E2" s="12">
        <v>141.69999999999999</v>
      </c>
      <c r="F2" s="12">
        <v>141.69999999999999</v>
      </c>
      <c r="G2" s="12">
        <v>141.69999999999999</v>
      </c>
      <c r="H2" s="13">
        <f>4000/30</f>
        <v>133.33333333333334</v>
      </c>
      <c r="O2" t="s">
        <v>27</v>
      </c>
      <c r="P2" t="s">
        <v>28</v>
      </c>
      <c r="Q2" t="s">
        <v>29</v>
      </c>
      <c r="R2" s="12" t="s">
        <v>30</v>
      </c>
      <c r="T2" t="s">
        <v>31</v>
      </c>
      <c r="U2" t="s">
        <v>24</v>
      </c>
      <c r="V2" t="s">
        <v>32</v>
      </c>
      <c r="W2" s="12" t="s">
        <v>28</v>
      </c>
      <c r="X2" t="s">
        <v>33</v>
      </c>
    </row>
    <row r="3" spans="1:24" x14ac:dyDescent="0.25">
      <c r="B3" t="s">
        <v>34</v>
      </c>
      <c r="C3" s="12">
        <v>0</v>
      </c>
      <c r="D3" s="12">
        <f>5000-3800</f>
        <v>1200</v>
      </c>
      <c r="E3" s="12">
        <v>0</v>
      </c>
      <c r="F3" s="12">
        <v>1200</v>
      </c>
      <c r="O3" s="14">
        <v>44136</v>
      </c>
      <c r="P3" t="s">
        <v>35</v>
      </c>
      <c r="Q3" t="s">
        <v>32</v>
      </c>
      <c r="R3" s="12">
        <v>98</v>
      </c>
      <c r="U3">
        <v>1</v>
      </c>
      <c r="V3">
        <v>1</v>
      </c>
      <c r="W3" s="12" t="s">
        <v>36</v>
      </c>
      <c r="X3" s="1">
        <v>44151</v>
      </c>
    </row>
    <row r="4" spans="1:24" x14ac:dyDescent="0.25">
      <c r="B4" t="s">
        <v>37</v>
      </c>
      <c r="C4" s="12">
        <f>C3/30</f>
        <v>0</v>
      </c>
      <c r="D4" s="12">
        <f>D3/30</f>
        <v>40</v>
      </c>
      <c r="E4" s="12">
        <v>0</v>
      </c>
      <c r="F4" s="12">
        <v>40</v>
      </c>
      <c r="G4">
        <v>24.97</v>
      </c>
      <c r="O4" s="1">
        <v>44141</v>
      </c>
      <c r="P4" t="s">
        <v>38</v>
      </c>
      <c r="Q4" t="s">
        <v>24</v>
      </c>
      <c r="R4" s="12">
        <v>64.5</v>
      </c>
      <c r="U4">
        <v>1</v>
      </c>
      <c r="V4">
        <v>0</v>
      </c>
      <c r="W4" s="12" t="s">
        <v>39</v>
      </c>
      <c r="X4" s="1">
        <v>44152</v>
      </c>
    </row>
    <row r="5" spans="1:24" x14ac:dyDescent="0.25">
      <c r="B5" t="s">
        <v>40</v>
      </c>
      <c r="C5" s="12">
        <v>500</v>
      </c>
      <c r="D5" s="12">
        <v>500</v>
      </c>
      <c r="E5" s="12">
        <v>500</v>
      </c>
      <c r="F5" s="12">
        <v>500</v>
      </c>
      <c r="G5" s="12">
        <v>500</v>
      </c>
      <c r="H5" s="12"/>
      <c r="O5" s="1">
        <v>44141</v>
      </c>
      <c r="P5" t="s">
        <v>38</v>
      </c>
      <c r="Q5" t="s">
        <v>32</v>
      </c>
      <c r="R5" s="12">
        <v>64.5</v>
      </c>
    </row>
    <row r="6" spans="1:24" x14ac:dyDescent="0.25">
      <c r="E6" s="36" t="s">
        <v>41</v>
      </c>
      <c r="F6" s="36"/>
      <c r="G6" s="36" t="s">
        <v>31</v>
      </c>
      <c r="H6" s="36"/>
      <c r="I6" s="39" t="s">
        <v>27</v>
      </c>
      <c r="J6" s="39"/>
      <c r="K6" s="36" t="s">
        <v>42</v>
      </c>
      <c r="L6" s="36"/>
      <c r="O6" s="1">
        <v>44143</v>
      </c>
      <c r="P6" t="s">
        <v>43</v>
      </c>
      <c r="Q6" t="s">
        <v>24</v>
      </c>
      <c r="R6" s="12">
        <v>520</v>
      </c>
    </row>
    <row r="7" spans="1:24" x14ac:dyDescent="0.25">
      <c r="C7" s="12" t="s">
        <v>24</v>
      </c>
      <c r="D7" s="12" t="s">
        <v>32</v>
      </c>
      <c r="E7" t="s">
        <v>24</v>
      </c>
      <c r="F7" t="s">
        <v>32</v>
      </c>
      <c r="G7" t="s">
        <v>24</v>
      </c>
      <c r="H7" t="s">
        <v>32</v>
      </c>
      <c r="I7" s="12" t="s">
        <v>24</v>
      </c>
      <c r="J7" s="12" t="s">
        <v>32</v>
      </c>
      <c r="K7" t="s">
        <v>24</v>
      </c>
      <c r="L7" t="s">
        <v>32</v>
      </c>
      <c r="O7" s="1">
        <v>44144</v>
      </c>
      <c r="P7" t="s">
        <v>44</v>
      </c>
      <c r="Q7" t="s">
        <v>32</v>
      </c>
      <c r="R7" s="12">
        <v>110</v>
      </c>
    </row>
    <row r="8" spans="1:24" x14ac:dyDescent="0.25">
      <c r="A8" s="11">
        <v>44105</v>
      </c>
      <c r="B8" t="s">
        <v>45</v>
      </c>
      <c r="C8" s="12">
        <f>(C$2*E8)+(C$4*E8)+C$5-I8</f>
        <v>773.33660000000009</v>
      </c>
      <c r="D8" s="12">
        <f>(D$2*F8)+(D$4*F8)+D$5-J8</f>
        <v>2194.3366000000001</v>
      </c>
      <c r="E8">
        <f>15-'2020_sem2'!M6+G8</f>
        <v>14</v>
      </c>
      <c r="F8">
        <f>15-'2020_sem2'!L6+H8</f>
        <v>14</v>
      </c>
      <c r="G8">
        <v>0</v>
      </c>
      <c r="H8">
        <v>0</v>
      </c>
      <c r="I8" s="12">
        <v>1500</v>
      </c>
      <c r="J8" s="12">
        <f>400+129+110</f>
        <v>639</v>
      </c>
      <c r="K8" s="13">
        <f t="shared" ref="K8:L10" si="0">(C$2+C$4)*E8</f>
        <v>1773.3366000000001</v>
      </c>
      <c r="L8" s="13">
        <f t="shared" si="0"/>
        <v>2333.3366000000001</v>
      </c>
      <c r="O8" s="1">
        <v>44145</v>
      </c>
      <c r="P8" t="s">
        <v>46</v>
      </c>
      <c r="Q8" t="s">
        <v>24</v>
      </c>
      <c r="R8" s="12">
        <v>60</v>
      </c>
      <c r="T8" t="s">
        <v>31</v>
      </c>
      <c r="U8" t="s">
        <v>24</v>
      </c>
      <c r="V8" t="s">
        <v>23</v>
      </c>
      <c r="W8" s="12" t="s">
        <v>28</v>
      </c>
      <c r="X8" t="s">
        <v>33</v>
      </c>
    </row>
    <row r="9" spans="1:24" x14ac:dyDescent="0.25">
      <c r="A9" s="11">
        <v>44136</v>
      </c>
      <c r="B9" t="s">
        <v>47</v>
      </c>
      <c r="C9" s="12">
        <f>(C$2*E9)+(C$4*E9)-I9</f>
        <v>928.83660000000009</v>
      </c>
      <c r="D9" s="12">
        <f>(D$2*F9)+(D$4*F9)-J9</f>
        <v>1494.1696999999999</v>
      </c>
      <c r="E9">
        <f>15-'2020_sem2'!M18+G9</f>
        <v>14</v>
      </c>
      <c r="F9">
        <f>15-'2020_sem2'!L18+H9</f>
        <v>13</v>
      </c>
      <c r="G9">
        <v>1</v>
      </c>
      <c r="H9">
        <v>0</v>
      </c>
      <c r="I9" s="12">
        <f>R4+R6+R8+R10</f>
        <v>844.5</v>
      </c>
      <c r="J9" s="12">
        <f>R3+R5+R7+R9</f>
        <v>672.5</v>
      </c>
      <c r="K9" s="13">
        <f t="shared" si="0"/>
        <v>1773.3366000000001</v>
      </c>
      <c r="L9" s="13">
        <f t="shared" si="0"/>
        <v>2166.6696999999999</v>
      </c>
      <c r="O9" s="1">
        <v>44147</v>
      </c>
      <c r="P9" t="s">
        <v>43</v>
      </c>
      <c r="Q9" t="s">
        <v>32</v>
      </c>
      <c r="R9" s="12">
        <v>400</v>
      </c>
      <c r="U9">
        <v>1</v>
      </c>
      <c r="V9">
        <v>1</v>
      </c>
      <c r="W9" s="12" t="s">
        <v>36</v>
      </c>
      <c r="X9" s="1">
        <v>44228</v>
      </c>
    </row>
    <row r="10" spans="1:24" x14ac:dyDescent="0.25">
      <c r="A10" s="11">
        <v>44136</v>
      </c>
      <c r="B10" t="s">
        <v>45</v>
      </c>
      <c r="C10" s="12">
        <f>(C$2*E10)+(C$4*E10)-I10</f>
        <v>2026.6704</v>
      </c>
      <c r="D10" s="12">
        <f>(D$2*F10)+(D$4*F10)-J10</f>
        <v>1333.3352</v>
      </c>
      <c r="E10">
        <f>15-'2020_sem2'!M33+G10</f>
        <v>16</v>
      </c>
      <c r="F10">
        <f>15-'2020_sem2'!L33+H10</f>
        <v>8</v>
      </c>
      <c r="G10">
        <v>2</v>
      </c>
      <c r="H10">
        <v>1</v>
      </c>
      <c r="I10" s="12">
        <v>0</v>
      </c>
      <c r="K10" s="13">
        <f t="shared" si="0"/>
        <v>2026.6704</v>
      </c>
      <c r="L10" s="13">
        <f t="shared" si="0"/>
        <v>1333.3352</v>
      </c>
      <c r="O10" s="1">
        <v>44148</v>
      </c>
      <c r="P10" t="s">
        <v>43</v>
      </c>
      <c r="Q10" t="s">
        <v>24</v>
      </c>
      <c r="R10" s="12">
        <v>200</v>
      </c>
      <c r="W10" s="12"/>
      <c r="X10" s="1"/>
    </row>
    <row r="11" spans="1:24" x14ac:dyDescent="0.25">
      <c r="O11" s="1">
        <v>44154</v>
      </c>
      <c r="P11" t="s">
        <v>43</v>
      </c>
      <c r="Q11" t="s">
        <v>24</v>
      </c>
      <c r="R11" s="12">
        <v>500</v>
      </c>
    </row>
    <row r="12" spans="1:24" x14ac:dyDescent="0.25">
      <c r="O12" s="1">
        <v>44157</v>
      </c>
      <c r="P12" t="s">
        <v>48</v>
      </c>
      <c r="Q12" t="s">
        <v>24</v>
      </c>
      <c r="R12" s="12">
        <v>70</v>
      </c>
    </row>
    <row r="13" spans="1:24" x14ac:dyDescent="0.25">
      <c r="E13" s="36" t="s">
        <v>41</v>
      </c>
      <c r="F13" s="36"/>
      <c r="G13" s="36" t="s">
        <v>31</v>
      </c>
      <c r="H13" s="36"/>
      <c r="I13" s="39" t="s">
        <v>27</v>
      </c>
      <c r="J13" s="39"/>
      <c r="K13" s="36" t="s">
        <v>42</v>
      </c>
      <c r="L13" s="36"/>
      <c r="M13" t="s">
        <v>49</v>
      </c>
      <c r="O13" s="1">
        <v>44164</v>
      </c>
      <c r="P13" t="s">
        <v>43</v>
      </c>
      <c r="Q13" t="s">
        <v>24</v>
      </c>
      <c r="R13" s="12">
        <v>200</v>
      </c>
    </row>
    <row r="14" spans="1:24" x14ac:dyDescent="0.25">
      <c r="C14" s="12" t="s">
        <v>4</v>
      </c>
      <c r="D14" s="12" t="s">
        <v>3</v>
      </c>
      <c r="E14" s="12" t="s">
        <v>4</v>
      </c>
      <c r="F14" s="12" t="s">
        <v>3</v>
      </c>
      <c r="G14" s="12" t="s">
        <v>4</v>
      </c>
      <c r="H14" s="12" t="s">
        <v>3</v>
      </c>
      <c r="I14" s="12" t="s">
        <v>4</v>
      </c>
      <c r="J14" s="12" t="s">
        <v>3</v>
      </c>
      <c r="K14" s="12" t="s">
        <v>4</v>
      </c>
      <c r="L14" s="12" t="s">
        <v>3</v>
      </c>
      <c r="M14" s="12" t="s">
        <v>3</v>
      </c>
      <c r="O14" s="1">
        <v>44175</v>
      </c>
      <c r="P14" t="s">
        <v>43</v>
      </c>
      <c r="Q14" t="s">
        <v>24</v>
      </c>
      <c r="R14" s="12">
        <v>1000</v>
      </c>
    </row>
    <row r="15" spans="1:24" x14ac:dyDescent="0.25">
      <c r="A15" s="11">
        <v>44136</v>
      </c>
      <c r="B15" t="s">
        <v>45</v>
      </c>
      <c r="C15" s="12">
        <f>(C$2*E15)+(C$4*E15)-I15</f>
        <v>886.66830000000004</v>
      </c>
      <c r="D15" s="12">
        <f>(D$2*F15)+(D$4*F15)-J15</f>
        <v>1896.6704</v>
      </c>
      <c r="E15">
        <v>7</v>
      </c>
      <c r="F15">
        <f>15-'2020_sem2'!M33+H15</f>
        <v>16</v>
      </c>
      <c r="G15">
        <v>0</v>
      </c>
      <c r="H15">
        <v>2</v>
      </c>
      <c r="I15" s="12">
        <v>0</v>
      </c>
      <c r="J15" s="12">
        <f>R11+R12+R13</f>
        <v>770</v>
      </c>
      <c r="K15" s="13">
        <f t="shared" ref="K15" si="1">(C$2+C$4)*E15</f>
        <v>886.66830000000004</v>
      </c>
      <c r="L15" s="13">
        <f t="shared" ref="L15" si="2">(D$2+D$4)*F15</f>
        <v>2666.6704</v>
      </c>
      <c r="O15" s="1">
        <v>44178</v>
      </c>
      <c r="P15" t="s">
        <v>43</v>
      </c>
      <c r="Q15" t="s">
        <v>23</v>
      </c>
      <c r="R15" s="12">
        <v>300</v>
      </c>
    </row>
    <row r="16" spans="1:24" x14ac:dyDescent="0.25">
      <c r="A16" s="11">
        <v>44166</v>
      </c>
      <c r="B16" t="s">
        <v>47</v>
      </c>
      <c r="C16" s="12">
        <f>(C$2*E16)+(C$4*E16)-I16</f>
        <v>1473.3366000000001</v>
      </c>
      <c r="D16" s="12">
        <f>((D$2*F16)+(D$4*F16)-J16)+N16</f>
        <v>666.66783333333319</v>
      </c>
      <c r="E16">
        <f>15-'2020_sem2'!L50+G16</f>
        <v>14</v>
      </c>
      <c r="F16">
        <v>5</v>
      </c>
      <c r="G16">
        <v>0</v>
      </c>
      <c r="H16">
        <v>0</v>
      </c>
      <c r="I16" s="12">
        <f>R15</f>
        <v>300</v>
      </c>
      <c r="J16" s="12">
        <f>R14</f>
        <v>1000</v>
      </c>
      <c r="K16" s="13">
        <f t="shared" ref="K16" si="3">(C$2+C$4)*E16</f>
        <v>1773.3366000000001</v>
      </c>
      <c r="L16" s="13">
        <f t="shared" ref="L16" si="4">(D$2+D$4)*F16</f>
        <v>833.33449999999993</v>
      </c>
      <c r="M16">
        <v>10</v>
      </c>
      <c r="N16" s="13">
        <f>((2500/15)/2)*M16</f>
        <v>833.33333333333326</v>
      </c>
      <c r="O16" s="1">
        <v>44181</v>
      </c>
      <c r="P16" t="s">
        <v>43</v>
      </c>
      <c r="Q16" t="s">
        <v>24</v>
      </c>
      <c r="R16" s="12">
        <v>500</v>
      </c>
    </row>
    <row r="17" spans="1:19" x14ac:dyDescent="0.25">
      <c r="A17" s="11">
        <v>44166</v>
      </c>
      <c r="B17" t="s">
        <v>45</v>
      </c>
      <c r="C17" s="12">
        <f>(C$2*E17)+(C$4*E17)-I17</f>
        <v>1546.6696999999999</v>
      </c>
      <c r="D17" s="12">
        <f>(D$2*F17)+(D$4*F17)-J17</f>
        <v>766.66969999999992</v>
      </c>
      <c r="E17">
        <f>15-'2020_sem2'!L61+G17</f>
        <v>13</v>
      </c>
      <c r="F17">
        <f>15-'2020_sem2'!M61+H17</f>
        <v>13</v>
      </c>
      <c r="G17">
        <v>0</v>
      </c>
      <c r="H17">
        <v>0</v>
      </c>
      <c r="I17" s="12">
        <f>R19</f>
        <v>100</v>
      </c>
      <c r="J17" s="12">
        <f>R16+R17+R18+R20+R21</f>
        <v>1400</v>
      </c>
      <c r="K17" s="13">
        <f t="shared" ref="K17" si="5">(C$2+C$4)*E17</f>
        <v>1646.6696999999999</v>
      </c>
      <c r="L17" s="13">
        <f t="shared" ref="L17" si="6">(D$2+D$4)*F17</f>
        <v>2166.6696999999999</v>
      </c>
      <c r="N17" s="13"/>
      <c r="O17" s="1">
        <v>44184</v>
      </c>
      <c r="P17" t="s">
        <v>43</v>
      </c>
      <c r="Q17" t="s">
        <v>24</v>
      </c>
      <c r="R17" s="12">
        <v>300</v>
      </c>
    </row>
    <row r="18" spans="1:19" x14ac:dyDescent="0.25">
      <c r="A18" s="11">
        <v>44197</v>
      </c>
      <c r="B18" t="s">
        <v>47</v>
      </c>
      <c r="C18" s="12">
        <f>(E$2*E18)+(E$4*E18)-I18</f>
        <v>783.79999999999973</v>
      </c>
      <c r="D18" s="12">
        <f>(F$2*F18)+(F$4*F18)-J18</f>
        <v>1362.1</v>
      </c>
      <c r="E18">
        <f>15-'2021_enefeb'!J6+G18</f>
        <v>14</v>
      </c>
      <c r="F18">
        <f>15-'2021_enefeb'!K6+H18</f>
        <v>13</v>
      </c>
      <c r="G18">
        <v>0</v>
      </c>
      <c r="H18">
        <v>0</v>
      </c>
      <c r="I18" s="12">
        <f>R31+R26</f>
        <v>1200</v>
      </c>
      <c r="J18" s="12">
        <f>R24+R27+R28</f>
        <v>1000</v>
      </c>
      <c r="K18" s="13">
        <f t="shared" ref="K18:L20" si="7">(E$2+E$4)*E18</f>
        <v>1983.7999999999997</v>
      </c>
      <c r="L18" s="13">
        <f t="shared" si="7"/>
        <v>2362.1</v>
      </c>
      <c r="O18" s="1">
        <v>44187</v>
      </c>
      <c r="P18" t="s">
        <v>43</v>
      </c>
      <c r="Q18" t="s">
        <v>24</v>
      </c>
      <c r="R18" s="12">
        <v>50</v>
      </c>
    </row>
    <row r="19" spans="1:19" x14ac:dyDescent="0.25">
      <c r="A19" s="11">
        <v>44197</v>
      </c>
      <c r="B19" t="s">
        <v>45</v>
      </c>
      <c r="C19" s="12">
        <f>(E$2*E19)+(E$4*E19)-I19+E5</f>
        <v>1933.7999999999997</v>
      </c>
      <c r="D19" s="12">
        <f>(F$2*F19)+(F$4*F19)-J19+F5</f>
        <v>253.09999999999991</v>
      </c>
      <c r="E19">
        <f>15-'2021_enefeb'!J22+G19</f>
        <v>14</v>
      </c>
      <c r="F19">
        <f>15-'2021_enefeb'!K22+H19</f>
        <v>13</v>
      </c>
      <c r="G19">
        <v>0</v>
      </c>
      <c r="H19">
        <v>0</v>
      </c>
      <c r="I19" s="12">
        <f>R30+R36</f>
        <v>550</v>
      </c>
      <c r="J19" s="12">
        <f>R22+R23+R25+R32+R33+R34+R35+R37+R38+R39+R40+R41</f>
        <v>2609</v>
      </c>
      <c r="K19" s="13">
        <f t="shared" si="7"/>
        <v>1983.7999999999997</v>
      </c>
      <c r="L19" s="13">
        <f t="shared" si="7"/>
        <v>2362.1</v>
      </c>
      <c r="O19" s="1">
        <v>44189</v>
      </c>
      <c r="P19" t="s">
        <v>43</v>
      </c>
      <c r="Q19" t="s">
        <v>23</v>
      </c>
      <c r="R19" s="12">
        <v>100</v>
      </c>
      <c r="S19" s="23" t="s">
        <v>50</v>
      </c>
    </row>
    <row r="20" spans="1:19" x14ac:dyDescent="0.25">
      <c r="A20" s="11">
        <v>44228</v>
      </c>
      <c r="B20" t="s">
        <v>47</v>
      </c>
      <c r="C20" s="12">
        <f>(E$2*E20)+(E$4*E20)-I20</f>
        <v>1554.7999999999997</v>
      </c>
      <c r="D20" s="12">
        <f>(F$2*F20)+(F$4*F20)-J20</f>
        <v>2333.7999999999997</v>
      </c>
      <c r="E20">
        <f>15-'2021_enefeb'!J33+G20</f>
        <v>14</v>
      </c>
      <c r="F20">
        <f>15-'2021_enefeb'!K33+H20</f>
        <v>14</v>
      </c>
      <c r="G20">
        <v>1</v>
      </c>
      <c r="H20">
        <v>1</v>
      </c>
      <c r="I20" s="12">
        <f>R42+R44</f>
        <v>429</v>
      </c>
      <c r="J20" s="12">
        <f>R43+R45+R46</f>
        <v>210</v>
      </c>
      <c r="K20" s="13">
        <f t="shared" si="7"/>
        <v>1983.7999999999997</v>
      </c>
      <c r="L20" s="13">
        <f t="shared" si="7"/>
        <v>2543.7999999999997</v>
      </c>
      <c r="O20" s="1">
        <v>44189</v>
      </c>
      <c r="P20" t="s">
        <v>43</v>
      </c>
      <c r="Q20" t="s">
        <v>24</v>
      </c>
      <c r="R20" s="12">
        <v>500</v>
      </c>
    </row>
    <row r="21" spans="1:19" x14ac:dyDescent="0.25">
      <c r="A21" s="11">
        <v>44228</v>
      </c>
      <c r="B21" t="s">
        <v>45</v>
      </c>
      <c r="C21" s="12">
        <f>(E$2*E21)+(E$4*E21)-I21+E5</f>
        <v>2030.3999999999999</v>
      </c>
      <c r="D21" s="12">
        <f>(F$2*F21)+(F$4*F21)-J21+F5</f>
        <v>2567.1</v>
      </c>
      <c r="E21">
        <f>15-'2021_enefeb'!J50+G21</f>
        <v>12</v>
      </c>
      <c r="F21">
        <f>15-'2021_enefeb'!K50+H21</f>
        <v>13</v>
      </c>
      <c r="G21">
        <v>0</v>
      </c>
      <c r="H21">
        <v>0</v>
      </c>
      <c r="I21" s="12">
        <f>R50+R51</f>
        <v>170</v>
      </c>
      <c r="J21" s="12">
        <f>R47+R48+R49</f>
        <v>295</v>
      </c>
      <c r="K21" s="13">
        <f t="shared" ref="K21:K22" si="8">(E$2+E$4)*E21</f>
        <v>1700.3999999999999</v>
      </c>
      <c r="L21" s="13">
        <f t="shared" ref="L21:L22" si="9">(F$2+F$4)*F21</f>
        <v>2362.1</v>
      </c>
      <c r="O21" s="1">
        <v>44192</v>
      </c>
      <c r="P21" t="s">
        <v>43</v>
      </c>
      <c r="Q21" t="s">
        <v>24</v>
      </c>
      <c r="R21" s="12">
        <v>50</v>
      </c>
    </row>
    <row r="22" spans="1:19" x14ac:dyDescent="0.25">
      <c r="A22" s="11">
        <v>44256</v>
      </c>
      <c r="B22" t="s">
        <v>47</v>
      </c>
      <c r="C22" s="12">
        <f>(E$2*E22)+(E$4*E22)-I22</f>
        <v>1642.1</v>
      </c>
      <c r="D22" s="12">
        <f>(F$2*F22)+(F$4*F22)-J22</f>
        <v>2110.3999999999996</v>
      </c>
      <c r="E22">
        <f>15-'2021_marabr'!J6+G22</f>
        <v>13</v>
      </c>
      <c r="F22">
        <f>15-'2021_marabr'!K6+H22</f>
        <v>12</v>
      </c>
      <c r="G22">
        <v>1</v>
      </c>
      <c r="H22">
        <v>1</v>
      </c>
      <c r="I22" s="12">
        <f>R52</f>
        <v>200</v>
      </c>
      <c r="J22" s="12">
        <f>R53</f>
        <v>70</v>
      </c>
      <c r="K22" s="13">
        <f t="shared" si="8"/>
        <v>1842.1</v>
      </c>
      <c r="L22" s="13">
        <f t="shared" si="9"/>
        <v>2180.3999999999996</v>
      </c>
      <c r="O22" s="1">
        <v>44199</v>
      </c>
      <c r="P22" t="s">
        <v>43</v>
      </c>
      <c r="Q22" t="s">
        <v>24</v>
      </c>
      <c r="R22" s="24">
        <v>200</v>
      </c>
    </row>
    <row r="23" spans="1:19" x14ac:dyDescent="0.25">
      <c r="A23" s="11">
        <v>44256</v>
      </c>
      <c r="B23" t="s">
        <v>45</v>
      </c>
      <c r="C23" s="12">
        <f>(E$2*E23)+(E$4*E23)-I23+E5</f>
        <v>1968.7999999999997</v>
      </c>
      <c r="D23" s="12">
        <f>(F$2*F23)+(F$4*F23)-J23+F5</f>
        <v>2284.6999999999998</v>
      </c>
      <c r="E23">
        <f>15-'2021_marabr'!J22</f>
        <v>14</v>
      </c>
      <c r="F23">
        <f>15-'2021_marabr'!K22</f>
        <v>11</v>
      </c>
      <c r="G23">
        <v>0</v>
      </c>
      <c r="H23">
        <v>0</v>
      </c>
      <c r="I23" s="12">
        <f>R52+R54+R58</f>
        <v>515</v>
      </c>
      <c r="J23" s="12">
        <f>R55+R56+R57</f>
        <v>214</v>
      </c>
      <c r="K23" s="13">
        <f t="shared" ref="K23:K24" si="10">(E$2+E$4)*E23</f>
        <v>1983.7999999999997</v>
      </c>
      <c r="L23" s="13">
        <f t="shared" ref="L23:L24" si="11">(F$2+F$4)*F23</f>
        <v>1998.6999999999998</v>
      </c>
      <c r="O23" s="1">
        <v>44201</v>
      </c>
      <c r="P23" t="s">
        <v>51</v>
      </c>
      <c r="Q23" t="s">
        <v>24</v>
      </c>
      <c r="R23" s="24">
        <v>420</v>
      </c>
    </row>
    <row r="24" spans="1:19" x14ac:dyDescent="0.25">
      <c r="A24" s="11">
        <v>44287</v>
      </c>
      <c r="B24" t="s">
        <v>47</v>
      </c>
      <c r="C24" s="12">
        <f>(E$2*E24)+(E$4*E24)-I24</f>
        <v>1683.7999999999997</v>
      </c>
      <c r="D24" s="12">
        <f>(F$2*F24)+(F$4*F24)-J24</f>
        <v>1317</v>
      </c>
      <c r="E24">
        <f>15-'2021_marabr'!J33+G24</f>
        <v>14</v>
      </c>
      <c r="F24">
        <f>15-'2021_marabr'!K33+H24</f>
        <v>10</v>
      </c>
      <c r="G24">
        <v>0</v>
      </c>
      <c r="H24">
        <v>0</v>
      </c>
      <c r="I24" s="12">
        <f>R60</f>
        <v>300</v>
      </c>
      <c r="J24" s="12">
        <f>R61</f>
        <v>500</v>
      </c>
      <c r="K24" s="13">
        <f t="shared" si="10"/>
        <v>1983.7999999999997</v>
      </c>
      <c r="L24" s="13">
        <f t="shared" si="11"/>
        <v>1817</v>
      </c>
      <c r="M24" t="s">
        <v>18</v>
      </c>
      <c r="O24" s="1">
        <v>44202</v>
      </c>
      <c r="P24" t="s">
        <v>43</v>
      </c>
      <c r="Q24" t="s">
        <v>24</v>
      </c>
      <c r="R24" s="24">
        <v>500</v>
      </c>
    </row>
    <row r="25" spans="1:19" x14ac:dyDescent="0.25">
      <c r="A25" s="11">
        <v>44287</v>
      </c>
      <c r="B25" t="s">
        <v>45</v>
      </c>
      <c r="C25" s="12">
        <f>(E$2*E25)+(E$4*E25)-I25+E$5</f>
        <v>1965.3999999999999</v>
      </c>
      <c r="D25" s="12">
        <f>(F$2*F25)+(F$4*F25)-J25+F$5</f>
        <v>1545.1</v>
      </c>
      <c r="E25">
        <f>15-'2021_marabr'!J50</f>
        <v>12</v>
      </c>
      <c r="F25">
        <f>15-'2021_marabr'!K50</f>
        <v>13</v>
      </c>
      <c r="G25">
        <v>0</v>
      </c>
      <c r="H25">
        <v>0</v>
      </c>
      <c r="I25" s="12">
        <f>R67+R69</f>
        <v>235</v>
      </c>
      <c r="J25" s="12">
        <f>SUM(R62:R66)+R68+R70+R71</f>
        <v>1317</v>
      </c>
      <c r="K25" s="13">
        <f t="shared" ref="K25:L27" si="12">(E$2+E$4)*(E25+G25)</f>
        <v>1700.3999999999999</v>
      </c>
      <c r="L25" s="13">
        <f t="shared" si="12"/>
        <v>2362.1</v>
      </c>
      <c r="O25" s="1">
        <v>44203</v>
      </c>
      <c r="P25" t="s">
        <v>43</v>
      </c>
      <c r="Q25" t="s">
        <v>24</v>
      </c>
      <c r="R25" s="24">
        <v>50</v>
      </c>
    </row>
    <row r="26" spans="1:19" x14ac:dyDescent="0.25">
      <c r="A26" s="11">
        <v>44317</v>
      </c>
      <c r="B26" t="s">
        <v>47</v>
      </c>
      <c r="C26" s="12">
        <f>(E$2*(E26+G26))+(E$4*(E26+G26))-I26</f>
        <v>623.5</v>
      </c>
      <c r="D26" s="12">
        <f>(F$2*(F26+H26))+(F$4*(F26+H26))-J26</f>
        <v>1719.7999999999997</v>
      </c>
      <c r="E26">
        <v>4</v>
      </c>
      <c r="F26">
        <f>15-'2021_mayjun'!K6+H26</f>
        <v>13</v>
      </c>
      <c r="G26">
        <v>1</v>
      </c>
      <c r="H26">
        <v>1</v>
      </c>
      <c r="I26" s="12">
        <f>R74+R77</f>
        <v>85</v>
      </c>
      <c r="J26" s="12">
        <f>R72+R73+R75+R76+R78+R79</f>
        <v>824</v>
      </c>
      <c r="K26" s="13">
        <f t="shared" si="12"/>
        <v>708.5</v>
      </c>
      <c r="L26" s="13">
        <f t="shared" si="12"/>
        <v>2543.7999999999997</v>
      </c>
      <c r="M26" s="13"/>
      <c r="O26" s="1">
        <v>44204</v>
      </c>
      <c r="P26" t="s">
        <v>43</v>
      </c>
      <c r="Q26" t="s">
        <v>23</v>
      </c>
      <c r="R26" s="24">
        <v>200</v>
      </c>
    </row>
    <row r="27" spans="1:19" x14ac:dyDescent="0.25">
      <c r="A27" s="11">
        <v>44317</v>
      </c>
      <c r="B27" t="s">
        <v>45</v>
      </c>
      <c r="C27" s="12">
        <f>(E$2*E27)+(E$4*E27)-I27+E$5</f>
        <v>2625.5</v>
      </c>
      <c r="D27" s="12">
        <f>(F$2*F27)+(F$4*F27)-J27+F$5</f>
        <v>2680.3999999999996</v>
      </c>
      <c r="E27">
        <f>15-'2021_mayjun'!J22</f>
        <v>15</v>
      </c>
      <c r="F27">
        <f>15-'2021_mayjun'!K22</f>
        <v>12</v>
      </c>
      <c r="G27">
        <v>0</v>
      </c>
      <c r="H27">
        <v>0</v>
      </c>
      <c r="K27" s="13">
        <f t="shared" si="12"/>
        <v>2125.5</v>
      </c>
      <c r="L27" s="13">
        <f t="shared" si="12"/>
        <v>2180.3999999999996</v>
      </c>
      <c r="M27" s="13"/>
      <c r="O27" s="1">
        <v>44208</v>
      </c>
      <c r="P27" t="s">
        <v>43</v>
      </c>
      <c r="Q27" t="s">
        <v>24</v>
      </c>
      <c r="R27" s="24">
        <v>50</v>
      </c>
    </row>
    <row r="28" spans="1:19" x14ac:dyDescent="0.25">
      <c r="A28" s="11">
        <v>44348</v>
      </c>
      <c r="B28" t="s">
        <v>47</v>
      </c>
      <c r="C28" s="12">
        <f>(E$2*(E28+G28))+(E$4*(E28+G28))-I28</f>
        <v>2125.5</v>
      </c>
      <c r="D28" s="12">
        <f>(F$2*(F28+H28))+(F$4*(F28+H28))-J28</f>
        <v>1871.3999999999996</v>
      </c>
      <c r="E28">
        <f>15-'2021_mayjun'!J33</f>
        <v>15</v>
      </c>
      <c r="F28">
        <f>15-'2021_mayjun'!K33</f>
        <v>12</v>
      </c>
      <c r="G28">
        <v>0</v>
      </c>
      <c r="H28">
        <v>0</v>
      </c>
      <c r="J28" s="12">
        <f>R80+R81</f>
        <v>309</v>
      </c>
      <c r="K28" s="13">
        <f t="shared" ref="K28:K29" si="13">(E$2+E$4)*(E28+G28)</f>
        <v>2125.5</v>
      </c>
      <c r="L28" s="13">
        <f>(F$2+F$4)*(F28+H28)</f>
        <v>2180.3999999999996</v>
      </c>
      <c r="M28" s="13"/>
      <c r="O28" s="1">
        <v>44209</v>
      </c>
      <c r="P28" t="s">
        <v>43</v>
      </c>
      <c r="Q28" t="s">
        <v>24</v>
      </c>
      <c r="R28" s="24">
        <v>450</v>
      </c>
      <c r="S28" s="1"/>
    </row>
    <row r="29" spans="1:19" x14ac:dyDescent="0.25">
      <c r="A29" s="11">
        <v>44348</v>
      </c>
      <c r="B29" t="s">
        <v>45</v>
      </c>
      <c r="C29" s="12">
        <f>(E$2*E29)+(E$4*E29)-I29+E$5</f>
        <v>2483.7999999999997</v>
      </c>
      <c r="D29" s="12">
        <f>(F$2*F29)+(F$4*F29)-J29+F$5</f>
        <v>2098.6999999999998</v>
      </c>
      <c r="E29">
        <f>15-'2021_mayjun'!J50</f>
        <v>14</v>
      </c>
      <c r="F29">
        <f>15-'2021_mayjun'!K50</f>
        <v>11</v>
      </c>
      <c r="G29">
        <v>0</v>
      </c>
      <c r="H29">
        <v>0</v>
      </c>
      <c r="J29" s="12">
        <f>R82</f>
        <v>400</v>
      </c>
      <c r="K29" s="13">
        <f t="shared" si="13"/>
        <v>1983.7999999999997</v>
      </c>
      <c r="L29" s="13">
        <f t="shared" ref="L29" si="14">(F$2+F$4)*(F29+H29)</f>
        <v>1998.6999999999998</v>
      </c>
      <c r="M29" t="s">
        <v>52</v>
      </c>
      <c r="O29" s="1">
        <v>44210</v>
      </c>
      <c r="P29" t="s">
        <v>53</v>
      </c>
      <c r="Q29" t="s">
        <v>23</v>
      </c>
      <c r="R29" s="24">
        <v>250</v>
      </c>
    </row>
    <row r="30" spans="1:19" x14ac:dyDescent="0.25">
      <c r="A30" s="11">
        <v>44378</v>
      </c>
      <c r="B30" t="s">
        <v>47</v>
      </c>
      <c r="C30" s="12">
        <f>(E$2*(E30+G30))+(E$4*(E30+G30))-I30</f>
        <v>2408.8999999999996</v>
      </c>
      <c r="D30" s="12">
        <f>(F$2*(F30+H30))+(F$4*(F30+H30))-J30</f>
        <v>1317</v>
      </c>
      <c r="E30">
        <f>15-'2021_julago'!J6</f>
        <v>15</v>
      </c>
      <c r="F30">
        <f>15-'2021_julago'!K6</f>
        <v>10</v>
      </c>
      <c r="G30">
        <v>2</v>
      </c>
      <c r="H30">
        <v>0</v>
      </c>
      <c r="J30" s="12">
        <f>R83</f>
        <v>500</v>
      </c>
      <c r="K30" s="13">
        <f t="shared" ref="K30:K31" si="15">(E$2+E$4)*(E30+G30)</f>
        <v>2408.8999999999996</v>
      </c>
      <c r="L30" s="13">
        <f>(F$2+F$4)*(F30+H30)</f>
        <v>1817</v>
      </c>
      <c r="M30" s="13"/>
      <c r="O30" s="1">
        <v>44210</v>
      </c>
      <c r="P30" t="s">
        <v>53</v>
      </c>
      <c r="Q30" t="s">
        <v>23</v>
      </c>
      <c r="R30" s="24">
        <v>250</v>
      </c>
    </row>
    <row r="31" spans="1:19" x14ac:dyDescent="0.25">
      <c r="A31" s="11">
        <v>44378</v>
      </c>
      <c r="B31" t="s">
        <v>45</v>
      </c>
      <c r="C31" s="12">
        <f>(E$2*E31)+(E$4*E31)-I31+E$5</f>
        <v>2375.5</v>
      </c>
      <c r="D31" s="12">
        <f>(G$2*F31)+(G$4*F31)-J31+G$5</f>
        <v>2350.0500000000002</v>
      </c>
      <c r="E31">
        <f>15-'2021_mayjun'!J52</f>
        <v>15</v>
      </c>
      <c r="F31">
        <f>15-'2021_mayjun'!K52</f>
        <v>15</v>
      </c>
      <c r="G31">
        <v>0</v>
      </c>
      <c r="H31">
        <v>0</v>
      </c>
      <c r="I31" s="12">
        <v>250</v>
      </c>
      <c r="J31" s="12">
        <f>R84+R85</f>
        <v>650</v>
      </c>
      <c r="K31" s="13">
        <f t="shared" si="15"/>
        <v>2125.5</v>
      </c>
      <c r="L31" s="13">
        <f t="shared" ref="L31:L36" si="16">(G$2+G$4)*(F31+H31)</f>
        <v>2500.0499999999997</v>
      </c>
      <c r="O31" s="1">
        <v>44210</v>
      </c>
      <c r="P31" t="s">
        <v>43</v>
      </c>
      <c r="Q31" t="s">
        <v>23</v>
      </c>
      <c r="R31" s="12">
        <v>1000</v>
      </c>
    </row>
    <row r="32" spans="1:19" x14ac:dyDescent="0.25">
      <c r="A32" s="11">
        <v>44409</v>
      </c>
      <c r="B32" t="s">
        <v>47</v>
      </c>
      <c r="C32" s="12">
        <f>(E$2*E32)+(E$4*E32)-I32</f>
        <v>1983.7999999999997</v>
      </c>
      <c r="D32" s="12">
        <f>(G$2*F32)+(G$4*F32)-J32</f>
        <v>2100.0500000000002</v>
      </c>
      <c r="E32">
        <f>15-'2021_julago'!J33</f>
        <v>14</v>
      </c>
      <c r="F32">
        <f>15-'2021_julago'!K33</f>
        <v>15</v>
      </c>
      <c r="G32">
        <v>0</v>
      </c>
      <c r="H32">
        <v>0</v>
      </c>
      <c r="J32" s="12">
        <f>R86</f>
        <v>400</v>
      </c>
      <c r="K32" s="13">
        <f t="shared" ref="K32:K33" si="17">(E$2+E$4)*(E32+G32)</f>
        <v>1983.7999999999997</v>
      </c>
      <c r="L32" s="13">
        <f t="shared" si="16"/>
        <v>2500.0499999999997</v>
      </c>
      <c r="O32" s="1">
        <v>44210</v>
      </c>
      <c r="P32" t="s">
        <v>43</v>
      </c>
      <c r="Q32" t="s">
        <v>24</v>
      </c>
      <c r="R32" s="12">
        <v>50</v>
      </c>
    </row>
    <row r="33" spans="1:23" x14ac:dyDescent="0.25">
      <c r="A33" s="11">
        <v>44409</v>
      </c>
      <c r="B33" t="s">
        <v>45</v>
      </c>
      <c r="C33" s="12">
        <f>(E$2*E33)+(E$4*E33)-I33+E$5</f>
        <v>2375.5</v>
      </c>
      <c r="D33" s="12">
        <f>(G$2*F33)+(G$4*F33)-J33+G$5</f>
        <v>2000.0500000000002</v>
      </c>
      <c r="E33">
        <f>15-'2021_julago'!J50</f>
        <v>15</v>
      </c>
      <c r="F33">
        <f>15-'2021_julago'!K50</f>
        <v>15</v>
      </c>
      <c r="G33">
        <v>0</v>
      </c>
      <c r="H33">
        <v>30</v>
      </c>
      <c r="I33" s="12">
        <v>250</v>
      </c>
      <c r="J33" s="12">
        <f>R86+R87</f>
        <v>1000</v>
      </c>
      <c r="K33" s="13">
        <f t="shared" si="17"/>
        <v>2125.5</v>
      </c>
      <c r="L33" s="13">
        <f t="shared" si="16"/>
        <v>7500.15</v>
      </c>
      <c r="O33" s="1">
        <v>44213</v>
      </c>
      <c r="P33" t="s">
        <v>54</v>
      </c>
      <c r="Q33" t="s">
        <v>24</v>
      </c>
      <c r="R33" s="12">
        <v>210</v>
      </c>
      <c r="T33" t="s">
        <v>23</v>
      </c>
      <c r="U33">
        <v>2020</v>
      </c>
      <c r="V33" s="1">
        <v>44201</v>
      </c>
      <c r="W33" s="12">
        <v>200</v>
      </c>
    </row>
    <row r="34" spans="1:23" x14ac:dyDescent="0.25">
      <c r="A34" s="11">
        <v>44440</v>
      </c>
      <c r="B34" t="s">
        <v>47</v>
      </c>
      <c r="C34" s="12">
        <f>(E$2*E34)+(E$4*E34)-I34</f>
        <v>1842.1</v>
      </c>
      <c r="D34" s="12">
        <f>(G$2*F34)+(G$4*F34)-J34</f>
        <v>1900.0500000000002</v>
      </c>
      <c r="E34">
        <f>15-'2021_septoct'!J6</f>
        <v>13</v>
      </c>
      <c r="F34">
        <f>15-'2021_septoct'!K6</f>
        <v>15</v>
      </c>
      <c r="G34">
        <v>0</v>
      </c>
      <c r="H34">
        <v>0</v>
      </c>
      <c r="J34" s="12">
        <f>R87</f>
        <v>600</v>
      </c>
      <c r="K34" s="13">
        <f t="shared" ref="K34:K35" si="18">(E$2+E$4)*(E34+G34)</f>
        <v>1842.1</v>
      </c>
      <c r="L34" s="13">
        <f t="shared" si="16"/>
        <v>2500.0499999999997</v>
      </c>
      <c r="O34" s="1">
        <v>44216</v>
      </c>
      <c r="P34" t="s">
        <v>55</v>
      </c>
      <c r="Q34" t="s">
        <v>24</v>
      </c>
      <c r="R34" s="12">
        <v>50</v>
      </c>
    </row>
    <row r="35" spans="1:23" x14ac:dyDescent="0.25">
      <c r="A35" s="11">
        <v>44440</v>
      </c>
      <c r="B35" t="s">
        <v>45</v>
      </c>
      <c r="C35" s="12">
        <f>(E$2*E35)+(E$4*E35)-I35+E$5</f>
        <v>2065.5</v>
      </c>
      <c r="D35" s="12">
        <f>(G$2*F35)+(G$4*F35)-J35+G$5</f>
        <v>2406.7199999999998</v>
      </c>
      <c r="E35">
        <f>15-'2021_septoct'!J22+G35</f>
        <v>15</v>
      </c>
      <c r="F35">
        <f>15-'2021_septoct'!K22+H35</f>
        <v>16</v>
      </c>
      <c r="G35">
        <v>1</v>
      </c>
      <c r="H35">
        <v>1</v>
      </c>
      <c r="I35" s="12">
        <f>R90+R92</f>
        <v>560</v>
      </c>
      <c r="J35" s="12">
        <f>R88+R89+R91</f>
        <v>760</v>
      </c>
      <c r="K35" s="13">
        <f t="shared" si="18"/>
        <v>2267.1999999999998</v>
      </c>
      <c r="L35" s="13">
        <f t="shared" si="16"/>
        <v>2833.39</v>
      </c>
      <c r="O35" s="1">
        <v>44217</v>
      </c>
      <c r="P35" t="s">
        <v>43</v>
      </c>
      <c r="Q35" t="s">
        <v>24</v>
      </c>
      <c r="R35" s="12">
        <v>50</v>
      </c>
    </row>
    <row r="36" spans="1:23" x14ac:dyDescent="0.25">
      <c r="A36" s="11">
        <v>44470</v>
      </c>
      <c r="B36" t="s">
        <v>47</v>
      </c>
      <c r="C36" s="12">
        <f>(E$2*E36)+(E$4*E36)-I36</f>
        <v>1842.1</v>
      </c>
      <c r="D36" s="12">
        <f>(G$2*F36)+(G$4*F36)-J36</f>
        <v>1400.04</v>
      </c>
      <c r="E36">
        <f>15-'2021_septoct'!J33</f>
        <v>13</v>
      </c>
      <c r="F36">
        <f>15-'2021_septoct'!K33</f>
        <v>12</v>
      </c>
      <c r="G36">
        <v>0</v>
      </c>
      <c r="H36">
        <v>0</v>
      </c>
      <c r="J36" s="12">
        <f>R93</f>
        <v>600</v>
      </c>
      <c r="K36" s="13">
        <f t="shared" ref="K36" si="19">(E$2+E$4)*(E36+G36)</f>
        <v>1842.1</v>
      </c>
      <c r="L36" s="13">
        <f t="shared" si="16"/>
        <v>2000.04</v>
      </c>
      <c r="O36" s="1">
        <v>44219</v>
      </c>
      <c r="P36" t="s">
        <v>43</v>
      </c>
      <c r="Q36" t="s">
        <v>23</v>
      </c>
      <c r="R36" s="12">
        <v>300</v>
      </c>
    </row>
    <row r="37" spans="1:23" x14ac:dyDescent="0.25">
      <c r="A37" s="11">
        <v>44440</v>
      </c>
      <c r="B37" t="s">
        <v>45</v>
      </c>
      <c r="C37" s="12">
        <f>(E$2*E37)+(E$4*E37)-I37+E$5</f>
        <v>1983.7999999999997</v>
      </c>
      <c r="D37" s="12">
        <f>(G$2*F37)+(G$4*F37)-J37+G$5</f>
        <v>2466.71</v>
      </c>
      <c r="E37">
        <f>15-'2021_septoct'!J50+G37</f>
        <v>14</v>
      </c>
      <c r="F37">
        <f>15-'2021_septoct'!K50+H37</f>
        <v>13</v>
      </c>
      <c r="I37" s="12">
        <f>500</f>
        <v>500</v>
      </c>
      <c r="J37" s="12">
        <f>R94+R95</f>
        <v>200</v>
      </c>
      <c r="K37" s="13">
        <f>(E$2+E$4)*(E37)</f>
        <v>1983.7999999999997</v>
      </c>
      <c r="L37" s="13">
        <f t="shared" ref="L37:L42" si="20">(G$2+G$4)*(F37)</f>
        <v>2166.71</v>
      </c>
      <c r="O37" s="1">
        <v>44222</v>
      </c>
      <c r="P37" t="s">
        <v>48</v>
      </c>
      <c r="Q37" t="s">
        <v>24</v>
      </c>
      <c r="R37" s="12">
        <v>35</v>
      </c>
    </row>
    <row r="38" spans="1:23" x14ac:dyDescent="0.25">
      <c r="A38" s="11">
        <v>44501</v>
      </c>
      <c r="B38" t="s">
        <v>47</v>
      </c>
      <c r="C38" s="12">
        <f>(E$2*E38)+(E$4*E38)-I38</f>
        <v>2267.1999999999998</v>
      </c>
      <c r="D38" s="12">
        <f>(G$2*F38)+(G$4*F38)-J38</f>
        <v>2266.7199999999998</v>
      </c>
      <c r="E38">
        <f>15-'2021_novdic'!J6+G38</f>
        <v>16</v>
      </c>
      <c r="F38" s="33">
        <f>15-'2021_novdic'!K6+H38</f>
        <v>16</v>
      </c>
      <c r="G38">
        <v>1</v>
      </c>
      <c r="H38">
        <v>1</v>
      </c>
      <c r="J38" s="12">
        <f>R96+R97</f>
        <v>400</v>
      </c>
      <c r="K38" s="13">
        <f>(E$2+E$4)*(E38)</f>
        <v>2267.1999999999998</v>
      </c>
      <c r="L38" s="13">
        <f t="shared" si="20"/>
        <v>2666.72</v>
      </c>
      <c r="O38" s="1">
        <v>44225</v>
      </c>
      <c r="P38" t="s">
        <v>43</v>
      </c>
      <c r="Q38" t="s">
        <v>24</v>
      </c>
      <c r="R38" s="12">
        <v>400</v>
      </c>
    </row>
    <row r="39" spans="1:23" x14ac:dyDescent="0.25">
      <c r="A39" s="11">
        <v>44501</v>
      </c>
      <c r="B39" t="s">
        <v>45</v>
      </c>
      <c r="C39" s="12">
        <f>(E$2*E39)+(E$4*E39)-I39+E$5</f>
        <v>2625.5</v>
      </c>
      <c r="D39" s="12">
        <f>(G$2*F39)+(G$4*F39)-J39+G$5+500</f>
        <v>1550.0500000000002</v>
      </c>
      <c r="E39">
        <f>15-'2021_novdic'!J22+G39</f>
        <v>15</v>
      </c>
      <c r="F39">
        <f>15-'2021_novdic'!K22+H39</f>
        <v>15</v>
      </c>
      <c r="J39" s="12">
        <f>R98+R99+R100+R101+R102</f>
        <v>1950</v>
      </c>
      <c r="K39" s="13">
        <f>(E$2+E$4)*(E39)</f>
        <v>2125.5</v>
      </c>
      <c r="L39" s="13">
        <f t="shared" si="20"/>
        <v>2500.0499999999997</v>
      </c>
      <c r="O39" s="1">
        <v>44225</v>
      </c>
      <c r="P39" t="s">
        <v>56</v>
      </c>
      <c r="Q39" t="s">
        <v>24</v>
      </c>
      <c r="R39" s="12">
        <v>44</v>
      </c>
    </row>
    <row r="40" spans="1:23" x14ac:dyDescent="0.25">
      <c r="A40" s="11">
        <v>44531</v>
      </c>
      <c r="B40" t="s">
        <v>47</v>
      </c>
      <c r="C40" s="12">
        <f>(E$2*E40)+(E$4*E40)-I40</f>
        <v>1983.7999999999997</v>
      </c>
      <c r="D40" s="12">
        <f>(G$2*F40)+(G$4*F40)-J40</f>
        <v>1750.0500000000002</v>
      </c>
      <c r="E40">
        <f>15-'2021_novdic'!J33+G40</f>
        <v>14</v>
      </c>
      <c r="F40" s="33">
        <f>15-'2021_novdic'!K33+H40</f>
        <v>15</v>
      </c>
      <c r="J40" s="12">
        <f>R103+R104+R105</f>
        <v>750</v>
      </c>
      <c r="K40" s="13">
        <f>(E$2+E$4)*(E40)</f>
        <v>1983.7999999999997</v>
      </c>
      <c r="L40" s="13">
        <f t="shared" si="20"/>
        <v>2500.0499999999997</v>
      </c>
      <c r="O40" s="1">
        <v>44226</v>
      </c>
      <c r="P40" t="s">
        <v>43</v>
      </c>
      <c r="Q40" t="s">
        <v>24</v>
      </c>
      <c r="R40" s="12">
        <v>100</v>
      </c>
    </row>
    <row r="41" spans="1:23" x14ac:dyDescent="0.25">
      <c r="A41" s="11">
        <v>44531</v>
      </c>
      <c r="B41" t="s">
        <v>45</v>
      </c>
      <c r="C41" s="12">
        <f>(H$2*E41)+(H$4*E41)-I41+H$5</f>
        <v>1333.3333333333335</v>
      </c>
      <c r="D41" s="12">
        <f>(G$2*F41)+(G$4*F41)-J41+G$5+500</f>
        <v>2700.05</v>
      </c>
      <c r="E41">
        <f>15-'2021_novdic'!J50+G41</f>
        <v>10</v>
      </c>
      <c r="F41">
        <f>15-'2021_novdic'!K50+H41</f>
        <v>15</v>
      </c>
      <c r="J41" s="12">
        <f>R106+R107</f>
        <v>800</v>
      </c>
      <c r="K41" s="13">
        <f>(H$2+H$4)*(E41)</f>
        <v>1333.3333333333335</v>
      </c>
      <c r="L41" s="13">
        <f t="shared" si="20"/>
        <v>2500.0499999999997</v>
      </c>
      <c r="O41" s="1">
        <v>44227</v>
      </c>
      <c r="P41" t="s">
        <v>43</v>
      </c>
      <c r="Q41" t="s">
        <v>24</v>
      </c>
      <c r="R41" s="12">
        <v>1000</v>
      </c>
    </row>
    <row r="42" spans="1:23" x14ac:dyDescent="0.25">
      <c r="A42" s="11">
        <v>44562</v>
      </c>
      <c r="B42" t="s">
        <v>47</v>
      </c>
      <c r="C42" s="12">
        <f>(H$2*E42)+(H$4*E42)-I42</f>
        <v>1866.6666666666667</v>
      </c>
      <c r="D42" s="12">
        <f>(G$2*F42)+(G$4*F42)-J42</f>
        <v>2100.0500000000002</v>
      </c>
      <c r="E42">
        <f>15-'2022_enefeb'!J6+G42</f>
        <v>14</v>
      </c>
      <c r="F42" s="33">
        <f>15-'2022_enefeb'!K6+H42</f>
        <v>15</v>
      </c>
      <c r="J42" s="12">
        <f>R108+R109</f>
        <v>400</v>
      </c>
      <c r="K42" s="13">
        <f>(H$2+H$4)*(E42)</f>
        <v>1866.6666666666667</v>
      </c>
      <c r="L42" s="13">
        <f t="shared" si="20"/>
        <v>2500.0499999999997</v>
      </c>
      <c r="O42" s="1">
        <v>44233</v>
      </c>
      <c r="P42" t="s">
        <v>43</v>
      </c>
      <c r="Q42" t="s">
        <v>23</v>
      </c>
      <c r="R42" s="12">
        <v>300</v>
      </c>
    </row>
    <row r="43" spans="1:23" x14ac:dyDescent="0.25">
      <c r="A43" s="11">
        <v>44562</v>
      </c>
      <c r="B43" t="s">
        <v>45</v>
      </c>
      <c r="C43" s="12">
        <f>(H$2*E43)+(H$4*E43)-I43+H$5</f>
        <v>1816.6666666666667</v>
      </c>
      <c r="D43" s="12">
        <f>(G$2*F43)+(G$4*F43)-J43+G$5+500</f>
        <v>2950.05</v>
      </c>
      <c r="E43">
        <f>15-'2022_enefeb'!J22+G43</f>
        <v>14</v>
      </c>
      <c r="F43">
        <f>15-'2022_enefeb'!K22+H43</f>
        <v>15</v>
      </c>
      <c r="I43" s="12">
        <f>R113</f>
        <v>50</v>
      </c>
      <c r="J43" s="12">
        <f>R110+R111+R112</f>
        <v>550</v>
      </c>
      <c r="K43" s="13">
        <f>(H$2+H$4)*(E43)</f>
        <v>1866.6666666666667</v>
      </c>
      <c r="L43" s="13">
        <f t="shared" ref="L43" si="21">(G$2+G$4)*(F43)</f>
        <v>2500.0499999999997</v>
      </c>
      <c r="O43" s="1">
        <v>44233</v>
      </c>
      <c r="P43" t="s">
        <v>57</v>
      </c>
      <c r="Q43" t="s">
        <v>24</v>
      </c>
      <c r="R43" s="12">
        <v>110</v>
      </c>
    </row>
    <row r="44" spans="1:23" x14ac:dyDescent="0.25">
      <c r="O44" s="1">
        <v>44233</v>
      </c>
      <c r="P44" t="s">
        <v>58</v>
      </c>
      <c r="Q44" t="s">
        <v>23</v>
      </c>
      <c r="R44" s="12">
        <v>129</v>
      </c>
    </row>
    <row r="45" spans="1:23" x14ac:dyDescent="0.25">
      <c r="O45" s="1">
        <v>44233</v>
      </c>
      <c r="P45" t="s">
        <v>43</v>
      </c>
      <c r="Q45" t="s">
        <v>24</v>
      </c>
      <c r="R45" s="12">
        <v>50</v>
      </c>
    </row>
    <row r="46" spans="1:23" x14ac:dyDescent="0.25">
      <c r="O46" s="1">
        <v>44238</v>
      </c>
      <c r="P46" t="s">
        <v>43</v>
      </c>
      <c r="Q46" t="s">
        <v>24</v>
      </c>
      <c r="R46" s="12">
        <v>50</v>
      </c>
    </row>
    <row r="47" spans="1:23" x14ac:dyDescent="0.25">
      <c r="O47" s="1">
        <v>44243</v>
      </c>
      <c r="P47" t="s">
        <v>59</v>
      </c>
      <c r="Q47" t="s">
        <v>24</v>
      </c>
      <c r="R47" s="12">
        <v>160</v>
      </c>
    </row>
    <row r="48" spans="1:23" x14ac:dyDescent="0.25">
      <c r="O48" s="1">
        <v>44245</v>
      </c>
      <c r="P48" t="s">
        <v>51</v>
      </c>
      <c r="Q48" t="s">
        <v>24</v>
      </c>
      <c r="R48" s="12">
        <v>65</v>
      </c>
    </row>
    <row r="49" spans="15:18" x14ac:dyDescent="0.25">
      <c r="O49" s="1">
        <v>44248</v>
      </c>
      <c r="P49" t="s">
        <v>60</v>
      </c>
      <c r="Q49" t="s">
        <v>24</v>
      </c>
      <c r="R49" s="12">
        <v>70</v>
      </c>
    </row>
    <row r="50" spans="15:18" x14ac:dyDescent="0.25">
      <c r="O50" s="1">
        <v>44248</v>
      </c>
      <c r="P50" t="s">
        <v>60</v>
      </c>
      <c r="Q50" t="s">
        <v>23</v>
      </c>
      <c r="R50" s="12">
        <v>70</v>
      </c>
    </row>
    <row r="51" spans="15:18" x14ac:dyDescent="0.25">
      <c r="O51" s="1">
        <v>44251</v>
      </c>
      <c r="P51" t="s">
        <v>43</v>
      </c>
      <c r="Q51" t="s">
        <v>23</v>
      </c>
      <c r="R51" s="12">
        <v>100</v>
      </c>
    </row>
    <row r="52" spans="15:18" x14ac:dyDescent="0.25">
      <c r="O52" s="1">
        <v>44262</v>
      </c>
      <c r="P52" t="s">
        <v>43</v>
      </c>
      <c r="Q52" t="s">
        <v>23</v>
      </c>
      <c r="R52" s="12">
        <v>200</v>
      </c>
    </row>
    <row r="53" spans="15:18" x14ac:dyDescent="0.25">
      <c r="O53" s="1">
        <v>44268</v>
      </c>
      <c r="P53" t="s">
        <v>60</v>
      </c>
      <c r="Q53" t="s">
        <v>24</v>
      </c>
      <c r="R53" s="12">
        <v>70</v>
      </c>
    </row>
    <row r="54" spans="15:18" x14ac:dyDescent="0.25">
      <c r="O54" s="1">
        <v>44272</v>
      </c>
      <c r="P54" t="s">
        <v>61</v>
      </c>
      <c r="Q54" t="s">
        <v>23</v>
      </c>
      <c r="R54" s="12">
        <v>280</v>
      </c>
    </row>
    <row r="55" spans="15:18" x14ac:dyDescent="0.25">
      <c r="O55" s="1">
        <v>44276</v>
      </c>
      <c r="P55" t="s">
        <v>60</v>
      </c>
      <c r="Q55" t="s">
        <v>24</v>
      </c>
      <c r="R55" s="12">
        <v>129</v>
      </c>
    </row>
    <row r="56" spans="15:18" x14ac:dyDescent="0.25">
      <c r="O56" s="1">
        <v>44280</v>
      </c>
      <c r="P56" t="s">
        <v>43</v>
      </c>
      <c r="Q56" t="s">
        <v>24</v>
      </c>
      <c r="R56" s="12">
        <v>50</v>
      </c>
    </row>
    <row r="57" spans="15:18" x14ac:dyDescent="0.25">
      <c r="O57" s="1">
        <v>44284</v>
      </c>
      <c r="P57" t="s">
        <v>62</v>
      </c>
      <c r="Q57" t="s">
        <v>24</v>
      </c>
      <c r="R57" s="12">
        <v>35</v>
      </c>
    </row>
    <row r="58" spans="15:18" x14ac:dyDescent="0.25">
      <c r="O58" s="1">
        <v>44284</v>
      </c>
      <c r="P58" t="s">
        <v>62</v>
      </c>
      <c r="Q58" t="s">
        <v>23</v>
      </c>
      <c r="R58" s="12">
        <v>35</v>
      </c>
    </row>
    <row r="59" spans="15:18" x14ac:dyDescent="0.25">
      <c r="O59" s="1">
        <v>44286</v>
      </c>
      <c r="P59" t="s">
        <v>63</v>
      </c>
      <c r="Q59" t="s">
        <v>24</v>
      </c>
      <c r="R59" s="12">
        <v>15</v>
      </c>
    </row>
    <row r="60" spans="15:18" x14ac:dyDescent="0.25">
      <c r="O60" s="1">
        <v>44288</v>
      </c>
      <c r="P60" t="s">
        <v>43</v>
      </c>
      <c r="Q60" t="s">
        <v>23</v>
      </c>
      <c r="R60" s="12">
        <v>300</v>
      </c>
    </row>
    <row r="61" spans="15:18" x14ac:dyDescent="0.25">
      <c r="O61" s="1">
        <v>44289</v>
      </c>
      <c r="P61" t="s">
        <v>43</v>
      </c>
      <c r="Q61" t="s">
        <v>24</v>
      </c>
      <c r="R61" s="12">
        <v>500</v>
      </c>
    </row>
    <row r="62" spans="15:18" x14ac:dyDescent="0.25">
      <c r="O62" s="1">
        <v>44302</v>
      </c>
      <c r="P62" t="s">
        <v>43</v>
      </c>
      <c r="Q62" t="s">
        <v>24</v>
      </c>
      <c r="R62" s="12">
        <v>30</v>
      </c>
    </row>
    <row r="63" spans="15:18" x14ac:dyDescent="0.25">
      <c r="O63" s="1">
        <v>44304</v>
      </c>
      <c r="P63" t="s">
        <v>43</v>
      </c>
      <c r="Q63" t="s">
        <v>24</v>
      </c>
      <c r="R63" s="12">
        <v>50</v>
      </c>
    </row>
    <row r="64" spans="15:18" x14ac:dyDescent="0.25">
      <c r="O64" s="1">
        <v>44305</v>
      </c>
      <c r="P64" t="s">
        <v>43</v>
      </c>
      <c r="Q64" t="s">
        <v>24</v>
      </c>
      <c r="R64" s="12">
        <v>420</v>
      </c>
    </row>
    <row r="65" spans="15:18" x14ac:dyDescent="0.25">
      <c r="O65" s="1">
        <v>44308</v>
      </c>
      <c r="P65" t="s">
        <v>43</v>
      </c>
      <c r="Q65" t="s">
        <v>24</v>
      </c>
      <c r="R65" s="12">
        <v>50</v>
      </c>
    </row>
    <row r="66" spans="15:18" x14ac:dyDescent="0.25">
      <c r="O66" s="1">
        <v>44310</v>
      </c>
      <c r="P66" t="s">
        <v>43</v>
      </c>
      <c r="Q66" t="s">
        <v>24</v>
      </c>
      <c r="R66" s="12">
        <v>450</v>
      </c>
    </row>
    <row r="67" spans="15:18" x14ac:dyDescent="0.25">
      <c r="O67" s="1">
        <v>44311</v>
      </c>
      <c r="P67" t="s">
        <v>43</v>
      </c>
      <c r="Q67" t="s">
        <v>23</v>
      </c>
      <c r="R67" s="12">
        <v>200</v>
      </c>
    </row>
    <row r="68" spans="15:18" x14ac:dyDescent="0.25">
      <c r="O68" s="1">
        <v>44312</v>
      </c>
      <c r="P68" t="s">
        <v>60</v>
      </c>
      <c r="Q68" t="s">
        <v>24</v>
      </c>
      <c r="R68" s="12">
        <v>35</v>
      </c>
    </row>
    <row r="69" spans="15:18" x14ac:dyDescent="0.25">
      <c r="O69" s="1">
        <v>44312</v>
      </c>
      <c r="P69" t="s">
        <v>60</v>
      </c>
      <c r="Q69" t="s">
        <v>23</v>
      </c>
      <c r="R69" s="12">
        <v>35</v>
      </c>
    </row>
    <row r="70" spans="15:18" x14ac:dyDescent="0.25">
      <c r="O70" s="1">
        <v>44314</v>
      </c>
      <c r="P70" t="s">
        <v>43</v>
      </c>
      <c r="Q70" t="s">
        <v>24</v>
      </c>
      <c r="R70" s="12">
        <v>200</v>
      </c>
    </row>
    <row r="71" spans="15:18" x14ac:dyDescent="0.25">
      <c r="O71" s="1">
        <v>44314</v>
      </c>
      <c r="P71" t="s">
        <v>64</v>
      </c>
      <c r="Q71" t="s">
        <v>24</v>
      </c>
      <c r="R71" s="12">
        <f>49+33</f>
        <v>82</v>
      </c>
    </row>
    <row r="72" spans="15:18" x14ac:dyDescent="0.25">
      <c r="O72" s="1">
        <v>44316</v>
      </c>
      <c r="P72" t="s">
        <v>43</v>
      </c>
      <c r="Q72" t="s">
        <v>24</v>
      </c>
      <c r="R72" s="12">
        <v>5</v>
      </c>
    </row>
    <row r="73" spans="15:18" x14ac:dyDescent="0.25">
      <c r="O73" s="1">
        <v>44317</v>
      </c>
      <c r="P73" t="s">
        <v>60</v>
      </c>
      <c r="Q73" t="s">
        <v>24</v>
      </c>
      <c r="R73" s="12">
        <v>70</v>
      </c>
    </row>
    <row r="74" spans="15:18" x14ac:dyDescent="0.25">
      <c r="O74" s="1">
        <v>44317</v>
      </c>
      <c r="P74" t="s">
        <v>60</v>
      </c>
      <c r="Q74" t="s">
        <v>23</v>
      </c>
      <c r="R74" s="12">
        <v>70</v>
      </c>
    </row>
    <row r="75" spans="15:18" x14ac:dyDescent="0.25">
      <c r="O75" s="1">
        <v>44318</v>
      </c>
      <c r="P75" t="s">
        <v>43</v>
      </c>
      <c r="Q75" t="s">
        <v>24</v>
      </c>
      <c r="R75" s="12">
        <v>200</v>
      </c>
    </row>
    <row r="76" spans="15:18" x14ac:dyDescent="0.25">
      <c r="O76" s="1">
        <v>44318</v>
      </c>
      <c r="P76" t="s">
        <v>56</v>
      </c>
      <c r="Q76" t="s">
        <v>24</v>
      </c>
      <c r="R76" s="12">
        <v>172</v>
      </c>
    </row>
    <row r="77" spans="15:18" x14ac:dyDescent="0.25">
      <c r="O77" s="1">
        <v>44318</v>
      </c>
      <c r="P77" t="s">
        <v>65</v>
      </c>
      <c r="Q77" t="s">
        <v>23</v>
      </c>
      <c r="R77" s="12">
        <v>15</v>
      </c>
    </row>
    <row r="78" spans="15:18" x14ac:dyDescent="0.25">
      <c r="O78" s="1">
        <v>44322</v>
      </c>
      <c r="P78" t="s">
        <v>66</v>
      </c>
      <c r="Q78" t="s">
        <v>24</v>
      </c>
      <c r="R78" s="12">
        <v>177</v>
      </c>
    </row>
    <row r="79" spans="15:18" x14ac:dyDescent="0.25">
      <c r="O79" s="1">
        <v>44330</v>
      </c>
      <c r="P79" t="s">
        <v>43</v>
      </c>
      <c r="Q79" t="s">
        <v>24</v>
      </c>
      <c r="R79" s="12">
        <v>200</v>
      </c>
    </row>
    <row r="80" spans="15:18" x14ac:dyDescent="0.25">
      <c r="O80" s="1">
        <v>44350</v>
      </c>
      <c r="P80" t="s">
        <v>67</v>
      </c>
      <c r="Q80" t="s">
        <v>24</v>
      </c>
      <c r="R80" s="12">
        <v>109</v>
      </c>
    </row>
    <row r="81" spans="15:18" x14ac:dyDescent="0.25">
      <c r="O81" s="1">
        <v>44360</v>
      </c>
      <c r="P81" t="s">
        <v>43</v>
      </c>
      <c r="Q81" t="s">
        <v>24</v>
      </c>
      <c r="R81" s="12">
        <v>200</v>
      </c>
    </row>
    <row r="82" spans="15:18" x14ac:dyDescent="0.25">
      <c r="O82" s="1">
        <v>44374</v>
      </c>
      <c r="P82" t="s">
        <v>43</v>
      </c>
      <c r="Q82" t="s">
        <v>24</v>
      </c>
      <c r="R82" s="12">
        <v>400</v>
      </c>
    </row>
    <row r="83" spans="15:18" x14ac:dyDescent="0.25">
      <c r="O83" s="1">
        <v>44389</v>
      </c>
      <c r="P83" t="s">
        <v>68</v>
      </c>
      <c r="Q83" t="s">
        <v>25</v>
      </c>
      <c r="R83" s="12">
        <v>500</v>
      </c>
    </row>
    <row r="84" spans="15:18" x14ac:dyDescent="0.25">
      <c r="O84" s="1">
        <v>44401</v>
      </c>
      <c r="P84" t="s">
        <v>43</v>
      </c>
      <c r="Q84" t="s">
        <v>25</v>
      </c>
      <c r="R84" s="12">
        <v>150</v>
      </c>
    </row>
    <row r="85" spans="15:18" x14ac:dyDescent="0.25">
      <c r="O85" s="1">
        <v>44403</v>
      </c>
      <c r="P85" t="s">
        <v>68</v>
      </c>
      <c r="Q85" t="s">
        <v>25</v>
      </c>
      <c r="R85" s="12">
        <v>500</v>
      </c>
    </row>
    <row r="86" spans="15:18" x14ac:dyDescent="0.25">
      <c r="O86" s="1">
        <v>44418</v>
      </c>
      <c r="P86" t="s">
        <v>68</v>
      </c>
      <c r="Q86" t="s">
        <v>25</v>
      </c>
      <c r="R86" s="12">
        <v>400</v>
      </c>
    </row>
    <row r="87" spans="15:18" x14ac:dyDescent="0.25">
      <c r="O87" s="1">
        <v>44445</v>
      </c>
      <c r="P87" t="s">
        <v>68</v>
      </c>
      <c r="Q87" t="s">
        <v>25</v>
      </c>
      <c r="R87" s="12">
        <v>600</v>
      </c>
    </row>
    <row r="88" spans="15:18" x14ac:dyDescent="0.25">
      <c r="O88" s="1">
        <v>44460</v>
      </c>
      <c r="P88" t="s">
        <v>68</v>
      </c>
      <c r="Q88" t="s">
        <v>25</v>
      </c>
      <c r="R88" s="12">
        <v>200</v>
      </c>
    </row>
    <row r="89" spans="15:18" x14ac:dyDescent="0.25">
      <c r="O89" s="1">
        <v>44463</v>
      </c>
      <c r="P89" t="s">
        <v>69</v>
      </c>
      <c r="Q89" t="s">
        <v>25</v>
      </c>
      <c r="R89" s="12">
        <v>60</v>
      </c>
    </row>
    <row r="90" spans="15:18" x14ac:dyDescent="0.25">
      <c r="O90" s="1">
        <v>44463</v>
      </c>
      <c r="P90" t="s">
        <v>69</v>
      </c>
      <c r="Q90" t="s">
        <v>70</v>
      </c>
      <c r="R90" s="12">
        <v>60</v>
      </c>
    </row>
    <row r="91" spans="15:18" x14ac:dyDescent="0.25">
      <c r="O91" s="1">
        <v>44467</v>
      </c>
      <c r="P91" t="s">
        <v>43</v>
      </c>
      <c r="Q91" t="s">
        <v>25</v>
      </c>
      <c r="R91" s="12">
        <v>500</v>
      </c>
    </row>
    <row r="92" spans="15:18" x14ac:dyDescent="0.25">
      <c r="O92" s="1">
        <v>44469</v>
      </c>
      <c r="P92" t="s">
        <v>40</v>
      </c>
      <c r="Q92" t="s">
        <v>70</v>
      </c>
      <c r="R92" s="12">
        <v>500</v>
      </c>
    </row>
    <row r="93" spans="15:18" x14ac:dyDescent="0.25">
      <c r="O93" s="1">
        <v>44473</v>
      </c>
      <c r="P93" t="s">
        <v>43</v>
      </c>
      <c r="Q93" t="s">
        <v>25</v>
      </c>
      <c r="R93" s="12">
        <v>600</v>
      </c>
    </row>
    <row r="94" spans="15:18" x14ac:dyDescent="0.25">
      <c r="O94" s="1">
        <v>44494</v>
      </c>
      <c r="P94" t="s">
        <v>43</v>
      </c>
      <c r="Q94" t="s">
        <v>25</v>
      </c>
      <c r="R94" s="12">
        <v>100</v>
      </c>
    </row>
    <row r="95" spans="15:18" x14ac:dyDescent="0.25">
      <c r="O95" s="1">
        <v>44495</v>
      </c>
      <c r="P95" t="s">
        <v>43</v>
      </c>
      <c r="Q95" t="s">
        <v>25</v>
      </c>
      <c r="R95" s="12">
        <v>100</v>
      </c>
    </row>
    <row r="96" spans="15:18" x14ac:dyDescent="0.25">
      <c r="O96" s="1">
        <v>44508</v>
      </c>
      <c r="P96" t="s">
        <v>43</v>
      </c>
      <c r="Q96" t="s">
        <v>25</v>
      </c>
      <c r="R96" s="12">
        <v>300</v>
      </c>
    </row>
    <row r="97" spans="15:18" x14ac:dyDescent="0.25">
      <c r="O97" s="1">
        <v>44509</v>
      </c>
      <c r="P97" t="s">
        <v>43</v>
      </c>
      <c r="Q97" t="s">
        <v>25</v>
      </c>
      <c r="R97" s="12">
        <v>100</v>
      </c>
    </row>
    <row r="98" spans="15:18" x14ac:dyDescent="0.25">
      <c r="O98" s="1">
        <v>44517</v>
      </c>
      <c r="P98" t="s">
        <v>43</v>
      </c>
      <c r="Q98" t="s">
        <v>25</v>
      </c>
      <c r="R98" s="12">
        <v>250</v>
      </c>
    </row>
    <row r="99" spans="15:18" x14ac:dyDescent="0.25">
      <c r="O99" s="1">
        <v>44518</v>
      </c>
      <c r="P99" t="s">
        <v>43</v>
      </c>
      <c r="Q99" t="s">
        <v>25</v>
      </c>
      <c r="R99" s="12">
        <v>100</v>
      </c>
    </row>
    <row r="100" spans="15:18" x14ac:dyDescent="0.25">
      <c r="O100" s="1">
        <v>44523</v>
      </c>
      <c r="P100" t="s">
        <v>43</v>
      </c>
      <c r="Q100" t="s">
        <v>25</v>
      </c>
      <c r="R100" s="12">
        <v>500</v>
      </c>
    </row>
    <row r="101" spans="15:18" x14ac:dyDescent="0.25">
      <c r="O101" s="1">
        <v>44524</v>
      </c>
      <c r="P101" t="s">
        <v>43</v>
      </c>
      <c r="Q101" t="s">
        <v>25</v>
      </c>
      <c r="R101" s="12">
        <v>100</v>
      </c>
    </row>
    <row r="102" spans="15:18" x14ac:dyDescent="0.25">
      <c r="O102" s="1">
        <v>44529</v>
      </c>
      <c r="P102" t="s">
        <v>43</v>
      </c>
      <c r="Q102" t="s">
        <v>25</v>
      </c>
      <c r="R102" s="12">
        <v>1000</v>
      </c>
    </row>
    <row r="103" spans="15:18" x14ac:dyDescent="0.25">
      <c r="O103" s="1">
        <v>44531</v>
      </c>
      <c r="P103" t="s">
        <v>43</v>
      </c>
      <c r="Q103" t="s">
        <v>25</v>
      </c>
      <c r="R103" s="12">
        <v>300</v>
      </c>
    </row>
    <row r="104" spans="15:18" x14ac:dyDescent="0.25">
      <c r="O104" s="1">
        <v>44532</v>
      </c>
      <c r="P104" t="s">
        <v>43</v>
      </c>
      <c r="Q104" t="s">
        <v>25</v>
      </c>
      <c r="R104" s="12">
        <v>200</v>
      </c>
    </row>
    <row r="105" spans="15:18" x14ac:dyDescent="0.25">
      <c r="O105" s="1">
        <v>44537</v>
      </c>
      <c r="P105" t="s">
        <v>43</v>
      </c>
      <c r="Q105" t="s">
        <v>25</v>
      </c>
      <c r="R105" s="12">
        <v>250</v>
      </c>
    </row>
    <row r="106" spans="15:18" x14ac:dyDescent="0.25">
      <c r="O106" s="1">
        <v>44545</v>
      </c>
      <c r="P106" t="s">
        <v>68</v>
      </c>
      <c r="Q106" t="s">
        <v>25</v>
      </c>
      <c r="R106" s="12">
        <v>500</v>
      </c>
    </row>
    <row r="107" spans="15:18" x14ac:dyDescent="0.25">
      <c r="O107" s="1">
        <v>44554</v>
      </c>
      <c r="P107" t="s">
        <v>43</v>
      </c>
      <c r="Q107" t="s">
        <v>25</v>
      </c>
      <c r="R107" s="12">
        <v>300</v>
      </c>
    </row>
    <row r="108" spans="15:18" x14ac:dyDescent="0.25">
      <c r="O108" s="1">
        <v>44566</v>
      </c>
      <c r="P108" t="s">
        <v>43</v>
      </c>
      <c r="Q108" t="s">
        <v>25</v>
      </c>
      <c r="R108" s="12">
        <v>200</v>
      </c>
    </row>
    <row r="109" spans="15:18" x14ac:dyDescent="0.25">
      <c r="O109" s="1">
        <v>44570</v>
      </c>
      <c r="P109" t="s">
        <v>43</v>
      </c>
      <c r="Q109" t="s">
        <v>25</v>
      </c>
      <c r="R109" s="12">
        <v>200</v>
      </c>
    </row>
    <row r="110" spans="15:18" x14ac:dyDescent="0.25">
      <c r="O110" s="1">
        <v>44584</v>
      </c>
      <c r="P110" t="s">
        <v>43</v>
      </c>
      <c r="Q110" t="s">
        <v>25</v>
      </c>
      <c r="R110" s="12">
        <v>300</v>
      </c>
    </row>
    <row r="111" spans="15:18" x14ac:dyDescent="0.25">
      <c r="O111" s="1">
        <v>44585</v>
      </c>
      <c r="P111" t="s">
        <v>43</v>
      </c>
      <c r="Q111" t="s">
        <v>25</v>
      </c>
      <c r="R111" s="12">
        <v>200</v>
      </c>
    </row>
    <row r="112" spans="15:18" x14ac:dyDescent="0.25">
      <c r="O112" s="1">
        <v>44586</v>
      </c>
      <c r="P112" t="s">
        <v>43</v>
      </c>
      <c r="Q112" t="s">
        <v>25</v>
      </c>
      <c r="R112" s="12">
        <v>50</v>
      </c>
    </row>
    <row r="113" spans="15:18" x14ac:dyDescent="0.25">
      <c r="O113" s="1">
        <v>44586</v>
      </c>
      <c r="P113" t="s">
        <v>43</v>
      </c>
      <c r="Q113" t="s">
        <v>142</v>
      </c>
      <c r="R113" s="12">
        <v>50</v>
      </c>
    </row>
  </sheetData>
  <mergeCells count="10">
    <mergeCell ref="C1:D1"/>
    <mergeCell ref="E1:F1"/>
    <mergeCell ref="E6:F6"/>
    <mergeCell ref="G6:H6"/>
    <mergeCell ref="I6:J6"/>
    <mergeCell ref="K6:L6"/>
    <mergeCell ref="E13:F13"/>
    <mergeCell ref="G13:H13"/>
    <mergeCell ref="I13:J13"/>
    <mergeCell ref="K13:L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F13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24.7109375" bestFit="1" customWidth="1"/>
    <col min="2" max="2" width="22.140625" customWidth="1"/>
    <col min="3" max="3" width="15.85546875" customWidth="1"/>
    <col min="4" max="4" width="18.140625" customWidth="1"/>
  </cols>
  <sheetData>
    <row r="2" spans="1:6" ht="15.75" thickBot="1" x14ac:dyDescent="0.3"/>
    <row r="3" spans="1:6" ht="16.5" thickBot="1" x14ac:dyDescent="0.3">
      <c r="B3" s="17" t="s">
        <v>32</v>
      </c>
      <c r="C3" s="17" t="s">
        <v>23</v>
      </c>
      <c r="D3" t="s">
        <v>24</v>
      </c>
      <c r="E3" t="s">
        <v>25</v>
      </c>
      <c r="F3" t="s">
        <v>70</v>
      </c>
    </row>
    <row r="4" spans="1:6" x14ac:dyDescent="0.25">
      <c r="A4" t="s">
        <v>71</v>
      </c>
      <c r="B4" s="14">
        <v>44037</v>
      </c>
      <c r="C4" s="14">
        <v>44159</v>
      </c>
      <c r="D4" s="14">
        <v>44037</v>
      </c>
      <c r="E4" s="1">
        <v>44383</v>
      </c>
      <c r="F4" s="1">
        <v>44390</v>
      </c>
    </row>
    <row r="5" spans="1:6" x14ac:dyDescent="0.25">
      <c r="A5" t="s">
        <v>72</v>
      </c>
      <c r="B5" s="14">
        <v>44151</v>
      </c>
      <c r="C5" s="14">
        <v>44322</v>
      </c>
      <c r="D5" s="14">
        <v>44377</v>
      </c>
      <c r="E5" s="1">
        <v>44561</v>
      </c>
      <c r="F5" s="1">
        <v>44545</v>
      </c>
    </row>
    <row r="6" spans="1:6" s="19" customFormat="1" ht="30" x14ac:dyDescent="0.25">
      <c r="A6" s="19" t="s">
        <v>73</v>
      </c>
      <c r="B6" s="18" t="s">
        <v>74</v>
      </c>
      <c r="C6" s="19" t="s">
        <v>75</v>
      </c>
      <c r="D6" s="19" t="s">
        <v>76</v>
      </c>
      <c r="F6" s="19" t="s">
        <v>77</v>
      </c>
    </row>
    <row r="7" spans="1:6" x14ac:dyDescent="0.25">
      <c r="A7" t="s">
        <v>78</v>
      </c>
      <c r="B7" s="12">
        <v>5000</v>
      </c>
      <c r="C7" s="12">
        <f>141.7*30</f>
        <v>4251</v>
      </c>
      <c r="D7">
        <f>181.7*30</f>
        <v>5451</v>
      </c>
      <c r="E7">
        <v>5000</v>
      </c>
      <c r="F7">
        <f>141.7*30</f>
        <v>4251</v>
      </c>
    </row>
    <row r="8" spans="1:6" x14ac:dyDescent="0.25">
      <c r="A8" t="s">
        <v>79</v>
      </c>
      <c r="B8">
        <f>_xlfn.DAYS(B5,B4)</f>
        <v>114</v>
      </c>
      <c r="C8">
        <f>_xlfn.DAYS(C5,C4)</f>
        <v>163</v>
      </c>
      <c r="D8">
        <f>_xlfn.DAYS(D5,D4)</f>
        <v>340</v>
      </c>
      <c r="E8">
        <f t="shared" ref="E8:F8" si="0">_xlfn.DAYS(E5,E4)</f>
        <v>178</v>
      </c>
      <c r="F8">
        <f t="shared" si="0"/>
        <v>155</v>
      </c>
    </row>
    <row r="9" spans="1:6" x14ac:dyDescent="0.25">
      <c r="A9" t="s">
        <v>9</v>
      </c>
      <c r="B9">
        <v>5</v>
      </c>
      <c r="C9">
        <v>35</v>
      </c>
    </row>
    <row r="10" spans="1:6" x14ac:dyDescent="0.25">
      <c r="A10" t="s">
        <v>80</v>
      </c>
      <c r="B10">
        <f>B8-B9</f>
        <v>109</v>
      </c>
      <c r="C10">
        <f>C8-C9</f>
        <v>128</v>
      </c>
      <c r="E10">
        <f>E8-E9</f>
        <v>178</v>
      </c>
      <c r="F10">
        <f>F8-F9</f>
        <v>155</v>
      </c>
    </row>
    <row r="11" spans="1:6" x14ac:dyDescent="0.25">
      <c r="A11" t="s">
        <v>81</v>
      </c>
      <c r="B11" s="13">
        <f>((B7/2)*B10)/365</f>
        <v>746.57534246575347</v>
      </c>
      <c r="C11" s="13">
        <f>((C7/2)*C10)/365</f>
        <v>745.38082191780825</v>
      </c>
      <c r="D11" s="13">
        <f>((D7/2)*D10)/365</f>
        <v>0</v>
      </c>
    </row>
    <row r="12" spans="1:6" x14ac:dyDescent="0.25">
      <c r="A12" t="s">
        <v>82</v>
      </c>
      <c r="B12" s="13">
        <f>((B7/2)*B10)/365</f>
        <v>746.57534246575347</v>
      </c>
      <c r="C12" s="13">
        <f>((C7/2)*C10)/365</f>
        <v>745.38082191780825</v>
      </c>
      <c r="D12" s="13">
        <f>((D7/2)*D10)/365</f>
        <v>0</v>
      </c>
      <c r="E12" s="13">
        <f>((E7/2)*E10)/365</f>
        <v>1219.1780821917807</v>
      </c>
      <c r="F12" s="13">
        <f t="shared" ref="F12" si="1">((F7/2)*F10)/365</f>
        <v>902.60958904109589</v>
      </c>
    </row>
    <row r="13" spans="1:6" x14ac:dyDescent="0.25">
      <c r="A13" t="s">
        <v>30</v>
      </c>
      <c r="B13" s="16">
        <f>SUM(B11:B12)</f>
        <v>1493.1506849315069</v>
      </c>
      <c r="C13" s="16">
        <f>SUM(C11:C12)</f>
        <v>1490.7616438356165</v>
      </c>
      <c r="D13" s="16">
        <f>SUM(D11:D12)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G4"/>
  <sheetViews>
    <sheetView workbookViewId="0">
      <selection activeCell="G3" sqref="G3"/>
    </sheetView>
  </sheetViews>
  <sheetFormatPr baseColWidth="10" defaultColWidth="11.42578125" defaultRowHeight="15" x14ac:dyDescent="0.25"/>
  <sheetData>
    <row r="2" spans="1:7" s="20" customFormat="1" x14ac:dyDescent="0.25">
      <c r="B2" s="20" t="s">
        <v>24</v>
      </c>
      <c r="C2" s="20" t="s">
        <v>32</v>
      </c>
      <c r="D2" s="20" t="s">
        <v>23</v>
      </c>
      <c r="E2" s="20" t="s">
        <v>83</v>
      </c>
      <c r="F2" s="20" t="s">
        <v>25</v>
      </c>
      <c r="G2" s="20" t="s">
        <v>142</v>
      </c>
    </row>
    <row r="3" spans="1:7" x14ac:dyDescent="0.25">
      <c r="A3" t="s">
        <v>84</v>
      </c>
      <c r="B3" s="14">
        <v>44034</v>
      </c>
      <c r="C3" s="14">
        <v>44037</v>
      </c>
      <c r="D3" s="14">
        <v>44159</v>
      </c>
      <c r="E3" s="1">
        <v>44390</v>
      </c>
      <c r="F3" s="1">
        <v>44383</v>
      </c>
      <c r="G3" s="1">
        <v>44551</v>
      </c>
    </row>
    <row r="4" spans="1:7" x14ac:dyDescent="0.25">
      <c r="A4" t="s">
        <v>85</v>
      </c>
      <c r="C4" s="14">
        <v>44150</v>
      </c>
      <c r="D4" s="14">
        <v>44322</v>
      </c>
      <c r="E4" s="1">
        <v>44419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O37"/>
  <sheetViews>
    <sheetView workbookViewId="0">
      <selection activeCell="E1" sqref="E1"/>
    </sheetView>
  </sheetViews>
  <sheetFormatPr baseColWidth="10" defaultColWidth="11.42578125" defaultRowHeight="15" x14ac:dyDescent="0.25"/>
  <cols>
    <col min="2" max="3" width="11.42578125" style="12"/>
    <col min="5" max="5" width="14.85546875" bestFit="1" customWidth="1"/>
    <col min="7" max="7" width="11.42578125" style="12"/>
  </cols>
  <sheetData>
    <row r="3" spans="1:12" x14ac:dyDescent="0.25">
      <c r="G3" s="12">
        <f>SUM(G6:G31)</f>
        <v>42463.5</v>
      </c>
    </row>
    <row r="4" spans="1:12" x14ac:dyDescent="0.25">
      <c r="B4" s="12">
        <f>SUM(B8:B28)</f>
        <v>6634.48</v>
      </c>
      <c r="J4" t="s">
        <v>86</v>
      </c>
      <c r="K4" t="s">
        <v>87</v>
      </c>
      <c r="L4" t="s">
        <v>88</v>
      </c>
    </row>
    <row r="5" spans="1:12" x14ac:dyDescent="0.25">
      <c r="E5" t="s">
        <v>89</v>
      </c>
      <c r="F5" t="s">
        <v>33</v>
      </c>
      <c r="G5" s="12" t="s">
        <v>90</v>
      </c>
      <c r="I5" s="1">
        <v>44242</v>
      </c>
      <c r="J5" s="13">
        <f>G7+G9</f>
        <v>7783</v>
      </c>
      <c r="K5" s="13">
        <f>D19+B4</f>
        <v>12634.48</v>
      </c>
      <c r="L5" s="13">
        <f>K5-J5</f>
        <v>4851.4799999999996</v>
      </c>
    </row>
    <row r="6" spans="1:12" x14ac:dyDescent="0.25">
      <c r="E6" t="s">
        <v>91</v>
      </c>
      <c r="F6" s="1">
        <v>44253</v>
      </c>
      <c r="G6" s="12">
        <v>16000</v>
      </c>
      <c r="I6" s="1">
        <v>44243</v>
      </c>
      <c r="J6" s="13">
        <f>G10+G12</f>
        <v>1540</v>
      </c>
      <c r="K6" s="13">
        <f>L5</f>
        <v>4851.4799999999996</v>
      </c>
      <c r="L6" s="13">
        <f>K6-J6</f>
        <v>3311.4799999999996</v>
      </c>
    </row>
    <row r="7" spans="1:12" x14ac:dyDescent="0.25">
      <c r="E7" t="s">
        <v>92</v>
      </c>
      <c r="F7" s="1">
        <v>44242</v>
      </c>
      <c r="G7" s="12">
        <v>3900</v>
      </c>
      <c r="I7" s="1">
        <v>44245</v>
      </c>
      <c r="J7" s="13">
        <f>G14</f>
        <v>1500</v>
      </c>
      <c r="K7" s="13">
        <f>L6</f>
        <v>3311.4799999999996</v>
      </c>
      <c r="L7" s="13">
        <f t="shared" ref="L7:L12" si="0">K7-J7</f>
        <v>1811.4799999999996</v>
      </c>
    </row>
    <row r="8" spans="1:12" x14ac:dyDescent="0.25">
      <c r="A8" t="s">
        <v>93</v>
      </c>
      <c r="B8" s="12">
        <v>1130</v>
      </c>
      <c r="E8" t="s">
        <v>94</v>
      </c>
      <c r="F8" s="1">
        <v>44258</v>
      </c>
      <c r="G8" s="12">
        <v>7800</v>
      </c>
      <c r="I8" s="1">
        <v>44253</v>
      </c>
      <c r="J8" s="12">
        <v>16000</v>
      </c>
      <c r="K8" s="13">
        <f>L7+D22</f>
        <v>17111.48</v>
      </c>
      <c r="L8" s="13">
        <f t="shared" si="0"/>
        <v>1111.4799999999996</v>
      </c>
    </row>
    <row r="9" spans="1:12" x14ac:dyDescent="0.25">
      <c r="A9" t="s">
        <v>95</v>
      </c>
      <c r="B9" s="12">
        <v>1781.48</v>
      </c>
      <c r="E9" t="s">
        <v>96</v>
      </c>
      <c r="F9" s="1">
        <v>44242</v>
      </c>
      <c r="G9" s="12">
        <v>3883</v>
      </c>
      <c r="I9" s="1">
        <v>44254</v>
      </c>
      <c r="J9" s="13">
        <f>G15</f>
        <v>1500</v>
      </c>
      <c r="K9" s="13">
        <f>L8</f>
        <v>1111.4799999999996</v>
      </c>
      <c r="L9" s="13">
        <f t="shared" si="0"/>
        <v>-388.52000000000044</v>
      </c>
    </row>
    <row r="10" spans="1:12" x14ac:dyDescent="0.25">
      <c r="A10" t="s">
        <v>97</v>
      </c>
      <c r="B10" s="12">
        <v>2739</v>
      </c>
      <c r="E10" t="s">
        <v>98</v>
      </c>
      <c r="F10" s="1">
        <v>44243</v>
      </c>
      <c r="G10" s="12">
        <f>8*130</f>
        <v>1040</v>
      </c>
      <c r="I10" s="1">
        <v>44255</v>
      </c>
      <c r="J10" s="13">
        <f>G13</f>
        <v>5340.5</v>
      </c>
      <c r="K10" s="13">
        <f>L9</f>
        <v>-388.52000000000044</v>
      </c>
      <c r="L10" s="13">
        <f t="shared" si="0"/>
        <v>-5729.02</v>
      </c>
    </row>
    <row r="11" spans="1:12" x14ac:dyDescent="0.25">
      <c r="A11" t="s">
        <v>99</v>
      </c>
      <c r="B11" s="12">
        <v>984</v>
      </c>
      <c r="E11" t="s">
        <v>100</v>
      </c>
      <c r="F11" s="1">
        <v>44244</v>
      </c>
      <c r="G11" s="12">
        <v>1000</v>
      </c>
      <c r="I11" s="1">
        <v>44258</v>
      </c>
      <c r="J11" s="13">
        <f>G8</f>
        <v>7800</v>
      </c>
      <c r="K11" s="13">
        <f>D33+L10</f>
        <v>2070.9799999999996</v>
      </c>
      <c r="L11" s="13">
        <f t="shared" si="0"/>
        <v>-5729.02</v>
      </c>
    </row>
    <row r="12" spans="1:12" x14ac:dyDescent="0.25">
      <c r="E12" t="s">
        <v>101</v>
      </c>
      <c r="F12" s="1">
        <v>44243</v>
      </c>
      <c r="G12" s="12">
        <v>500</v>
      </c>
      <c r="L12" s="13">
        <f t="shared" si="0"/>
        <v>0</v>
      </c>
    </row>
    <row r="13" spans="1:12" x14ac:dyDescent="0.25">
      <c r="E13" t="s">
        <v>96</v>
      </c>
      <c r="F13" s="1">
        <v>44255</v>
      </c>
      <c r="G13" s="12">
        <v>5340.5</v>
      </c>
    </row>
    <row r="14" spans="1:12" x14ac:dyDescent="0.25">
      <c r="E14" t="s">
        <v>102</v>
      </c>
      <c r="F14" s="1">
        <v>44245</v>
      </c>
      <c r="G14" s="12">
        <v>1500</v>
      </c>
    </row>
    <row r="15" spans="1:12" x14ac:dyDescent="0.25">
      <c r="E15" t="s">
        <v>102</v>
      </c>
      <c r="F15" s="1">
        <v>44254</v>
      </c>
      <c r="G15" s="12">
        <v>1500</v>
      </c>
    </row>
    <row r="17" spans="1:15" x14ac:dyDescent="0.25">
      <c r="C17" s="12">
        <f>SUM(C19:C37)</f>
        <v>29100</v>
      </c>
      <c r="E17" s="12">
        <f>SUM(E19:E37)</f>
        <v>33600</v>
      </c>
      <c r="F17" s="13">
        <f>E17-C17</f>
        <v>4500</v>
      </c>
    </row>
    <row r="18" spans="1:15" x14ac:dyDescent="0.25">
      <c r="A18" t="s">
        <v>103</v>
      </c>
      <c r="C18" s="12" t="s">
        <v>90</v>
      </c>
      <c r="E18" s="12" t="s">
        <v>104</v>
      </c>
      <c r="N18" t="s">
        <v>105</v>
      </c>
    </row>
    <row r="19" spans="1:15" x14ac:dyDescent="0.25">
      <c r="A19" s="1">
        <v>44240</v>
      </c>
      <c r="B19" s="12" t="s">
        <v>106</v>
      </c>
      <c r="C19" s="12">
        <v>2500</v>
      </c>
      <c r="D19" s="13">
        <f>C19+C20+C21</f>
        <v>6000</v>
      </c>
      <c r="E19" s="12">
        <v>3500</v>
      </c>
      <c r="F19" s="13">
        <f>E19+E20+E21</f>
        <v>7300</v>
      </c>
      <c r="L19" s="12" t="s">
        <v>107</v>
      </c>
      <c r="M19" s="12">
        <f>G3-B4</f>
        <v>35829.020000000004</v>
      </c>
      <c r="N19" t="s">
        <v>108</v>
      </c>
      <c r="O19" s="13">
        <f>M19/19</f>
        <v>1885.7378947368422</v>
      </c>
    </row>
    <row r="20" spans="1:15" x14ac:dyDescent="0.25">
      <c r="A20" s="1">
        <v>44241</v>
      </c>
      <c r="B20" s="12" t="s">
        <v>13</v>
      </c>
      <c r="C20" s="12">
        <v>2500</v>
      </c>
      <c r="E20" s="12">
        <v>3000</v>
      </c>
    </row>
    <row r="21" spans="1:15" x14ac:dyDescent="0.25">
      <c r="A21" s="1">
        <v>44242</v>
      </c>
      <c r="B21" s="12" t="s">
        <v>14</v>
      </c>
      <c r="C21" s="12">
        <v>1000</v>
      </c>
      <c r="E21" s="12">
        <v>800</v>
      </c>
    </row>
    <row r="22" spans="1:15" x14ac:dyDescent="0.25">
      <c r="A22" s="1">
        <v>44243</v>
      </c>
      <c r="B22" s="12" t="s">
        <v>16</v>
      </c>
      <c r="C22" s="12">
        <v>1000</v>
      </c>
      <c r="D22" s="13">
        <f>SUM(C22:C32)</f>
        <v>15300</v>
      </c>
      <c r="E22" s="12">
        <v>900</v>
      </c>
      <c r="F22" s="13">
        <f>SUM(E22:E32)</f>
        <v>16500</v>
      </c>
    </row>
    <row r="23" spans="1:15" x14ac:dyDescent="0.25">
      <c r="A23" s="1">
        <v>44244</v>
      </c>
      <c r="B23" s="12" t="s">
        <v>17</v>
      </c>
      <c r="C23" s="12">
        <v>500</v>
      </c>
      <c r="E23" s="12">
        <v>800</v>
      </c>
    </row>
    <row r="24" spans="1:15" x14ac:dyDescent="0.25">
      <c r="A24" s="1">
        <v>44245</v>
      </c>
      <c r="B24" s="12" t="s">
        <v>8</v>
      </c>
      <c r="C24" s="12">
        <v>1000</v>
      </c>
      <c r="E24" s="12">
        <v>1500</v>
      </c>
    </row>
    <row r="25" spans="1:15" x14ac:dyDescent="0.25">
      <c r="A25" s="1">
        <v>44246</v>
      </c>
      <c r="B25" s="12" t="s">
        <v>10</v>
      </c>
      <c r="C25" s="12">
        <v>2000</v>
      </c>
      <c r="E25" s="12">
        <v>1800</v>
      </c>
    </row>
    <row r="26" spans="1:15" x14ac:dyDescent="0.25">
      <c r="A26" s="1">
        <v>44247</v>
      </c>
      <c r="B26" s="12" t="s">
        <v>12</v>
      </c>
      <c r="C26" s="12">
        <v>2500</v>
      </c>
      <c r="E26" s="12">
        <v>3300</v>
      </c>
    </row>
    <row r="27" spans="1:15" x14ac:dyDescent="0.25">
      <c r="A27" s="1">
        <v>44248</v>
      </c>
      <c r="B27" s="12" t="s">
        <v>13</v>
      </c>
      <c r="C27" s="12">
        <v>2500</v>
      </c>
      <c r="E27" s="12">
        <v>3000</v>
      </c>
    </row>
    <row r="28" spans="1:15" x14ac:dyDescent="0.25">
      <c r="A28" s="1">
        <v>44249</v>
      </c>
      <c r="B28" s="12" t="s">
        <v>14</v>
      </c>
      <c r="C28" s="12">
        <v>800</v>
      </c>
      <c r="E28" s="12">
        <v>600</v>
      </c>
    </row>
    <row r="29" spans="1:15" x14ac:dyDescent="0.25">
      <c r="A29" s="1">
        <v>44250</v>
      </c>
      <c r="B29" s="12" t="s">
        <v>16</v>
      </c>
      <c r="C29" s="12">
        <v>1000</v>
      </c>
      <c r="E29" s="12">
        <v>800</v>
      </c>
    </row>
    <row r="30" spans="1:15" x14ac:dyDescent="0.25">
      <c r="A30" s="1">
        <v>44251</v>
      </c>
      <c r="B30" s="12" t="s">
        <v>17</v>
      </c>
      <c r="C30" s="12">
        <v>1000</v>
      </c>
      <c r="E30" s="12">
        <v>400</v>
      </c>
    </row>
    <row r="31" spans="1:15" x14ac:dyDescent="0.25">
      <c r="A31" s="1">
        <v>44252</v>
      </c>
      <c r="B31" s="12" t="s">
        <v>8</v>
      </c>
      <c r="C31" s="12">
        <v>1000</v>
      </c>
      <c r="E31" s="12">
        <v>1900</v>
      </c>
    </row>
    <row r="32" spans="1:15" x14ac:dyDescent="0.25">
      <c r="A32" s="1">
        <v>44253</v>
      </c>
      <c r="B32" s="12" t="s">
        <v>10</v>
      </c>
      <c r="C32" s="12">
        <v>2000</v>
      </c>
      <c r="E32" s="12">
        <v>1500</v>
      </c>
    </row>
    <row r="33" spans="1:6" x14ac:dyDescent="0.25">
      <c r="A33" s="1">
        <v>44254</v>
      </c>
      <c r="B33" s="12" t="s">
        <v>12</v>
      </c>
      <c r="C33" s="12">
        <v>3000</v>
      </c>
      <c r="D33" s="13">
        <f>SUM(C33:C37)</f>
        <v>7800</v>
      </c>
      <c r="E33" s="12">
        <v>3800</v>
      </c>
      <c r="F33" s="13">
        <f>SUM(E33:E37)</f>
        <v>9800</v>
      </c>
    </row>
    <row r="34" spans="1:6" x14ac:dyDescent="0.25">
      <c r="A34" s="1">
        <v>44255</v>
      </c>
      <c r="B34" s="12" t="s">
        <v>13</v>
      </c>
      <c r="C34" s="12">
        <v>2800</v>
      </c>
      <c r="E34" s="12">
        <v>3300</v>
      </c>
    </row>
    <row r="35" spans="1:6" x14ac:dyDescent="0.25">
      <c r="A35" s="1">
        <v>44256</v>
      </c>
      <c r="B35" s="12" t="s">
        <v>14</v>
      </c>
      <c r="C35" s="12">
        <v>800</v>
      </c>
      <c r="E35" s="12">
        <v>800</v>
      </c>
    </row>
    <row r="36" spans="1:6" x14ac:dyDescent="0.25">
      <c r="A36" s="1">
        <v>44257</v>
      </c>
      <c r="B36" s="12" t="s">
        <v>16</v>
      </c>
      <c r="C36" s="12">
        <v>900</v>
      </c>
      <c r="E36" s="12">
        <v>1000</v>
      </c>
    </row>
    <row r="37" spans="1:6" x14ac:dyDescent="0.25">
      <c r="A37" s="1">
        <v>44258</v>
      </c>
      <c r="B37" s="12" t="s">
        <v>17</v>
      </c>
      <c r="C37" s="12">
        <v>300</v>
      </c>
      <c r="E37" s="12">
        <v>900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4" workbookViewId="0">
      <selection activeCell="D65" sqref="D65"/>
    </sheetView>
  </sheetViews>
  <sheetFormatPr baseColWidth="10" defaultColWidth="11.42578125" defaultRowHeight="15" x14ac:dyDescent="0.25"/>
  <cols>
    <col min="2" max="2" width="15.85546875" style="32" bestFit="1" customWidth="1"/>
    <col min="3" max="3" width="11.42578125" style="32" customWidth="1"/>
    <col min="4" max="4" width="13.42578125" style="32" customWidth="1"/>
    <col min="5" max="6" width="11.85546875" style="32" customWidth="1"/>
    <col min="7" max="7" width="9.42578125" style="32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1" ht="15.75" thickBot="1" x14ac:dyDescent="0.3"/>
    <row r="2" spans="1:11" ht="15.75" thickBot="1" x14ac:dyDescent="0.3">
      <c r="E2" s="37"/>
      <c r="F2" s="37"/>
      <c r="G2" s="38"/>
      <c r="J2" s="36" t="s">
        <v>141</v>
      </c>
      <c r="K2" s="36"/>
    </row>
    <row r="3" spans="1:11" ht="15.75" thickBot="1" x14ac:dyDescent="0.3">
      <c r="A3" s="4" t="s">
        <v>1</v>
      </c>
      <c r="B3" s="9" t="s">
        <v>2</v>
      </c>
      <c r="C3" s="5" t="s">
        <v>3</v>
      </c>
      <c r="D3" s="5" t="s">
        <v>4</v>
      </c>
      <c r="E3" s="5" t="s">
        <v>3</v>
      </c>
      <c r="F3" s="21" t="s">
        <v>4</v>
      </c>
      <c r="G3" s="6"/>
      <c r="I3" s="7" t="s">
        <v>5</v>
      </c>
      <c r="J3" s="7" t="s">
        <v>4</v>
      </c>
      <c r="K3" s="7" t="s">
        <v>3</v>
      </c>
    </row>
    <row r="4" spans="1:11" x14ac:dyDescent="0.25">
      <c r="A4" s="1">
        <v>44501</v>
      </c>
      <c r="B4" s="10" t="s">
        <v>14</v>
      </c>
      <c r="C4" s="3">
        <v>0.53125</v>
      </c>
      <c r="D4" s="3" t="s">
        <v>15</v>
      </c>
      <c r="E4" s="32" t="str">
        <f>IF(EXACT(C4,"F"),"FALTA",IF(EXACT(C4,"D"),"DESCANSO",IF(EXACT(C4,""),"",IF(EXACT(C4,"P"),"PERMISO",IF(IF(WEEKDAY(A4,11)&gt;=4,VALUE(C4)&gt;VALUE("13:00"),VALUE(C4)&gt;VALUE("13:00")),"RETARDO",IF(EXACT(C4,"F"),"FALTA","√"))))))</f>
        <v>√</v>
      </c>
      <c r="F4" s="32" t="str">
        <f>IF(EXACT(D4,"F"),"FALTA",IF(EXACT(D4,"D"),"DESCANSO",IF(EXACT(D4,""),"",IF(EXACT(D4,"P"),"PERMISO",IF(IF(WEEKDAY(A4,11)&gt;=4,VALUE(D4)&gt;VALUE("13:00"),VALUE(D4)&gt;VALUE("13:00")),"RETARDO",IF(EXACT(D4,"F"),"FALTA","√"))))))</f>
        <v>DESCANSO</v>
      </c>
      <c r="I4" t="s">
        <v>7</v>
      </c>
      <c r="J4">
        <f>COUNTIF($F$4:$F$18,"RETARDO")</f>
        <v>2</v>
      </c>
      <c r="K4">
        <f>COUNTIF(E$4:E$18,"RETARDO")</f>
        <v>2</v>
      </c>
    </row>
    <row r="5" spans="1:11" x14ac:dyDescent="0.25">
      <c r="A5" s="1">
        <v>44502</v>
      </c>
      <c r="B5" s="10" t="s">
        <v>16</v>
      </c>
      <c r="C5" s="3" t="s">
        <v>15</v>
      </c>
      <c r="D5" s="3">
        <v>0.52777777777777779</v>
      </c>
      <c r="E5" s="32" t="str">
        <f t="shared" ref="E5:E65" si="0">IF(EXACT(C5,"F"),"FALTA",IF(EXACT(C5,"D"),"DESCANSO",IF(EXACT(C5,""),"",IF(EXACT(C5,"P"),"PERMISO",IF(IF(WEEKDAY(A5,11)&gt;=4,VALUE(C5)&gt;VALUE("13:00"),VALUE(C5)&gt;VALUE("13:00")),"RETARDO",IF(EXACT(C5,"F"),"FALTA","√"))))))</f>
        <v>DESCANSO</v>
      </c>
      <c r="F5" s="32" t="str">
        <f t="shared" ref="F5:F65" si="1">IF(EXACT(D5,"F"),"FALTA",IF(EXACT(D5,"D"),"DESCANSO",IF(EXACT(D5,""),"",IF(EXACT(D5,"P"),"PERMISO",IF(IF(WEEKDAY(A5,11)&gt;=4,VALUE(D5)&gt;VALUE("13:00"),VALUE(D5)&gt;VALUE("13:00")),"RETARDO",IF(EXACT(D5,"F"),"FALTA","√"))))))</f>
        <v>√</v>
      </c>
      <c r="I5" t="s">
        <v>9</v>
      </c>
      <c r="J5">
        <f>COUNTIF($F$4:$F$18,"FALTA")</f>
        <v>0</v>
      </c>
      <c r="K5">
        <f>COUNTIF(E$4:E$18,"FALTA")</f>
        <v>0</v>
      </c>
    </row>
    <row r="6" spans="1:11" x14ac:dyDescent="0.25">
      <c r="A6" s="1">
        <v>44503</v>
      </c>
      <c r="B6" s="10" t="s">
        <v>17</v>
      </c>
      <c r="C6" s="3">
        <v>0.54097222222222219</v>
      </c>
      <c r="D6" s="3">
        <v>0.53125</v>
      </c>
      <c r="E6" s="32" t="str">
        <f t="shared" si="0"/>
        <v>√</v>
      </c>
      <c r="F6" s="32" t="str">
        <f t="shared" si="1"/>
        <v>√</v>
      </c>
      <c r="I6" t="s">
        <v>11</v>
      </c>
      <c r="J6">
        <f>ROUNDDOWN(J4/3,0)+J5</f>
        <v>0</v>
      </c>
      <c r="K6">
        <f>ROUNDDOWN(K4/3,0)+K5</f>
        <v>0</v>
      </c>
    </row>
    <row r="7" spans="1:11" x14ac:dyDescent="0.25">
      <c r="A7" s="1">
        <v>44504</v>
      </c>
      <c r="B7" s="10" t="s">
        <v>8</v>
      </c>
      <c r="C7" s="3">
        <v>0.53472222222222221</v>
      </c>
      <c r="D7" s="3">
        <v>0.54166666666666663</v>
      </c>
      <c r="E7" s="32" t="str">
        <f t="shared" si="0"/>
        <v>√</v>
      </c>
      <c r="F7" s="32" t="str">
        <f t="shared" si="1"/>
        <v>√</v>
      </c>
    </row>
    <row r="8" spans="1:11" x14ac:dyDescent="0.25">
      <c r="A8" s="1">
        <v>44505</v>
      </c>
      <c r="B8" s="10" t="s">
        <v>10</v>
      </c>
      <c r="C8" s="3">
        <v>0.52777777777777779</v>
      </c>
      <c r="D8" s="3">
        <v>0.53819444444444442</v>
      </c>
      <c r="E8" s="32" t="str">
        <f t="shared" si="0"/>
        <v>√</v>
      </c>
      <c r="F8" s="32" t="str">
        <f t="shared" si="1"/>
        <v>√</v>
      </c>
    </row>
    <row r="9" spans="1:11" x14ac:dyDescent="0.25">
      <c r="A9" s="1">
        <v>44506</v>
      </c>
      <c r="B9" s="10" t="s">
        <v>12</v>
      </c>
      <c r="C9" s="3">
        <v>0.53472222222222221</v>
      </c>
      <c r="D9" s="3">
        <v>0.54375000000000007</v>
      </c>
      <c r="E9" s="32" t="str">
        <f t="shared" si="0"/>
        <v>√</v>
      </c>
      <c r="F9" s="32" t="str">
        <f t="shared" si="1"/>
        <v>RETARDO</v>
      </c>
    </row>
    <row r="10" spans="1:11" x14ac:dyDescent="0.25">
      <c r="A10" s="1">
        <v>44507</v>
      </c>
      <c r="B10" s="10" t="s">
        <v>13</v>
      </c>
      <c r="C10" s="3">
        <v>0.55069444444444449</v>
      </c>
      <c r="D10" s="3">
        <v>0.53472222222222221</v>
      </c>
      <c r="E10" s="32" t="str">
        <f t="shared" si="0"/>
        <v>RETARDO</v>
      </c>
      <c r="F10" s="32" t="str">
        <f t="shared" si="1"/>
        <v>√</v>
      </c>
    </row>
    <row r="11" spans="1:11" x14ac:dyDescent="0.25">
      <c r="A11" s="1">
        <v>44508</v>
      </c>
      <c r="B11" s="10" t="s">
        <v>14</v>
      </c>
      <c r="C11" s="3">
        <v>0.53125</v>
      </c>
      <c r="D11" s="3" t="s">
        <v>15</v>
      </c>
      <c r="E11" s="32" t="str">
        <f t="shared" si="0"/>
        <v>√</v>
      </c>
      <c r="F11" s="32" t="str">
        <f t="shared" si="1"/>
        <v>DESCANSO</v>
      </c>
    </row>
    <row r="12" spans="1:11" x14ac:dyDescent="0.25">
      <c r="A12" s="1">
        <v>44509</v>
      </c>
      <c r="B12" s="10" t="s">
        <v>16</v>
      </c>
      <c r="C12" s="3" t="s">
        <v>15</v>
      </c>
      <c r="D12" s="3">
        <v>0.53680555555555554</v>
      </c>
      <c r="E12" s="32" t="str">
        <f t="shared" si="0"/>
        <v>DESCANSO</v>
      </c>
      <c r="F12" s="32" t="str">
        <f t="shared" si="1"/>
        <v>√</v>
      </c>
    </row>
    <row r="13" spans="1:11" x14ac:dyDescent="0.25">
      <c r="A13" s="1">
        <v>44510</v>
      </c>
      <c r="B13" s="10" t="s">
        <v>17</v>
      </c>
      <c r="C13" s="3">
        <v>0.53472222222222221</v>
      </c>
      <c r="D13" s="3">
        <v>0.53472222222222221</v>
      </c>
      <c r="E13" s="32" t="str">
        <f t="shared" si="0"/>
        <v>√</v>
      </c>
      <c r="F13" s="32" t="str">
        <f t="shared" si="1"/>
        <v>√</v>
      </c>
      <c r="G13" s="32" t="s">
        <v>18</v>
      </c>
    </row>
    <row r="14" spans="1:11" x14ac:dyDescent="0.25">
      <c r="A14" s="1">
        <v>44511</v>
      </c>
      <c r="B14" s="10" t="s">
        <v>8</v>
      </c>
      <c r="C14" s="3">
        <v>0.53125</v>
      </c>
      <c r="D14" s="3">
        <v>0.53472222222222221</v>
      </c>
      <c r="E14" s="32" t="str">
        <f t="shared" si="0"/>
        <v>√</v>
      </c>
      <c r="F14" s="32" t="str">
        <f t="shared" si="1"/>
        <v>√</v>
      </c>
    </row>
    <row r="15" spans="1:11" x14ac:dyDescent="0.25">
      <c r="A15" s="1">
        <v>44512</v>
      </c>
      <c r="B15" s="10" t="s">
        <v>10</v>
      </c>
      <c r="C15" s="3">
        <v>0.53472222222222221</v>
      </c>
      <c r="D15" s="3">
        <v>0.53472222222222221</v>
      </c>
      <c r="E15" s="32" t="str">
        <f t="shared" si="0"/>
        <v>√</v>
      </c>
      <c r="F15" s="32" t="str">
        <f t="shared" si="1"/>
        <v>√</v>
      </c>
    </row>
    <row r="16" spans="1:11" x14ac:dyDescent="0.25">
      <c r="A16" s="1">
        <v>44513</v>
      </c>
      <c r="B16" s="10" t="s">
        <v>12</v>
      </c>
      <c r="C16" s="3">
        <v>0.52777777777777779</v>
      </c>
      <c r="D16" s="3">
        <v>0.54722222222222217</v>
      </c>
      <c r="E16" s="32" t="str">
        <f t="shared" si="0"/>
        <v>√</v>
      </c>
      <c r="F16" s="32" t="str">
        <f t="shared" si="1"/>
        <v>RETARDO</v>
      </c>
    </row>
    <row r="17" spans="1:14" x14ac:dyDescent="0.25">
      <c r="A17" s="1">
        <v>44514</v>
      </c>
      <c r="B17" s="10" t="s">
        <v>13</v>
      </c>
      <c r="C17" s="3">
        <v>0.54513888888888895</v>
      </c>
      <c r="D17" s="3">
        <v>0.54166666666666663</v>
      </c>
      <c r="E17" s="32" t="str">
        <f t="shared" si="0"/>
        <v>RETARDO</v>
      </c>
      <c r="F17" s="32" t="str">
        <f t="shared" si="1"/>
        <v>√</v>
      </c>
    </row>
    <row r="18" spans="1:14" x14ac:dyDescent="0.25">
      <c r="A18" s="1">
        <v>44515</v>
      </c>
      <c r="B18" s="10" t="s">
        <v>14</v>
      </c>
      <c r="C18" s="3">
        <v>0.52777777777777779</v>
      </c>
      <c r="D18" s="3" t="s">
        <v>15</v>
      </c>
      <c r="E18" s="32" t="str">
        <f t="shared" si="0"/>
        <v>√</v>
      </c>
      <c r="F18" s="32" t="str">
        <f t="shared" si="1"/>
        <v>DESCANSO</v>
      </c>
      <c r="J18" s="36" t="s">
        <v>137</v>
      </c>
      <c r="K18" s="36"/>
    </row>
    <row r="19" spans="1:14" x14ac:dyDescent="0.25">
      <c r="A19" s="1">
        <v>44516</v>
      </c>
      <c r="B19" s="10" t="s">
        <v>16</v>
      </c>
      <c r="C19" s="3">
        <v>0.53472222222222221</v>
      </c>
      <c r="D19" s="3">
        <v>0.53472222222222221</v>
      </c>
      <c r="E19" s="32" t="str">
        <f t="shared" si="0"/>
        <v>√</v>
      </c>
      <c r="F19" s="32" t="str">
        <f t="shared" si="1"/>
        <v>√</v>
      </c>
      <c r="I19" s="7" t="s">
        <v>5</v>
      </c>
      <c r="J19" s="7" t="s">
        <v>4</v>
      </c>
      <c r="K19" s="7" t="s">
        <v>3</v>
      </c>
    </row>
    <row r="20" spans="1:14" x14ac:dyDescent="0.25">
      <c r="A20" s="1">
        <v>44517</v>
      </c>
      <c r="B20" s="10" t="s">
        <v>17</v>
      </c>
      <c r="C20" s="3" t="s">
        <v>15</v>
      </c>
      <c r="D20" s="3">
        <v>0.53472222222222221</v>
      </c>
      <c r="E20" s="32" t="str">
        <f t="shared" si="0"/>
        <v>DESCANSO</v>
      </c>
      <c r="F20" s="32" t="str">
        <f t="shared" si="1"/>
        <v>√</v>
      </c>
      <c r="I20" t="s">
        <v>7</v>
      </c>
      <c r="J20">
        <f>COUNTIF($F$19:$F$33,"RETARDO")</f>
        <v>2</v>
      </c>
      <c r="K20">
        <f>COUNTIF(E$19:E$33,"RETARDO")</f>
        <v>2</v>
      </c>
    </row>
    <row r="21" spans="1:14" x14ac:dyDescent="0.25">
      <c r="A21" s="1">
        <v>44518</v>
      </c>
      <c r="B21" s="10" t="s">
        <v>8</v>
      </c>
      <c r="C21" s="3">
        <v>0.54583333333333328</v>
      </c>
      <c r="D21" s="3">
        <v>0.53472222222222221</v>
      </c>
      <c r="E21" s="32" t="str">
        <f t="shared" si="0"/>
        <v>RETARDO</v>
      </c>
      <c r="F21" s="32" t="str">
        <f t="shared" si="1"/>
        <v>√</v>
      </c>
      <c r="I21" t="s">
        <v>9</v>
      </c>
      <c r="J21">
        <f>COUNTIF($F$19:$F$33,"FALTA")</f>
        <v>0</v>
      </c>
      <c r="K21">
        <f>COUNTIF(E$19:E$33,"FALTA")</f>
        <v>0</v>
      </c>
    </row>
    <row r="22" spans="1:14" x14ac:dyDescent="0.25">
      <c r="A22" s="1">
        <v>44519</v>
      </c>
      <c r="B22" s="10" t="s">
        <v>10</v>
      </c>
      <c r="C22" s="3">
        <v>0.54166666666666663</v>
      </c>
      <c r="D22" s="3">
        <v>0.54166666666666663</v>
      </c>
      <c r="E22" s="32" t="str">
        <f t="shared" si="0"/>
        <v>√</v>
      </c>
      <c r="F22" s="32" t="str">
        <f t="shared" si="1"/>
        <v>√</v>
      </c>
      <c r="I22" t="s">
        <v>11</v>
      </c>
      <c r="J22">
        <f>ROUNDDOWN(J20/3,0)+J21</f>
        <v>0</v>
      </c>
      <c r="K22">
        <f>ROUNDDOWN(K20/3,0)+K21</f>
        <v>0</v>
      </c>
    </row>
    <row r="23" spans="1:14" x14ac:dyDescent="0.25">
      <c r="A23" s="1">
        <v>44520</v>
      </c>
      <c r="B23" s="10" t="s">
        <v>12</v>
      </c>
      <c r="C23" s="3">
        <v>0.52430555555555558</v>
      </c>
      <c r="D23" s="3">
        <v>0.54513888888888895</v>
      </c>
      <c r="E23" s="32" t="str">
        <f t="shared" si="0"/>
        <v>√</v>
      </c>
      <c r="F23" s="32" t="str">
        <f t="shared" si="1"/>
        <v>RETARDO</v>
      </c>
      <c r="N23" s="1"/>
    </row>
    <row r="24" spans="1:14" x14ac:dyDescent="0.25">
      <c r="A24" s="1">
        <v>44521</v>
      </c>
      <c r="B24" s="10" t="s">
        <v>13</v>
      </c>
      <c r="C24" s="3">
        <v>0.54166666666666663</v>
      </c>
      <c r="D24" s="3">
        <v>0.53819444444444442</v>
      </c>
      <c r="E24" s="32" t="str">
        <f t="shared" si="0"/>
        <v>√</v>
      </c>
      <c r="F24" s="32" t="str">
        <f t="shared" si="1"/>
        <v>√</v>
      </c>
      <c r="N24" s="1"/>
    </row>
    <row r="25" spans="1:14" x14ac:dyDescent="0.25">
      <c r="A25" s="1">
        <v>44522</v>
      </c>
      <c r="B25" s="10" t="s">
        <v>14</v>
      </c>
      <c r="C25" s="3">
        <v>0.53819444444444442</v>
      </c>
      <c r="D25" s="3" t="s">
        <v>15</v>
      </c>
      <c r="E25" s="32" t="str">
        <f t="shared" si="0"/>
        <v>√</v>
      </c>
      <c r="F25" s="32" t="str">
        <f t="shared" si="1"/>
        <v>DESCANSO</v>
      </c>
      <c r="N25" s="1"/>
    </row>
    <row r="26" spans="1:14" x14ac:dyDescent="0.25">
      <c r="A26" s="1">
        <v>44523</v>
      </c>
      <c r="B26" s="10" t="s">
        <v>16</v>
      </c>
      <c r="C26" s="3">
        <v>0.53472222222222221</v>
      </c>
      <c r="D26" s="3">
        <v>0.53472222222222221</v>
      </c>
      <c r="E26" s="32" t="str">
        <f t="shared" si="0"/>
        <v>√</v>
      </c>
      <c r="F26" s="32" t="str">
        <f t="shared" si="1"/>
        <v>√</v>
      </c>
      <c r="N26" s="1"/>
    </row>
    <row r="27" spans="1:14" x14ac:dyDescent="0.25">
      <c r="A27" s="1">
        <v>44524</v>
      </c>
      <c r="B27" s="10" t="s">
        <v>17</v>
      </c>
      <c r="C27" s="3" t="s">
        <v>15</v>
      </c>
      <c r="D27" s="3">
        <v>0.53472222222222221</v>
      </c>
      <c r="E27" s="32" t="str">
        <f t="shared" si="0"/>
        <v>DESCANSO</v>
      </c>
      <c r="F27" s="32" t="str">
        <f t="shared" si="1"/>
        <v>√</v>
      </c>
    </row>
    <row r="28" spans="1:14" ht="15" customHeight="1" x14ac:dyDescent="0.25">
      <c r="A28" s="1">
        <v>44525</v>
      </c>
      <c r="B28" s="10" t="s">
        <v>8</v>
      </c>
      <c r="C28" s="3">
        <v>0.54791666666666672</v>
      </c>
      <c r="D28" s="3">
        <v>0.53472222222222221</v>
      </c>
      <c r="E28" s="32" t="str">
        <f t="shared" si="0"/>
        <v>RETARDO</v>
      </c>
      <c r="F28" s="32" t="str">
        <f t="shared" si="1"/>
        <v>√</v>
      </c>
    </row>
    <row r="29" spans="1:14" ht="15" customHeight="1" x14ac:dyDescent="0.25">
      <c r="A29" s="1">
        <v>44526</v>
      </c>
      <c r="B29" s="10" t="s">
        <v>10</v>
      </c>
      <c r="C29" s="3">
        <v>0.52083333333333337</v>
      </c>
      <c r="D29" s="3">
        <v>0.53472222222222221</v>
      </c>
      <c r="E29" s="32" t="str">
        <f t="shared" si="0"/>
        <v>√</v>
      </c>
      <c r="F29" s="32" t="str">
        <f t="shared" si="1"/>
        <v>√</v>
      </c>
      <c r="J29" s="36" t="s">
        <v>139</v>
      </c>
      <c r="K29" s="36"/>
    </row>
    <row r="30" spans="1:14" ht="15" customHeight="1" x14ac:dyDescent="0.25">
      <c r="A30" s="1">
        <v>44527</v>
      </c>
      <c r="B30" s="10" t="s">
        <v>12</v>
      </c>
      <c r="C30" s="3">
        <v>0.53125</v>
      </c>
      <c r="D30" s="3">
        <v>0.53472222222222221</v>
      </c>
      <c r="E30" s="32" t="str">
        <f t="shared" si="0"/>
        <v>√</v>
      </c>
      <c r="F30" s="32" t="str">
        <f t="shared" si="1"/>
        <v>√</v>
      </c>
      <c r="I30" s="7" t="s">
        <v>5</v>
      </c>
      <c r="J30" s="7" t="s">
        <v>4</v>
      </c>
      <c r="K30" s="7" t="s">
        <v>3</v>
      </c>
    </row>
    <row r="31" spans="1:14" x14ac:dyDescent="0.25">
      <c r="A31" s="1">
        <v>44528</v>
      </c>
      <c r="B31" s="10" t="s">
        <v>13</v>
      </c>
      <c r="C31" s="3">
        <v>0.53819444444444442</v>
      </c>
      <c r="D31" s="3">
        <v>0.53125</v>
      </c>
      <c r="E31" s="32" t="str">
        <f t="shared" si="0"/>
        <v>√</v>
      </c>
      <c r="F31" s="32" t="str">
        <f t="shared" si="1"/>
        <v>√</v>
      </c>
      <c r="I31" t="s">
        <v>7</v>
      </c>
      <c r="J31">
        <f>COUNTIF($F$34:$F$48,"RETARDO")</f>
        <v>2</v>
      </c>
      <c r="K31">
        <f>COUNTIF(E$34:E$48,"RETARDO")</f>
        <v>1</v>
      </c>
    </row>
    <row r="32" spans="1:14" x14ac:dyDescent="0.25">
      <c r="A32" s="1">
        <v>44529</v>
      </c>
      <c r="B32" s="10" t="s">
        <v>14</v>
      </c>
      <c r="C32" s="3">
        <v>0.52777777777777779</v>
      </c>
      <c r="D32" s="3" t="s">
        <v>15</v>
      </c>
      <c r="E32" s="32" t="str">
        <f t="shared" si="0"/>
        <v>√</v>
      </c>
      <c r="F32" s="32" t="str">
        <f t="shared" si="1"/>
        <v>DESCANSO</v>
      </c>
      <c r="I32" t="s">
        <v>9</v>
      </c>
      <c r="J32">
        <f>COUNTIF($F$34:$F$48,"FALTA")</f>
        <v>1</v>
      </c>
      <c r="K32">
        <f>COUNTIF(E$34:E$48,"FALTA")</f>
        <v>0</v>
      </c>
      <c r="N32" s="34"/>
    </row>
    <row r="33" spans="1:13" x14ac:dyDescent="0.25">
      <c r="A33" s="1">
        <v>44530</v>
      </c>
      <c r="B33" s="10" t="s">
        <v>16</v>
      </c>
      <c r="C33" s="3">
        <v>0.53125</v>
      </c>
      <c r="D33" s="3">
        <v>0.5444444444444444</v>
      </c>
      <c r="E33" s="32" t="str">
        <f t="shared" si="0"/>
        <v>√</v>
      </c>
      <c r="F33" s="32" t="str">
        <f t="shared" si="1"/>
        <v>RETARDO</v>
      </c>
      <c r="I33" t="s">
        <v>11</v>
      </c>
      <c r="J33">
        <f>ROUNDDOWN(J31/3,0)+J32</f>
        <v>1</v>
      </c>
      <c r="K33">
        <f>ROUNDDOWN(K31/3,0)+K32</f>
        <v>0</v>
      </c>
    </row>
    <row r="34" spans="1:13" x14ac:dyDescent="0.25">
      <c r="A34" s="1">
        <v>44531</v>
      </c>
      <c r="B34" s="10" t="s">
        <v>17</v>
      </c>
      <c r="C34" s="3" t="s">
        <v>15</v>
      </c>
      <c r="D34" s="3">
        <v>0.54722222222222217</v>
      </c>
      <c r="E34" s="32" t="str">
        <f t="shared" si="0"/>
        <v>DESCANSO</v>
      </c>
      <c r="F34" s="32" t="str">
        <f t="shared" si="1"/>
        <v>RETARDO</v>
      </c>
    </row>
    <row r="35" spans="1:13" x14ac:dyDescent="0.25">
      <c r="A35" s="1">
        <v>44532</v>
      </c>
      <c r="B35" s="10" t="s">
        <v>8</v>
      </c>
      <c r="C35" s="3">
        <v>0.55902777777777779</v>
      </c>
      <c r="D35" s="3">
        <v>0.53472222222222221</v>
      </c>
      <c r="E35" s="32" t="str">
        <f t="shared" si="0"/>
        <v>RETARDO</v>
      </c>
      <c r="F35" s="32" t="str">
        <f t="shared" si="1"/>
        <v>√</v>
      </c>
      <c r="M35" t="s">
        <v>18</v>
      </c>
    </row>
    <row r="36" spans="1:13" x14ac:dyDescent="0.25">
      <c r="A36" s="1">
        <v>44533</v>
      </c>
      <c r="B36" s="10" t="s">
        <v>10</v>
      </c>
      <c r="C36" s="3">
        <v>0.51388888888888895</v>
      </c>
      <c r="D36" s="3">
        <v>0.5541666666666667</v>
      </c>
      <c r="E36" s="32" t="str">
        <f t="shared" si="0"/>
        <v>√</v>
      </c>
      <c r="F36" s="32" t="str">
        <f t="shared" si="1"/>
        <v>RETARDO</v>
      </c>
    </row>
    <row r="37" spans="1:13" x14ac:dyDescent="0.25">
      <c r="A37" s="1">
        <v>44534</v>
      </c>
      <c r="B37" s="10" t="s">
        <v>12</v>
      </c>
      <c r="C37" s="3">
        <v>0.52777777777777779</v>
      </c>
      <c r="D37" s="3">
        <v>0.54166666666666663</v>
      </c>
      <c r="E37" s="32" t="str">
        <f t="shared" si="0"/>
        <v>√</v>
      </c>
      <c r="F37" s="32" t="str">
        <f t="shared" si="1"/>
        <v>√</v>
      </c>
      <c r="G37" s="3">
        <v>0.54652777777777783</v>
      </c>
    </row>
    <row r="38" spans="1:13" x14ac:dyDescent="0.25">
      <c r="A38" s="1">
        <v>44535</v>
      </c>
      <c r="B38" s="10" t="s">
        <v>13</v>
      </c>
      <c r="C38" s="3">
        <v>0.52986111111111112</v>
      </c>
      <c r="D38" s="3">
        <v>0.54027777777777775</v>
      </c>
      <c r="E38" s="32" t="str">
        <f t="shared" si="0"/>
        <v>√</v>
      </c>
      <c r="F38" s="32" t="str">
        <f t="shared" si="1"/>
        <v>√</v>
      </c>
    </row>
    <row r="39" spans="1:13" x14ac:dyDescent="0.25">
      <c r="A39" s="1">
        <v>44536</v>
      </c>
      <c r="B39" s="10" t="s">
        <v>14</v>
      </c>
      <c r="C39" s="3">
        <v>0.53472222222222221</v>
      </c>
      <c r="D39" s="3" t="s">
        <v>15</v>
      </c>
      <c r="E39" s="32" t="str">
        <f t="shared" si="0"/>
        <v>√</v>
      </c>
      <c r="F39" s="32" t="str">
        <f t="shared" si="1"/>
        <v>DESCANSO</v>
      </c>
    </row>
    <row r="40" spans="1:13" x14ac:dyDescent="0.25">
      <c r="A40" s="1">
        <v>44537</v>
      </c>
      <c r="B40" s="10" t="s">
        <v>16</v>
      </c>
      <c r="C40" s="3">
        <v>0.51388888888888895</v>
      </c>
      <c r="D40" s="3">
        <v>0.53819444444444442</v>
      </c>
      <c r="E40" s="32" t="str">
        <f t="shared" si="0"/>
        <v>√</v>
      </c>
      <c r="F40" s="32" t="str">
        <f t="shared" si="1"/>
        <v>√</v>
      </c>
    </row>
    <row r="41" spans="1:13" x14ac:dyDescent="0.25">
      <c r="A41" s="1">
        <v>44538</v>
      </c>
      <c r="B41" s="10" t="s">
        <v>17</v>
      </c>
      <c r="C41" s="3" t="s">
        <v>15</v>
      </c>
      <c r="D41" s="3">
        <v>0.53819444444444442</v>
      </c>
      <c r="E41" s="32" t="str">
        <f t="shared" si="0"/>
        <v>DESCANSO</v>
      </c>
      <c r="F41" s="32" t="str">
        <f t="shared" si="1"/>
        <v>√</v>
      </c>
    </row>
    <row r="42" spans="1:13" x14ac:dyDescent="0.25">
      <c r="A42" s="1">
        <v>44539</v>
      </c>
      <c r="B42" s="10" t="s">
        <v>8</v>
      </c>
      <c r="C42" s="3">
        <v>0.53680555555555554</v>
      </c>
      <c r="D42" s="3">
        <v>0.53680555555555554</v>
      </c>
      <c r="E42" s="32" t="str">
        <f t="shared" si="0"/>
        <v>√</v>
      </c>
      <c r="F42" s="32" t="str">
        <f t="shared" si="1"/>
        <v>√</v>
      </c>
    </row>
    <row r="43" spans="1:13" x14ac:dyDescent="0.25">
      <c r="A43" s="1">
        <v>44540</v>
      </c>
      <c r="B43" s="10" t="s">
        <v>10</v>
      </c>
      <c r="C43" s="3">
        <v>0.53472222222222221</v>
      </c>
      <c r="D43" s="3">
        <v>0.53472222222222221</v>
      </c>
      <c r="E43" s="32" t="str">
        <f t="shared" si="0"/>
        <v>√</v>
      </c>
      <c r="F43" s="32" t="str">
        <f t="shared" si="1"/>
        <v>√</v>
      </c>
    </row>
    <row r="44" spans="1:13" x14ac:dyDescent="0.25">
      <c r="A44" s="1">
        <v>44541</v>
      </c>
      <c r="B44" s="10" t="s">
        <v>12</v>
      </c>
      <c r="C44" s="3">
        <v>0.53819444444444442</v>
      </c>
      <c r="D44" s="3">
        <v>0.53472222222222221</v>
      </c>
      <c r="E44" s="32" t="str">
        <f t="shared" si="0"/>
        <v>√</v>
      </c>
      <c r="F44" s="32" t="str">
        <f t="shared" si="1"/>
        <v>√</v>
      </c>
    </row>
    <row r="45" spans="1:13" x14ac:dyDescent="0.25">
      <c r="A45" s="1">
        <v>44542</v>
      </c>
      <c r="B45" s="10" t="s">
        <v>13</v>
      </c>
      <c r="C45" s="3">
        <v>0.52777777777777779</v>
      </c>
      <c r="D45" s="3" t="s">
        <v>110</v>
      </c>
      <c r="E45" s="32" t="str">
        <f t="shared" si="0"/>
        <v>√</v>
      </c>
      <c r="F45" s="32" t="str">
        <f t="shared" si="1"/>
        <v>FALTA</v>
      </c>
    </row>
    <row r="46" spans="1:13" x14ac:dyDescent="0.25">
      <c r="A46" s="1">
        <v>44543</v>
      </c>
      <c r="B46" s="10" t="s">
        <v>14</v>
      </c>
      <c r="C46" s="3">
        <v>0.53472222222222221</v>
      </c>
      <c r="D46" s="3" t="s">
        <v>15</v>
      </c>
      <c r="E46" s="32" t="str">
        <f t="shared" si="0"/>
        <v>√</v>
      </c>
      <c r="F46" s="32" t="str">
        <f t="shared" si="1"/>
        <v>DESCANSO</v>
      </c>
      <c r="J46" s="36" t="s">
        <v>22</v>
      </c>
      <c r="K46" s="36"/>
    </row>
    <row r="47" spans="1:13" x14ac:dyDescent="0.25">
      <c r="A47" s="1">
        <v>44544</v>
      </c>
      <c r="B47" s="10" t="s">
        <v>16</v>
      </c>
      <c r="C47" s="3">
        <v>0.52083333333333337</v>
      </c>
      <c r="D47" s="3">
        <v>0.52083333333333337</v>
      </c>
      <c r="E47" s="32" t="str">
        <f t="shared" si="0"/>
        <v>√</v>
      </c>
      <c r="F47" s="32" t="str">
        <f t="shared" si="1"/>
        <v>√</v>
      </c>
      <c r="I47" s="7" t="s">
        <v>5</v>
      </c>
      <c r="J47" s="7" t="s">
        <v>4</v>
      </c>
      <c r="K47" s="7" t="s">
        <v>3</v>
      </c>
    </row>
    <row r="48" spans="1:13" x14ac:dyDescent="0.25">
      <c r="A48" s="1">
        <v>44545</v>
      </c>
      <c r="B48" s="10" t="s">
        <v>17</v>
      </c>
      <c r="C48" s="3" t="s">
        <v>15</v>
      </c>
      <c r="D48" s="3">
        <v>0.53472222222222221</v>
      </c>
      <c r="E48" s="32" t="str">
        <f t="shared" si="0"/>
        <v>DESCANSO</v>
      </c>
      <c r="F48" s="32" t="str">
        <f t="shared" si="1"/>
        <v>√</v>
      </c>
      <c r="I48" t="s">
        <v>7</v>
      </c>
      <c r="J48">
        <f>COUNTIF(F$49:F$64,"RETARDO")</f>
        <v>0</v>
      </c>
      <c r="K48">
        <f>COUNTIF(E$49:E$65,"RETARDO")</f>
        <v>1</v>
      </c>
    </row>
    <row r="49" spans="1:11" x14ac:dyDescent="0.25">
      <c r="A49" s="1">
        <v>44546</v>
      </c>
      <c r="B49" s="10" t="s">
        <v>8</v>
      </c>
      <c r="C49" s="3">
        <v>0.53472222222222221</v>
      </c>
      <c r="D49" s="3" t="s">
        <v>110</v>
      </c>
      <c r="E49" s="32" t="str">
        <f t="shared" si="0"/>
        <v>√</v>
      </c>
      <c r="F49" s="32" t="str">
        <f t="shared" si="1"/>
        <v>FALTA</v>
      </c>
      <c r="I49" t="s">
        <v>9</v>
      </c>
      <c r="J49">
        <f>COUNTIF(F$49:F$65,"FALTA")</f>
        <v>5</v>
      </c>
      <c r="K49">
        <f>COUNTIF(E$49:E$65,"FALTA")</f>
        <v>0</v>
      </c>
    </row>
    <row r="50" spans="1:11" x14ac:dyDescent="0.25">
      <c r="A50" s="1">
        <v>44547</v>
      </c>
      <c r="B50" s="10" t="s">
        <v>10</v>
      </c>
      <c r="C50" s="3">
        <v>0.52777777777777779</v>
      </c>
      <c r="D50" s="3" t="s">
        <v>110</v>
      </c>
      <c r="E50" s="32" t="str">
        <f t="shared" si="0"/>
        <v>√</v>
      </c>
      <c r="F50" s="32" t="str">
        <f t="shared" si="1"/>
        <v>FALTA</v>
      </c>
      <c r="I50" t="s">
        <v>11</v>
      </c>
      <c r="J50">
        <f>ROUNDDOWN(J48/3,0)+J49</f>
        <v>5</v>
      </c>
      <c r="K50">
        <f>ROUNDDOWN(K48/3,0)+K49</f>
        <v>0</v>
      </c>
    </row>
    <row r="51" spans="1:11" x14ac:dyDescent="0.25">
      <c r="A51" s="1">
        <v>44548</v>
      </c>
      <c r="B51" s="10" t="s">
        <v>12</v>
      </c>
      <c r="C51" s="3">
        <v>0.53472222222222221</v>
      </c>
      <c r="D51" s="3" t="s">
        <v>110</v>
      </c>
      <c r="E51" s="32" t="str">
        <f t="shared" si="0"/>
        <v>√</v>
      </c>
      <c r="F51" s="32" t="str">
        <f t="shared" si="1"/>
        <v>FALTA</v>
      </c>
    </row>
    <row r="52" spans="1:11" x14ac:dyDescent="0.25">
      <c r="A52" s="1">
        <v>44549</v>
      </c>
      <c r="B52" s="10" t="s">
        <v>13</v>
      </c>
      <c r="C52" s="3">
        <v>0.53472222222222221</v>
      </c>
      <c r="D52" s="3" t="s">
        <v>110</v>
      </c>
      <c r="E52" s="32" t="str">
        <f t="shared" si="0"/>
        <v>√</v>
      </c>
      <c r="F52" s="32" t="str">
        <f t="shared" si="1"/>
        <v>FALTA</v>
      </c>
    </row>
    <row r="53" spans="1:11" x14ac:dyDescent="0.25">
      <c r="A53" s="1">
        <v>44550</v>
      </c>
      <c r="B53" s="10" t="s">
        <v>14</v>
      </c>
      <c r="C53" s="3">
        <v>0.52083333333333337</v>
      </c>
      <c r="D53" s="3" t="s">
        <v>110</v>
      </c>
      <c r="E53" s="32" t="str">
        <f t="shared" si="0"/>
        <v>√</v>
      </c>
      <c r="F53" s="32" t="str">
        <f t="shared" si="1"/>
        <v>FALTA</v>
      </c>
    </row>
    <row r="54" spans="1:11" x14ac:dyDescent="0.25">
      <c r="A54" s="1">
        <v>44551</v>
      </c>
      <c r="B54" s="10" t="s">
        <v>16</v>
      </c>
      <c r="C54" s="3">
        <v>0.53472222222222221</v>
      </c>
      <c r="D54" s="3">
        <v>0.53819444444444442</v>
      </c>
      <c r="E54" s="32" t="str">
        <f t="shared" si="0"/>
        <v>√</v>
      </c>
      <c r="F54" s="32" t="str">
        <f t="shared" si="1"/>
        <v>√</v>
      </c>
      <c r="G54" s="32" t="s">
        <v>142</v>
      </c>
    </row>
    <row r="55" spans="1:11" x14ac:dyDescent="0.25">
      <c r="A55" s="1">
        <v>44552</v>
      </c>
      <c r="B55" s="10" t="s">
        <v>17</v>
      </c>
      <c r="C55" s="3" t="s">
        <v>15</v>
      </c>
      <c r="D55" s="27">
        <v>0.54166666666666663</v>
      </c>
      <c r="E55" s="32" t="str">
        <f t="shared" si="0"/>
        <v>DESCANSO</v>
      </c>
      <c r="F55" s="32" t="str">
        <f t="shared" si="1"/>
        <v>√</v>
      </c>
    </row>
    <row r="56" spans="1:11" x14ac:dyDescent="0.25">
      <c r="A56" s="1">
        <v>44553</v>
      </c>
      <c r="B56" s="10" t="s">
        <v>8</v>
      </c>
      <c r="C56" s="3">
        <v>0.53125</v>
      </c>
      <c r="D56" s="3">
        <v>0.54166666666666663</v>
      </c>
      <c r="E56" s="32" t="str">
        <f t="shared" si="0"/>
        <v>√</v>
      </c>
      <c r="F56" s="32" t="str">
        <f t="shared" si="1"/>
        <v>√</v>
      </c>
    </row>
    <row r="57" spans="1:11" x14ac:dyDescent="0.25">
      <c r="A57" s="1">
        <v>44554</v>
      </c>
      <c r="B57" s="10" t="s">
        <v>10</v>
      </c>
      <c r="C57" s="3">
        <v>0.53125</v>
      </c>
      <c r="D57" s="27">
        <v>0.54166666666666663</v>
      </c>
      <c r="E57" s="32" t="str">
        <f t="shared" si="0"/>
        <v>√</v>
      </c>
      <c r="F57" s="32" t="str">
        <f t="shared" si="1"/>
        <v>√</v>
      </c>
      <c r="J57" s="36" t="s">
        <v>22</v>
      </c>
      <c r="K57" s="36"/>
    </row>
    <row r="58" spans="1:11" x14ac:dyDescent="0.25">
      <c r="A58" s="1">
        <v>44555</v>
      </c>
      <c r="B58" s="10" t="s">
        <v>12</v>
      </c>
      <c r="C58" s="3" t="s">
        <v>15</v>
      </c>
      <c r="D58" s="3" t="s">
        <v>15</v>
      </c>
      <c r="E58" s="32" t="str">
        <f t="shared" si="0"/>
        <v>DESCANSO</v>
      </c>
      <c r="F58" s="32" t="str">
        <f t="shared" si="1"/>
        <v>DESCANSO</v>
      </c>
      <c r="I58" s="7" t="s">
        <v>5</v>
      </c>
      <c r="J58" s="7" t="s">
        <v>23</v>
      </c>
      <c r="K58" s="7" t="s">
        <v>24</v>
      </c>
    </row>
    <row r="59" spans="1:11" x14ac:dyDescent="0.25">
      <c r="A59" s="1">
        <v>44556</v>
      </c>
      <c r="B59" s="10" t="s">
        <v>13</v>
      </c>
      <c r="C59" s="3">
        <v>0.53472222222222221</v>
      </c>
      <c r="D59" s="3">
        <v>0.53472222222222221</v>
      </c>
      <c r="E59" s="32" t="str">
        <f t="shared" si="0"/>
        <v>√</v>
      </c>
      <c r="F59" s="32" t="str">
        <f t="shared" si="1"/>
        <v>√</v>
      </c>
      <c r="I59" t="s">
        <v>7</v>
      </c>
      <c r="J59">
        <f>COUNTIF(F$58:F$62,"RETARDO")</f>
        <v>0</v>
      </c>
      <c r="K59">
        <f>COUNTIF(E$58:E$62,"RETARDO")</f>
        <v>0</v>
      </c>
    </row>
    <row r="60" spans="1:11" x14ac:dyDescent="0.25">
      <c r="A60" s="1">
        <v>44557</v>
      </c>
      <c r="B60" s="10" t="s">
        <v>14</v>
      </c>
      <c r="C60" s="3">
        <v>0.52777777777777779</v>
      </c>
      <c r="D60" s="3" t="s">
        <v>15</v>
      </c>
      <c r="E60" s="32" t="str">
        <f t="shared" si="0"/>
        <v>√</v>
      </c>
      <c r="F60" s="32" t="str">
        <f t="shared" si="1"/>
        <v>DESCANSO</v>
      </c>
      <c r="I60" t="s">
        <v>9</v>
      </c>
      <c r="J60">
        <f>COUNTIF(F$58:F$62,"FALTA")</f>
        <v>0</v>
      </c>
      <c r="K60">
        <f>COUNTIF(E$58:E$62,"FALTA")</f>
        <v>0</v>
      </c>
    </row>
    <row r="61" spans="1:11" x14ac:dyDescent="0.25">
      <c r="A61" s="1">
        <v>44558</v>
      </c>
      <c r="B61" s="10" t="s">
        <v>16</v>
      </c>
      <c r="C61" s="3">
        <v>0.51736111111111105</v>
      </c>
      <c r="D61" s="3">
        <v>0.51736111111111105</v>
      </c>
      <c r="E61" s="32" t="str">
        <f t="shared" si="0"/>
        <v>√</v>
      </c>
      <c r="F61" s="32" t="str">
        <f t="shared" si="1"/>
        <v>√</v>
      </c>
      <c r="I61" t="s">
        <v>11</v>
      </c>
      <c r="J61">
        <f>ROUNDDOWN(J59/3,0)+J60</f>
        <v>0</v>
      </c>
      <c r="K61">
        <f>ROUNDDOWN(K59/3,0)+K60</f>
        <v>0</v>
      </c>
    </row>
    <row r="62" spans="1:11" x14ac:dyDescent="0.25">
      <c r="A62" s="1">
        <v>44559</v>
      </c>
      <c r="B62" s="10" t="s">
        <v>17</v>
      </c>
      <c r="C62" s="3" t="s">
        <v>15</v>
      </c>
      <c r="D62" s="3">
        <v>0.54097222222222219</v>
      </c>
      <c r="E62" s="32" t="str">
        <f t="shared" si="0"/>
        <v>DESCANSO</v>
      </c>
      <c r="F62" s="32" t="str">
        <f t="shared" si="1"/>
        <v>√</v>
      </c>
    </row>
    <row r="63" spans="1:11" x14ac:dyDescent="0.25">
      <c r="A63" s="1">
        <v>44560</v>
      </c>
      <c r="B63" s="10" t="s">
        <v>8</v>
      </c>
      <c r="C63" s="3">
        <v>0.54861111111111105</v>
      </c>
      <c r="D63" s="3">
        <v>0.53819444444444442</v>
      </c>
      <c r="E63" s="32" t="str">
        <f t="shared" si="0"/>
        <v>RETARDO</v>
      </c>
      <c r="F63" s="32" t="str">
        <f t="shared" si="1"/>
        <v>√</v>
      </c>
    </row>
    <row r="64" spans="1:11" x14ac:dyDescent="0.25">
      <c r="A64" s="1">
        <v>44561</v>
      </c>
      <c r="B64" s="10" t="s">
        <v>10</v>
      </c>
      <c r="C64" s="3">
        <v>0.51388888888888895</v>
      </c>
      <c r="D64" s="3">
        <v>0.51388888888888895</v>
      </c>
      <c r="E64" s="32" t="str">
        <f t="shared" si="0"/>
        <v>√</v>
      </c>
      <c r="F64" s="32" t="str">
        <f t="shared" si="1"/>
        <v>√</v>
      </c>
    </row>
    <row r="65" spans="1:6" x14ac:dyDescent="0.25">
      <c r="A65" s="1"/>
      <c r="B65" s="10"/>
      <c r="C65" s="3"/>
      <c r="D65" s="3"/>
      <c r="E65" s="32" t="str">
        <f t="shared" si="0"/>
        <v/>
      </c>
      <c r="F65" s="32" t="str">
        <f t="shared" si="1"/>
        <v/>
      </c>
    </row>
    <row r="66" spans="1:6" x14ac:dyDescent="0.25">
      <c r="A66" s="1"/>
      <c r="B66" s="10"/>
    </row>
  </sheetData>
  <mergeCells count="6">
    <mergeCell ref="J57:K57"/>
    <mergeCell ref="E2:G2"/>
    <mergeCell ref="J2:K2"/>
    <mergeCell ref="J18:K18"/>
    <mergeCell ref="J29:K29"/>
    <mergeCell ref="J46:K46"/>
  </mergeCells>
  <conditionalFormatting sqref="G4:G45">
    <cfRule type="containsText" dxfId="95" priority="13" operator="containsText" text="PERMISO">
      <formula>NOT(ISERROR(SEARCH("PERMISO",G4)))</formula>
    </cfRule>
    <cfRule type="containsText" dxfId="94" priority="14" operator="containsText" text="RETARDO">
      <formula>NOT(ISERROR(SEARCH("RETARDO",G4)))</formula>
    </cfRule>
    <cfRule type="containsText" dxfId="93" priority="15" operator="containsText" text="FALTA">
      <formula>NOT(ISERROR(SEARCH("FALTA",G4)))</formula>
    </cfRule>
  </conditionalFormatting>
  <conditionalFormatting sqref="I3:K3 E1:G3 E66:G1048576 G4:G65">
    <cfRule type="containsText" dxfId="92" priority="12" operator="containsText" text="√">
      <formula>NOT(ISERROR(SEARCH("√",E1)))</formula>
    </cfRule>
  </conditionalFormatting>
  <conditionalFormatting sqref="E1:F3 E66:F1048576">
    <cfRule type="containsText" dxfId="91" priority="11" operator="containsText" text="DESCANSO">
      <formula>NOT(ISERROR(SEARCH("DESCANSO",E1)))</formula>
    </cfRule>
  </conditionalFormatting>
  <conditionalFormatting sqref="I47:K47">
    <cfRule type="containsText" dxfId="90" priority="10" operator="containsText" text="√">
      <formula>NOT(ISERROR(SEARCH("√",I47)))</formula>
    </cfRule>
  </conditionalFormatting>
  <conditionalFormatting sqref="I58:K58">
    <cfRule type="containsText" dxfId="89" priority="9" operator="containsText" text="√">
      <formula>NOT(ISERROR(SEARCH("√",I58)))</formula>
    </cfRule>
  </conditionalFormatting>
  <conditionalFormatting sqref="I19">
    <cfRule type="containsText" dxfId="88" priority="8" operator="containsText" text="√">
      <formula>NOT(ISERROR(SEARCH("√",I19)))</formula>
    </cfRule>
  </conditionalFormatting>
  <conditionalFormatting sqref="I30:K30">
    <cfRule type="containsText" dxfId="87" priority="7" operator="containsText" text="√">
      <formula>NOT(ISERROR(SEARCH("√",I30)))</formula>
    </cfRule>
  </conditionalFormatting>
  <conditionalFormatting sqref="E4:F65">
    <cfRule type="containsText" dxfId="86" priority="4" operator="containsText" text="PERMISO">
      <formula>NOT(ISERROR(SEARCH("PERMISO",E4)))</formula>
    </cfRule>
    <cfRule type="containsText" dxfId="85" priority="5" operator="containsText" text="RETARDO">
      <formula>NOT(ISERROR(SEARCH("RETARDO",E4)))</formula>
    </cfRule>
    <cfRule type="containsText" dxfId="84" priority="6" operator="containsText" text="FALTA">
      <formula>NOT(ISERROR(SEARCH("FALTA",E4)))</formula>
    </cfRule>
  </conditionalFormatting>
  <conditionalFormatting sqref="E4:F65">
    <cfRule type="containsText" dxfId="83" priority="3" operator="containsText" text="√">
      <formula>NOT(ISERROR(SEARCH("√",E4)))</formula>
    </cfRule>
  </conditionalFormatting>
  <conditionalFormatting sqref="E4:F65">
    <cfRule type="containsText" dxfId="82" priority="2" operator="containsText" text="DESCANSO">
      <formula>NOT(ISERROR(SEARCH("DESCANSO",E4)))</formula>
    </cfRule>
  </conditionalFormatting>
  <conditionalFormatting sqref="J19:K19">
    <cfRule type="containsText" dxfId="81" priority="1" operator="containsText" text="√">
      <formula>NOT(ISERROR(SEARCH("√",J19)))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7" workbookViewId="0">
      <selection activeCell="A64" sqref="A64"/>
    </sheetView>
  </sheetViews>
  <sheetFormatPr baseColWidth="10" defaultColWidth="11.42578125" defaultRowHeight="15" x14ac:dyDescent="0.25"/>
  <cols>
    <col min="2" max="2" width="15.85546875" style="30" bestFit="1" customWidth="1"/>
    <col min="3" max="3" width="11.42578125" style="30" customWidth="1"/>
    <col min="4" max="4" width="13.42578125" style="30" customWidth="1"/>
    <col min="5" max="6" width="11.85546875" style="30" customWidth="1"/>
    <col min="7" max="7" width="9.42578125" style="30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1" ht="15.75" thickBot="1" x14ac:dyDescent="0.3">
      <c r="B1" s="31"/>
      <c r="C1" s="31"/>
      <c r="D1" s="31"/>
      <c r="E1" s="31"/>
      <c r="F1" s="31"/>
      <c r="G1" s="31"/>
    </row>
    <row r="2" spans="1:11" ht="15.75" thickBot="1" x14ac:dyDescent="0.3">
      <c r="B2" s="31"/>
      <c r="C2" s="31"/>
      <c r="D2" s="31"/>
      <c r="E2" s="37"/>
      <c r="F2" s="37"/>
      <c r="G2" s="38"/>
      <c r="J2" s="36" t="s">
        <v>0</v>
      </c>
      <c r="K2" s="36"/>
    </row>
    <row r="3" spans="1:11" ht="15.75" thickBot="1" x14ac:dyDescent="0.3">
      <c r="A3" s="4" t="s">
        <v>1</v>
      </c>
      <c r="B3" s="9" t="s">
        <v>2</v>
      </c>
      <c r="C3" s="5" t="s">
        <v>3</v>
      </c>
      <c r="D3" s="5" t="s">
        <v>4</v>
      </c>
      <c r="E3" s="5" t="s">
        <v>3</v>
      </c>
      <c r="F3" s="21" t="s">
        <v>4</v>
      </c>
      <c r="G3" s="6"/>
      <c r="I3" s="7" t="s">
        <v>5</v>
      </c>
      <c r="J3" s="7" t="s">
        <v>4</v>
      </c>
      <c r="K3" s="7" t="s">
        <v>3</v>
      </c>
    </row>
    <row r="4" spans="1:11" x14ac:dyDescent="0.25">
      <c r="A4" s="1">
        <v>44440</v>
      </c>
      <c r="B4" s="10" t="s">
        <v>6</v>
      </c>
      <c r="C4" s="3">
        <v>0.53472222222222221</v>
      </c>
      <c r="D4" s="3">
        <v>0.53819444444444442</v>
      </c>
      <c r="E4" s="31" t="str">
        <f>IF(EXACT(C4,"F"),"FALTA",IF(EXACT(C4,"D"),"DESCANSO",IF(EXACT(C4,""),"",IF(EXACT(C4,"P"),"PERMISO",IF(IF(WEEKDAY(A4,11)&gt;=4,VALUE(C4)&gt;VALUE("13:00"),VALUE(C4)&gt;VALUE("13:00")),"RETARDO",IF(EXACT(C4,"F"),"FALTA","√"))))))</f>
        <v>√</v>
      </c>
      <c r="F4" s="31" t="str">
        <f>IF(EXACT(D4,"F"),"FALTA",IF(EXACT(D4,"D"),"DESCANSO",IF(EXACT(D4,""),"",IF(EXACT(D4,"P"),"PERMISO",IF(IF(WEEKDAY(A4,11)&gt;=4,VALUE(D4)&gt;VALUE("13:00"),VALUE(D4)&gt;VALUE("13:00")),"RETARDO",IF(EXACT(D4,"F"),"FALTA","√"))))))</f>
        <v>√</v>
      </c>
      <c r="G4" s="31"/>
      <c r="I4" t="s">
        <v>7</v>
      </c>
      <c r="J4">
        <f>COUNTIF($F$4:$F$18,"RETARDO")</f>
        <v>6</v>
      </c>
      <c r="K4">
        <f>COUNTIF(E$4:E$18,"RETARDO")</f>
        <v>1</v>
      </c>
    </row>
    <row r="5" spans="1:11" x14ac:dyDescent="0.25">
      <c r="A5" s="1">
        <v>44441</v>
      </c>
      <c r="B5" s="10" t="s">
        <v>8</v>
      </c>
      <c r="C5" s="3">
        <v>0.54027777777777775</v>
      </c>
      <c r="D5" s="3">
        <v>0.53819444444444442</v>
      </c>
      <c r="E5" s="31" t="str">
        <f t="shared" ref="E5:E65" si="0">IF(EXACT(C5,"F"),"FALTA",IF(EXACT(C5,"D"),"DESCANSO",IF(EXACT(C5,""),"",IF(EXACT(C5,"P"),"PERMISO",IF(IF(WEEKDAY(A5,11)&gt;=4,VALUE(C5)&gt;VALUE("13:00"),VALUE(C5)&gt;VALUE("13:00")),"RETARDO",IF(EXACT(C5,"F"),"FALTA","√"))))))</f>
        <v>√</v>
      </c>
      <c r="F5" s="31" t="str">
        <f t="shared" ref="F5:F65" si="1">IF(EXACT(D5,"F"),"FALTA",IF(EXACT(D5,"D"),"DESCANSO",IF(EXACT(D5,""),"",IF(EXACT(D5,"P"),"PERMISO",IF(IF(WEEKDAY(A5,11)&gt;=4,VALUE(D5)&gt;VALUE("13:00"),VALUE(D5)&gt;VALUE("13:00")),"RETARDO",IF(EXACT(D5,"F"),"FALTA","√"))))))</f>
        <v>√</v>
      </c>
      <c r="G5" s="31"/>
      <c r="I5" t="s">
        <v>9</v>
      </c>
      <c r="J5">
        <f>COUNTIF($F$4:$F$18,"FALTA")</f>
        <v>0</v>
      </c>
      <c r="K5">
        <f>COUNTIF(E$4:E$18,"FALTA")</f>
        <v>0</v>
      </c>
    </row>
    <row r="6" spans="1:11" x14ac:dyDescent="0.25">
      <c r="A6" s="1">
        <v>44442</v>
      </c>
      <c r="B6" s="10" t="s">
        <v>10</v>
      </c>
      <c r="C6" s="3">
        <v>0.52777777777777779</v>
      </c>
      <c r="D6" s="3">
        <v>0.54513888888888895</v>
      </c>
      <c r="E6" s="31" t="str">
        <f t="shared" si="0"/>
        <v>√</v>
      </c>
      <c r="F6" s="31" t="str">
        <f t="shared" si="1"/>
        <v>RETARDO</v>
      </c>
      <c r="G6" s="31"/>
      <c r="I6" t="s">
        <v>11</v>
      </c>
      <c r="J6">
        <f>ROUNDDOWN(J4/3,0)+J5</f>
        <v>2</v>
      </c>
      <c r="K6">
        <f>ROUNDDOWN(K4/3,0)+K5</f>
        <v>0</v>
      </c>
    </row>
    <row r="7" spans="1:11" x14ac:dyDescent="0.25">
      <c r="A7" s="1">
        <v>44443</v>
      </c>
      <c r="B7" s="10" t="s">
        <v>12</v>
      </c>
      <c r="C7" s="3">
        <v>0.53472222222222221</v>
      </c>
      <c r="D7" s="3">
        <v>0.55555555555555558</v>
      </c>
      <c r="E7" s="31" t="str">
        <f t="shared" si="0"/>
        <v>√</v>
      </c>
      <c r="F7" s="31" t="str">
        <f t="shared" si="1"/>
        <v>RETARDO</v>
      </c>
      <c r="G7" s="31"/>
    </row>
    <row r="8" spans="1:11" x14ac:dyDescent="0.25">
      <c r="A8" s="1">
        <v>44444</v>
      </c>
      <c r="B8" s="10" t="s">
        <v>13</v>
      </c>
      <c r="C8" s="3">
        <v>0.52777777777777779</v>
      </c>
      <c r="D8" s="3">
        <v>0.55208333333333337</v>
      </c>
      <c r="E8" s="31" t="str">
        <f t="shared" si="0"/>
        <v>√</v>
      </c>
      <c r="F8" s="31" t="str">
        <f t="shared" si="1"/>
        <v>RETARDO</v>
      </c>
      <c r="G8" s="31"/>
    </row>
    <row r="9" spans="1:11" x14ac:dyDescent="0.25">
      <c r="A9" s="1">
        <v>44445</v>
      </c>
      <c r="B9" s="10" t="s">
        <v>14</v>
      </c>
      <c r="C9" s="3">
        <v>0.52777777777777779</v>
      </c>
      <c r="D9" s="3" t="s">
        <v>15</v>
      </c>
      <c r="E9" s="31" t="str">
        <f t="shared" si="0"/>
        <v>√</v>
      </c>
      <c r="F9" s="31" t="str">
        <f t="shared" si="1"/>
        <v>DESCANSO</v>
      </c>
      <c r="G9" s="31"/>
    </row>
    <row r="10" spans="1:11" x14ac:dyDescent="0.25">
      <c r="A10" s="1">
        <v>44446</v>
      </c>
      <c r="B10" s="10" t="s">
        <v>16</v>
      </c>
      <c r="C10" s="3" t="s">
        <v>15</v>
      </c>
      <c r="D10" s="3">
        <v>0.55208333333333337</v>
      </c>
      <c r="E10" s="31" t="str">
        <f t="shared" si="0"/>
        <v>DESCANSO</v>
      </c>
      <c r="F10" s="31" t="str">
        <f t="shared" si="1"/>
        <v>RETARDO</v>
      </c>
      <c r="G10" s="31"/>
    </row>
    <row r="11" spans="1:11" x14ac:dyDescent="0.25">
      <c r="A11" s="1">
        <v>44447</v>
      </c>
      <c r="B11" s="10" t="s">
        <v>17</v>
      </c>
      <c r="C11" s="3">
        <v>0.5541666666666667</v>
      </c>
      <c r="D11" s="3">
        <v>0.53819444444444442</v>
      </c>
      <c r="E11" s="31" t="str">
        <f t="shared" si="0"/>
        <v>RETARDO</v>
      </c>
      <c r="F11" s="31" t="str">
        <f t="shared" si="1"/>
        <v>√</v>
      </c>
      <c r="G11" s="31"/>
    </row>
    <row r="12" spans="1:11" x14ac:dyDescent="0.25">
      <c r="A12" s="1">
        <v>44448</v>
      </c>
      <c r="B12" s="10" t="s">
        <v>8</v>
      </c>
      <c r="C12" s="3">
        <v>0.53125</v>
      </c>
      <c r="D12" s="3">
        <v>0.53819444444444442</v>
      </c>
      <c r="E12" s="31" t="str">
        <f t="shared" si="0"/>
        <v>√</v>
      </c>
      <c r="F12" s="31" t="str">
        <f t="shared" si="1"/>
        <v>√</v>
      </c>
      <c r="G12" s="31"/>
    </row>
    <row r="13" spans="1:11" x14ac:dyDescent="0.25">
      <c r="A13" s="1">
        <v>44449</v>
      </c>
      <c r="B13" s="10" t="s">
        <v>10</v>
      </c>
      <c r="C13" s="3">
        <v>0.52500000000000002</v>
      </c>
      <c r="D13" s="3">
        <v>0.54097222222222219</v>
      </c>
      <c r="E13" s="31" t="str">
        <f t="shared" si="0"/>
        <v>√</v>
      </c>
      <c r="F13" s="31" t="str">
        <f t="shared" si="1"/>
        <v>√</v>
      </c>
      <c r="G13" s="31" t="s">
        <v>18</v>
      </c>
    </row>
    <row r="14" spans="1:11" x14ac:dyDescent="0.25">
      <c r="A14" s="1">
        <v>44450</v>
      </c>
      <c r="B14" s="10" t="s">
        <v>12</v>
      </c>
      <c r="C14" s="3">
        <v>0.52777777777777779</v>
      </c>
      <c r="D14" s="3">
        <v>0.54166666666666663</v>
      </c>
      <c r="E14" s="31" t="str">
        <f t="shared" si="0"/>
        <v>√</v>
      </c>
      <c r="F14" s="31" t="str">
        <f t="shared" si="1"/>
        <v>√</v>
      </c>
      <c r="G14" s="31"/>
    </row>
    <row r="15" spans="1:11" x14ac:dyDescent="0.25">
      <c r="A15" s="1">
        <v>44451</v>
      </c>
      <c r="B15" s="10" t="s">
        <v>13</v>
      </c>
      <c r="C15" s="3">
        <v>0.53125</v>
      </c>
      <c r="D15" s="3">
        <v>0.54722222222222217</v>
      </c>
      <c r="E15" s="31" t="str">
        <f t="shared" si="0"/>
        <v>√</v>
      </c>
      <c r="F15" s="31" t="str">
        <f t="shared" si="1"/>
        <v>RETARDO</v>
      </c>
      <c r="G15" s="31"/>
    </row>
    <row r="16" spans="1:11" x14ac:dyDescent="0.25">
      <c r="A16" s="1">
        <v>44452</v>
      </c>
      <c r="B16" s="10" t="s">
        <v>14</v>
      </c>
      <c r="C16" s="3">
        <v>0.53472222222222221</v>
      </c>
      <c r="D16" s="3" t="s">
        <v>15</v>
      </c>
      <c r="E16" s="31" t="str">
        <f t="shared" si="0"/>
        <v>√</v>
      </c>
      <c r="F16" s="31" t="str">
        <f t="shared" si="1"/>
        <v>DESCANSO</v>
      </c>
      <c r="G16" s="31"/>
    </row>
    <row r="17" spans="1:14" x14ac:dyDescent="0.25">
      <c r="A17" s="1">
        <v>44453</v>
      </c>
      <c r="B17" s="10" t="s">
        <v>16</v>
      </c>
      <c r="C17" s="3" t="s">
        <v>15</v>
      </c>
      <c r="D17" s="3">
        <v>0.53472222222222221</v>
      </c>
      <c r="E17" s="31" t="str">
        <f t="shared" si="0"/>
        <v>DESCANSO</v>
      </c>
      <c r="F17" s="31" t="str">
        <f t="shared" si="1"/>
        <v>√</v>
      </c>
      <c r="G17" s="31"/>
    </row>
    <row r="18" spans="1:14" x14ac:dyDescent="0.25">
      <c r="A18" s="1">
        <v>44454</v>
      </c>
      <c r="B18" s="10" t="s">
        <v>17</v>
      </c>
      <c r="C18" s="3">
        <v>0.53472222222222221</v>
      </c>
      <c r="D18" s="3">
        <v>0.54513888888888895</v>
      </c>
      <c r="E18" s="31" t="str">
        <f t="shared" si="0"/>
        <v>√</v>
      </c>
      <c r="F18" s="31" t="str">
        <f t="shared" si="1"/>
        <v>RETARDO</v>
      </c>
      <c r="G18" s="31"/>
      <c r="J18" s="36" t="s">
        <v>19</v>
      </c>
      <c r="K18" s="36"/>
    </row>
    <row r="19" spans="1:14" x14ac:dyDescent="0.25">
      <c r="A19" s="1">
        <v>44455</v>
      </c>
      <c r="B19" s="10" t="s">
        <v>8</v>
      </c>
      <c r="C19" s="3">
        <v>0.53125</v>
      </c>
      <c r="D19" s="3">
        <v>0.54097222222222219</v>
      </c>
      <c r="E19" s="31" t="str">
        <f t="shared" si="0"/>
        <v>√</v>
      </c>
      <c r="F19" s="31" t="str">
        <f t="shared" si="1"/>
        <v>√</v>
      </c>
      <c r="G19" s="31"/>
      <c r="I19" s="7" t="s">
        <v>5</v>
      </c>
      <c r="J19" s="7" t="s">
        <v>4</v>
      </c>
      <c r="K19" s="7" t="s">
        <v>3</v>
      </c>
    </row>
    <row r="20" spans="1:14" x14ac:dyDescent="0.25">
      <c r="A20" s="1">
        <v>44456</v>
      </c>
      <c r="B20" s="10" t="s">
        <v>10</v>
      </c>
      <c r="C20" s="3">
        <v>0.53125</v>
      </c>
      <c r="D20" s="3">
        <v>0.54166666666666663</v>
      </c>
      <c r="E20" s="31" t="str">
        <f t="shared" si="0"/>
        <v>√</v>
      </c>
      <c r="F20" s="31" t="str">
        <f t="shared" si="1"/>
        <v>√</v>
      </c>
      <c r="G20" s="31"/>
      <c r="I20" t="s">
        <v>7</v>
      </c>
      <c r="J20">
        <f>COUNTIF($F$19:$F$33,"RETARDO")</f>
        <v>5</v>
      </c>
      <c r="K20">
        <f>COUNTIF(E$19:E$33,"RETARDO")</f>
        <v>1</v>
      </c>
    </row>
    <row r="21" spans="1:14" x14ac:dyDescent="0.25">
      <c r="A21" s="1">
        <v>44457</v>
      </c>
      <c r="B21" s="10" t="s">
        <v>12</v>
      </c>
      <c r="C21" s="3">
        <v>0.53125</v>
      </c>
      <c r="D21" s="3">
        <v>0.5625</v>
      </c>
      <c r="E21" s="31" t="str">
        <f t="shared" si="0"/>
        <v>√</v>
      </c>
      <c r="F21" s="31" t="str">
        <f t="shared" si="1"/>
        <v>RETARDO</v>
      </c>
      <c r="G21" s="31"/>
      <c r="I21" t="s">
        <v>9</v>
      </c>
      <c r="J21">
        <f>COUNTIF($F$19:$F$33,"FALTA")</f>
        <v>0</v>
      </c>
      <c r="K21">
        <f>COUNTIF(E$19:E$33,"FALTA")</f>
        <v>0</v>
      </c>
    </row>
    <row r="22" spans="1:14" x14ac:dyDescent="0.25">
      <c r="A22" s="1">
        <v>44458</v>
      </c>
      <c r="B22" s="10" t="s">
        <v>13</v>
      </c>
      <c r="C22" s="3">
        <v>0.53125</v>
      </c>
      <c r="D22" s="3">
        <v>0.53472222222222221</v>
      </c>
      <c r="E22" s="31" t="str">
        <f t="shared" si="0"/>
        <v>√</v>
      </c>
      <c r="F22" s="31" t="str">
        <f t="shared" si="1"/>
        <v>√</v>
      </c>
      <c r="G22" s="31"/>
      <c r="I22" t="s">
        <v>11</v>
      </c>
      <c r="J22">
        <f>ROUNDDOWN(J20/3,0)+J21</f>
        <v>1</v>
      </c>
      <c r="K22">
        <f>ROUNDDOWN(K20/3,0)+K21</f>
        <v>0</v>
      </c>
    </row>
    <row r="23" spans="1:14" x14ac:dyDescent="0.25">
      <c r="A23" s="1">
        <v>44459</v>
      </c>
      <c r="B23" s="10" t="s">
        <v>14</v>
      </c>
      <c r="C23" s="3">
        <v>0.52430555555555558</v>
      </c>
      <c r="D23" s="3" t="s">
        <v>15</v>
      </c>
      <c r="E23" s="31" t="str">
        <f t="shared" si="0"/>
        <v>√</v>
      </c>
      <c r="F23" s="31" t="str">
        <f t="shared" si="1"/>
        <v>DESCANSO</v>
      </c>
      <c r="G23" s="31"/>
      <c r="N23" s="1"/>
    </row>
    <row r="24" spans="1:14" x14ac:dyDescent="0.25">
      <c r="A24" s="1">
        <v>44460</v>
      </c>
      <c r="B24" s="10" t="s">
        <v>16</v>
      </c>
      <c r="C24" s="3" t="s">
        <v>15</v>
      </c>
      <c r="D24" s="3">
        <v>0.53680555555555554</v>
      </c>
      <c r="E24" s="31" t="str">
        <f t="shared" si="0"/>
        <v>DESCANSO</v>
      </c>
      <c r="F24" s="31" t="str">
        <f t="shared" si="1"/>
        <v>√</v>
      </c>
      <c r="G24" s="31"/>
      <c r="N24" s="1"/>
    </row>
    <row r="25" spans="1:14" x14ac:dyDescent="0.25">
      <c r="A25" s="1">
        <v>44461</v>
      </c>
      <c r="B25" s="10" t="s">
        <v>17</v>
      </c>
      <c r="C25" s="3">
        <v>0.54999999999999993</v>
      </c>
      <c r="D25" s="3">
        <v>0.53472222222222221</v>
      </c>
      <c r="E25" s="31" t="str">
        <f t="shared" si="0"/>
        <v>RETARDO</v>
      </c>
      <c r="F25" s="31" t="str">
        <f t="shared" si="1"/>
        <v>√</v>
      </c>
      <c r="G25" s="31"/>
      <c r="N25" s="1"/>
    </row>
    <row r="26" spans="1:14" x14ac:dyDescent="0.25">
      <c r="A26" s="1">
        <v>44462</v>
      </c>
      <c r="B26" s="10" t="s">
        <v>8</v>
      </c>
      <c r="C26" s="3">
        <v>0.53333333333333333</v>
      </c>
      <c r="D26" s="3">
        <v>0.54097222222222219</v>
      </c>
      <c r="E26" s="31" t="str">
        <f t="shared" si="0"/>
        <v>√</v>
      </c>
      <c r="F26" s="31" t="str">
        <f t="shared" si="1"/>
        <v>√</v>
      </c>
      <c r="G26" s="31"/>
      <c r="N26" s="1"/>
    </row>
    <row r="27" spans="1:14" x14ac:dyDescent="0.25">
      <c r="A27" s="1">
        <v>44463</v>
      </c>
      <c r="B27" s="10" t="s">
        <v>10</v>
      </c>
      <c r="C27" s="3">
        <v>0.52777777777777779</v>
      </c>
      <c r="D27" s="3">
        <v>0.55208333333333337</v>
      </c>
      <c r="E27" s="31" t="str">
        <f t="shared" si="0"/>
        <v>√</v>
      </c>
      <c r="F27" s="31" t="str">
        <f t="shared" si="1"/>
        <v>RETARDO</v>
      </c>
      <c r="G27" s="31"/>
    </row>
    <row r="28" spans="1:14" ht="15" customHeight="1" x14ac:dyDescent="0.25">
      <c r="A28" s="1">
        <v>44464</v>
      </c>
      <c r="B28" s="10" t="s">
        <v>12</v>
      </c>
      <c r="C28" s="3">
        <v>0.52916666666666667</v>
      </c>
      <c r="D28" s="3">
        <v>0.55555555555555558</v>
      </c>
      <c r="E28" s="31" t="str">
        <f t="shared" si="0"/>
        <v>√</v>
      </c>
      <c r="F28" s="31" t="str">
        <f t="shared" si="1"/>
        <v>RETARDO</v>
      </c>
      <c r="G28" s="31"/>
    </row>
    <row r="29" spans="1:14" ht="15" customHeight="1" x14ac:dyDescent="0.25">
      <c r="A29" s="1">
        <v>44465</v>
      </c>
      <c r="B29" s="10" t="s">
        <v>13</v>
      </c>
      <c r="C29" s="3">
        <v>0.52916666666666667</v>
      </c>
      <c r="D29" s="3">
        <v>0.54652777777777783</v>
      </c>
      <c r="E29" s="31" t="str">
        <f t="shared" si="0"/>
        <v>√</v>
      </c>
      <c r="F29" s="31" t="str">
        <f t="shared" si="1"/>
        <v>RETARDO</v>
      </c>
      <c r="G29" s="31"/>
      <c r="J29" s="36" t="s">
        <v>20</v>
      </c>
      <c r="K29" s="36"/>
    </row>
    <row r="30" spans="1:14" ht="15" customHeight="1" x14ac:dyDescent="0.25">
      <c r="A30" s="1">
        <v>44466</v>
      </c>
      <c r="B30" s="10" t="s">
        <v>14</v>
      </c>
      <c r="C30" s="3">
        <v>0.52777777777777779</v>
      </c>
      <c r="D30" s="3">
        <v>0.54097222222222219</v>
      </c>
      <c r="E30" s="31" t="str">
        <f t="shared" si="0"/>
        <v>√</v>
      </c>
      <c r="F30" s="31" t="str">
        <f t="shared" si="1"/>
        <v>√</v>
      </c>
      <c r="G30" s="31"/>
      <c r="I30" s="7" t="s">
        <v>5</v>
      </c>
      <c r="J30" s="7" t="s">
        <v>4</v>
      </c>
      <c r="K30" s="7" t="s">
        <v>3</v>
      </c>
    </row>
    <row r="31" spans="1:14" x14ac:dyDescent="0.25">
      <c r="A31" s="1">
        <v>44467</v>
      </c>
      <c r="B31" s="10" t="s">
        <v>16</v>
      </c>
      <c r="C31" s="3" t="s">
        <v>15</v>
      </c>
      <c r="D31" s="3">
        <v>0.54513888888888895</v>
      </c>
      <c r="E31" s="31" t="str">
        <f t="shared" si="0"/>
        <v>DESCANSO</v>
      </c>
      <c r="F31" s="31" t="str">
        <f t="shared" si="1"/>
        <v>RETARDO</v>
      </c>
      <c r="G31" s="31"/>
      <c r="I31" t="s">
        <v>7</v>
      </c>
      <c r="J31">
        <f>COUNTIF($F$34:$F$48,"RETARDO")</f>
        <v>3</v>
      </c>
      <c r="K31">
        <f>COUNTIF(E$34:E$48,"RETARDO")</f>
        <v>2</v>
      </c>
    </row>
    <row r="32" spans="1:14" x14ac:dyDescent="0.25">
      <c r="A32" s="1">
        <v>44468</v>
      </c>
      <c r="B32" s="10" t="s">
        <v>17</v>
      </c>
      <c r="C32" s="3">
        <v>0.52777777777777779</v>
      </c>
      <c r="D32" s="3" t="s">
        <v>15</v>
      </c>
      <c r="E32" s="31" t="str">
        <f t="shared" si="0"/>
        <v>√</v>
      </c>
      <c r="F32" s="31" t="str">
        <f t="shared" si="1"/>
        <v>DESCANSO</v>
      </c>
      <c r="G32" s="31"/>
      <c r="I32" t="s">
        <v>9</v>
      </c>
      <c r="J32">
        <f>COUNTIF($F$34:$F$48,"FALTA")</f>
        <v>1</v>
      </c>
      <c r="K32">
        <f>COUNTIF(E$34:E$48,"FALTA")</f>
        <v>3</v>
      </c>
    </row>
    <row r="33" spans="1:13" x14ac:dyDescent="0.25">
      <c r="A33" s="1">
        <v>44469</v>
      </c>
      <c r="B33" s="10" t="s">
        <v>8</v>
      </c>
      <c r="C33" s="3">
        <v>0.53125</v>
      </c>
      <c r="D33" s="3">
        <v>0.53472222222222221</v>
      </c>
      <c r="E33" s="31" t="str">
        <f t="shared" si="0"/>
        <v>√</v>
      </c>
      <c r="F33" s="31" t="str">
        <f t="shared" si="1"/>
        <v>√</v>
      </c>
      <c r="G33" s="31"/>
      <c r="I33" t="s">
        <v>11</v>
      </c>
      <c r="J33">
        <f>ROUNDDOWN(J31/3,0)+J32</f>
        <v>2</v>
      </c>
      <c r="K33">
        <f>ROUNDDOWN(K31/3,0)+K32</f>
        <v>3</v>
      </c>
    </row>
    <row r="34" spans="1:13" x14ac:dyDescent="0.25">
      <c r="A34" s="1">
        <v>44470</v>
      </c>
      <c r="B34" s="10" t="s">
        <v>10</v>
      </c>
      <c r="C34" s="3">
        <v>0.52777777777777779</v>
      </c>
      <c r="D34" s="3">
        <v>0.56944444444444442</v>
      </c>
      <c r="E34" s="31" t="str">
        <f t="shared" si="0"/>
        <v>√</v>
      </c>
      <c r="F34" s="31" t="str">
        <f t="shared" si="1"/>
        <v>RETARDO</v>
      </c>
      <c r="G34" s="31"/>
    </row>
    <row r="35" spans="1:13" x14ac:dyDescent="0.25">
      <c r="A35" s="1">
        <v>44471</v>
      </c>
      <c r="B35" s="10" t="s">
        <v>12</v>
      </c>
      <c r="C35" s="3">
        <v>0.52777777777777779</v>
      </c>
      <c r="D35" s="3">
        <v>0.53472222222222221</v>
      </c>
      <c r="E35" s="31" t="str">
        <f t="shared" si="0"/>
        <v>√</v>
      </c>
      <c r="F35" s="31" t="str">
        <f t="shared" si="1"/>
        <v>√</v>
      </c>
      <c r="G35" s="31"/>
      <c r="M35" t="s">
        <v>18</v>
      </c>
    </row>
    <row r="36" spans="1:13" x14ac:dyDescent="0.25">
      <c r="A36" s="1">
        <v>44472</v>
      </c>
      <c r="B36" s="10" t="s">
        <v>13</v>
      </c>
      <c r="C36" s="3">
        <v>0.55208333333333337</v>
      </c>
      <c r="D36" s="3">
        <v>0.53472222222222221</v>
      </c>
      <c r="E36" s="31" t="str">
        <f t="shared" si="0"/>
        <v>RETARDO</v>
      </c>
      <c r="F36" s="31" t="str">
        <f t="shared" si="1"/>
        <v>√</v>
      </c>
      <c r="G36" s="31"/>
    </row>
    <row r="37" spans="1:13" x14ac:dyDescent="0.25">
      <c r="A37" s="1">
        <v>44473</v>
      </c>
      <c r="B37" s="10" t="s">
        <v>14</v>
      </c>
      <c r="C37" s="3">
        <v>0.53472222222222221</v>
      </c>
      <c r="D37" s="3" t="s">
        <v>15</v>
      </c>
      <c r="E37" s="31" t="str">
        <f t="shared" si="0"/>
        <v>√</v>
      </c>
      <c r="F37" s="31" t="str">
        <f t="shared" si="1"/>
        <v>DESCANSO</v>
      </c>
      <c r="G37" s="31"/>
    </row>
    <row r="38" spans="1:13" x14ac:dyDescent="0.25">
      <c r="A38" s="1">
        <v>44474</v>
      </c>
      <c r="B38" s="10" t="s">
        <v>16</v>
      </c>
      <c r="C38" s="3" t="s">
        <v>15</v>
      </c>
      <c r="D38" s="3">
        <v>0.54027777777777775</v>
      </c>
      <c r="E38" s="31" t="str">
        <f t="shared" si="0"/>
        <v>DESCANSO</v>
      </c>
      <c r="F38" s="31" t="str">
        <f t="shared" si="1"/>
        <v>√</v>
      </c>
      <c r="G38" s="31"/>
    </row>
    <row r="39" spans="1:13" x14ac:dyDescent="0.25">
      <c r="A39" s="1">
        <v>44475</v>
      </c>
      <c r="B39" s="10" t="s">
        <v>17</v>
      </c>
      <c r="C39" s="3">
        <v>0.55486111111111114</v>
      </c>
      <c r="D39" s="3">
        <v>0.53888888888888886</v>
      </c>
      <c r="E39" s="31" t="str">
        <f t="shared" si="0"/>
        <v>RETARDO</v>
      </c>
      <c r="F39" s="31" t="str">
        <f t="shared" si="1"/>
        <v>√</v>
      </c>
      <c r="G39" s="31"/>
    </row>
    <row r="40" spans="1:13" x14ac:dyDescent="0.25">
      <c r="A40" s="1">
        <v>44476</v>
      </c>
      <c r="B40" s="10" t="s">
        <v>8</v>
      </c>
      <c r="C40" s="3">
        <v>0.51597222222222217</v>
      </c>
      <c r="D40" s="3">
        <v>0.54513888888888895</v>
      </c>
      <c r="E40" s="31" t="str">
        <f t="shared" si="0"/>
        <v>√</v>
      </c>
      <c r="F40" s="31" t="str">
        <f t="shared" si="1"/>
        <v>RETARDO</v>
      </c>
      <c r="G40" s="31"/>
    </row>
    <row r="41" spans="1:13" x14ac:dyDescent="0.25">
      <c r="A41" s="1">
        <v>44477</v>
      </c>
      <c r="B41" s="10" t="s">
        <v>10</v>
      </c>
      <c r="C41" s="3">
        <v>0.53125</v>
      </c>
      <c r="D41" s="3">
        <v>0.55208333333333337</v>
      </c>
      <c r="E41" s="31" t="str">
        <f t="shared" si="0"/>
        <v>√</v>
      </c>
      <c r="F41" s="31" t="str">
        <f t="shared" si="1"/>
        <v>RETARDO</v>
      </c>
      <c r="G41" s="31"/>
    </row>
    <row r="42" spans="1:13" x14ac:dyDescent="0.25">
      <c r="A42" s="1">
        <v>44478</v>
      </c>
      <c r="B42" s="10" t="s">
        <v>12</v>
      </c>
      <c r="C42" s="3">
        <v>0.54166666666666663</v>
      </c>
      <c r="D42" s="3" t="s">
        <v>110</v>
      </c>
      <c r="E42" s="31" t="str">
        <f t="shared" si="0"/>
        <v>√</v>
      </c>
      <c r="F42" s="31" t="str">
        <f t="shared" si="1"/>
        <v>FALTA</v>
      </c>
      <c r="G42" s="31"/>
    </row>
    <row r="43" spans="1:13" x14ac:dyDescent="0.25">
      <c r="A43" s="1">
        <v>44479</v>
      </c>
      <c r="B43" s="10" t="s">
        <v>13</v>
      </c>
      <c r="C43" s="3">
        <v>0.53472222222222221</v>
      </c>
      <c r="D43" s="3" t="s">
        <v>113</v>
      </c>
      <c r="E43" s="31" t="str">
        <f t="shared" si="0"/>
        <v>√</v>
      </c>
      <c r="F43" s="31" t="str">
        <f t="shared" si="1"/>
        <v>PERMISO</v>
      </c>
      <c r="G43" s="31"/>
    </row>
    <row r="44" spans="1:13" x14ac:dyDescent="0.25">
      <c r="A44" s="1">
        <v>44480</v>
      </c>
      <c r="B44" s="10" t="s">
        <v>14</v>
      </c>
      <c r="C44" s="3" t="s">
        <v>15</v>
      </c>
      <c r="D44" s="3" t="s">
        <v>15</v>
      </c>
      <c r="E44" s="31" t="str">
        <f t="shared" si="0"/>
        <v>DESCANSO</v>
      </c>
      <c r="F44" s="31" t="str">
        <f t="shared" si="1"/>
        <v>DESCANSO</v>
      </c>
      <c r="G44" s="31"/>
    </row>
    <row r="45" spans="1:13" x14ac:dyDescent="0.25">
      <c r="A45" s="1">
        <v>44481</v>
      </c>
      <c r="B45" s="10" t="s">
        <v>16</v>
      </c>
      <c r="C45" s="3" t="s">
        <v>113</v>
      </c>
      <c r="D45" s="3">
        <v>0.52777777777777779</v>
      </c>
      <c r="E45" s="31" t="str">
        <f t="shared" si="0"/>
        <v>PERMISO</v>
      </c>
      <c r="F45" s="31" t="str">
        <f t="shared" si="1"/>
        <v>√</v>
      </c>
      <c r="G45" s="31"/>
    </row>
    <row r="46" spans="1:13" x14ac:dyDescent="0.25">
      <c r="A46" s="1">
        <v>44482</v>
      </c>
      <c r="B46" s="10" t="s">
        <v>17</v>
      </c>
      <c r="C46" s="3" t="s">
        <v>110</v>
      </c>
      <c r="D46" s="3">
        <v>0.53125</v>
      </c>
      <c r="E46" s="31" t="str">
        <f t="shared" si="0"/>
        <v>FALTA</v>
      </c>
      <c r="F46" s="31" t="str">
        <f t="shared" si="1"/>
        <v>√</v>
      </c>
      <c r="G46" s="31"/>
      <c r="J46" s="36" t="s">
        <v>140</v>
      </c>
      <c r="K46" s="36"/>
    </row>
    <row r="47" spans="1:13" x14ac:dyDescent="0.25">
      <c r="A47" s="1">
        <v>44483</v>
      </c>
      <c r="B47" s="10" t="s">
        <v>8</v>
      </c>
      <c r="C47" s="3" t="s">
        <v>110</v>
      </c>
      <c r="D47" s="3">
        <v>0.53263888888888888</v>
      </c>
      <c r="E47" s="31" t="str">
        <f t="shared" si="0"/>
        <v>FALTA</v>
      </c>
      <c r="F47" s="31" t="str">
        <f t="shared" si="1"/>
        <v>√</v>
      </c>
      <c r="G47" s="31"/>
      <c r="I47" s="7" t="s">
        <v>5</v>
      </c>
      <c r="J47" s="7" t="s">
        <v>4</v>
      </c>
      <c r="K47" s="7" t="s">
        <v>3</v>
      </c>
    </row>
    <row r="48" spans="1:13" x14ac:dyDescent="0.25">
      <c r="A48" s="1">
        <v>44484</v>
      </c>
      <c r="B48" s="10" t="s">
        <v>10</v>
      </c>
      <c r="C48" s="3" t="s">
        <v>110</v>
      </c>
      <c r="D48" s="3">
        <v>0.52777777777777779</v>
      </c>
      <c r="E48" s="31" t="str">
        <f t="shared" si="0"/>
        <v>FALTA</v>
      </c>
      <c r="F48" s="31" t="str">
        <f t="shared" si="1"/>
        <v>√</v>
      </c>
      <c r="G48" s="31"/>
      <c r="I48" t="s">
        <v>7</v>
      </c>
      <c r="J48">
        <f>COUNTIF(F$49:F$64,"RETARDO")</f>
        <v>5</v>
      </c>
      <c r="K48">
        <f>COUNTIF(E$49:E$65,"RETARDO")</f>
        <v>2</v>
      </c>
    </row>
    <row r="49" spans="1:11" x14ac:dyDescent="0.25">
      <c r="A49" s="1">
        <v>44485</v>
      </c>
      <c r="B49" s="10" t="s">
        <v>12</v>
      </c>
      <c r="C49" s="3" t="s">
        <v>110</v>
      </c>
      <c r="D49" s="3">
        <v>0.53472222222222221</v>
      </c>
      <c r="E49" s="31" t="str">
        <f t="shared" si="0"/>
        <v>FALTA</v>
      </c>
      <c r="F49" s="31" t="str">
        <f t="shared" si="1"/>
        <v>√</v>
      </c>
      <c r="G49" s="31"/>
      <c r="I49" t="s">
        <v>9</v>
      </c>
      <c r="J49">
        <f>COUNTIF(F$49:F$65,"FALTA")</f>
        <v>0</v>
      </c>
      <c r="K49">
        <f>COUNTIF(E$49:E$65,"FALTA")</f>
        <v>2</v>
      </c>
    </row>
    <row r="50" spans="1:11" x14ac:dyDescent="0.25">
      <c r="A50" s="1">
        <v>44486</v>
      </c>
      <c r="B50" s="10" t="s">
        <v>13</v>
      </c>
      <c r="C50" s="3" t="s">
        <v>110</v>
      </c>
      <c r="D50" s="3">
        <v>0.54722222222222217</v>
      </c>
      <c r="E50" s="31" t="str">
        <f t="shared" si="0"/>
        <v>FALTA</v>
      </c>
      <c r="F50" s="31" t="str">
        <f t="shared" si="1"/>
        <v>RETARDO</v>
      </c>
      <c r="G50" s="31"/>
      <c r="I50" t="s">
        <v>11</v>
      </c>
      <c r="J50">
        <f>ROUNDDOWN(J48/3,0)+J49</f>
        <v>1</v>
      </c>
      <c r="K50">
        <f>ROUNDDOWN(K48/3,0)+K49</f>
        <v>2</v>
      </c>
    </row>
    <row r="51" spans="1:11" x14ac:dyDescent="0.25">
      <c r="A51" s="1">
        <v>44487</v>
      </c>
      <c r="B51" s="10" t="s">
        <v>14</v>
      </c>
      <c r="C51" s="3">
        <v>0.51388888888888895</v>
      </c>
      <c r="D51" s="3">
        <v>0.54166666666666663</v>
      </c>
      <c r="E51" s="31" t="str">
        <f t="shared" si="0"/>
        <v>√</v>
      </c>
      <c r="F51" s="31" t="str">
        <f t="shared" si="1"/>
        <v>√</v>
      </c>
      <c r="G51" s="31"/>
    </row>
    <row r="52" spans="1:11" x14ac:dyDescent="0.25">
      <c r="A52" s="1">
        <v>44488</v>
      </c>
      <c r="B52" s="10" t="s">
        <v>16</v>
      </c>
      <c r="C52" s="3">
        <v>0.53125</v>
      </c>
      <c r="D52" s="3" t="s">
        <v>15</v>
      </c>
      <c r="E52" s="31" t="str">
        <f t="shared" si="0"/>
        <v>√</v>
      </c>
      <c r="F52" s="31" t="str">
        <f t="shared" si="1"/>
        <v>DESCANSO</v>
      </c>
      <c r="G52" s="31"/>
    </row>
    <row r="53" spans="1:11" x14ac:dyDescent="0.25">
      <c r="A53" s="1">
        <v>44489</v>
      </c>
      <c r="B53" s="10" t="s">
        <v>17</v>
      </c>
      <c r="C53" s="3" t="s">
        <v>15</v>
      </c>
      <c r="D53" s="3">
        <v>0.52777777777777779</v>
      </c>
      <c r="E53" s="31" t="str">
        <f t="shared" si="0"/>
        <v>DESCANSO</v>
      </c>
      <c r="F53" s="31" t="str">
        <f t="shared" si="1"/>
        <v>√</v>
      </c>
      <c r="G53" s="31"/>
    </row>
    <row r="54" spans="1:11" x14ac:dyDescent="0.25">
      <c r="A54" s="1">
        <v>44490</v>
      </c>
      <c r="B54" s="10" t="s">
        <v>8</v>
      </c>
      <c r="C54" s="3">
        <v>0.54861111111111105</v>
      </c>
      <c r="D54" s="3">
        <v>0.53472222222222221</v>
      </c>
      <c r="E54" s="31" t="str">
        <f t="shared" si="0"/>
        <v>RETARDO</v>
      </c>
      <c r="F54" s="31" t="str">
        <f t="shared" si="1"/>
        <v>√</v>
      </c>
      <c r="G54" s="31"/>
    </row>
    <row r="55" spans="1:11" x14ac:dyDescent="0.25">
      <c r="A55" s="1">
        <v>44491</v>
      </c>
      <c r="B55" s="10" t="s">
        <v>10</v>
      </c>
      <c r="C55" s="3">
        <v>0.53125</v>
      </c>
      <c r="D55" s="27">
        <v>0.54166666666666663</v>
      </c>
      <c r="E55" s="31" t="str">
        <f t="shared" si="0"/>
        <v>√</v>
      </c>
      <c r="F55" s="31" t="str">
        <f t="shared" si="1"/>
        <v>√</v>
      </c>
      <c r="G55" s="31"/>
    </row>
    <row r="56" spans="1:11" x14ac:dyDescent="0.25">
      <c r="A56" s="1">
        <v>44492</v>
      </c>
      <c r="B56" s="10" t="s">
        <v>12</v>
      </c>
      <c r="C56" s="3">
        <v>0.53125</v>
      </c>
      <c r="D56" s="3">
        <v>0.53819444444444442</v>
      </c>
      <c r="E56" s="31" t="str">
        <f t="shared" si="0"/>
        <v>√</v>
      </c>
      <c r="F56" s="31" t="str">
        <f t="shared" si="1"/>
        <v>√</v>
      </c>
      <c r="G56" s="31"/>
    </row>
    <row r="57" spans="1:11" x14ac:dyDescent="0.25">
      <c r="A57" s="1">
        <v>44493</v>
      </c>
      <c r="B57" s="10" t="s">
        <v>13</v>
      </c>
      <c r="C57" s="3">
        <v>0.52777777777777779</v>
      </c>
      <c r="D57" s="27">
        <v>0.53819444444444442</v>
      </c>
      <c r="E57" s="31" t="str">
        <f t="shared" si="0"/>
        <v>√</v>
      </c>
      <c r="F57" s="31" t="str">
        <f t="shared" si="1"/>
        <v>√</v>
      </c>
      <c r="G57" s="31"/>
      <c r="J57" s="36" t="s">
        <v>22</v>
      </c>
      <c r="K57" s="36"/>
    </row>
    <row r="58" spans="1:11" x14ac:dyDescent="0.25">
      <c r="A58" s="1">
        <v>44494</v>
      </c>
      <c r="B58" s="10" t="s">
        <v>14</v>
      </c>
      <c r="C58" s="3">
        <v>0.52777777777777779</v>
      </c>
      <c r="D58" s="3" t="s">
        <v>15</v>
      </c>
      <c r="E58" s="31" t="str">
        <f t="shared" si="0"/>
        <v>√</v>
      </c>
      <c r="F58" s="31" t="str">
        <f t="shared" si="1"/>
        <v>DESCANSO</v>
      </c>
      <c r="G58" s="31"/>
      <c r="I58" s="7" t="s">
        <v>5</v>
      </c>
      <c r="J58" s="7" t="s">
        <v>23</v>
      </c>
      <c r="K58" s="7" t="s">
        <v>24</v>
      </c>
    </row>
    <row r="59" spans="1:11" x14ac:dyDescent="0.25">
      <c r="A59" s="1">
        <v>44495</v>
      </c>
      <c r="B59" s="10" t="s">
        <v>16</v>
      </c>
      <c r="C59" s="3" t="s">
        <v>15</v>
      </c>
      <c r="D59" s="3">
        <v>0.53472222222222221</v>
      </c>
      <c r="E59" s="31" t="str">
        <f t="shared" si="0"/>
        <v>DESCANSO</v>
      </c>
      <c r="F59" s="31" t="str">
        <f t="shared" si="1"/>
        <v>√</v>
      </c>
      <c r="G59" s="31"/>
      <c r="I59" t="s">
        <v>7</v>
      </c>
      <c r="J59">
        <f>COUNTIF(F$58:F$62,"RETARDO")</f>
        <v>2</v>
      </c>
      <c r="K59">
        <f>COUNTIF(E$58:E$62,"RETARDO")</f>
        <v>1</v>
      </c>
    </row>
    <row r="60" spans="1:11" x14ac:dyDescent="0.25">
      <c r="A60" s="1">
        <v>44496</v>
      </c>
      <c r="B60" s="10" t="s">
        <v>17</v>
      </c>
      <c r="C60" s="3">
        <v>0.55902777777777779</v>
      </c>
      <c r="D60" s="3">
        <v>0.53472222222222221</v>
      </c>
      <c r="E60" s="31" t="str">
        <f t="shared" si="0"/>
        <v>RETARDO</v>
      </c>
      <c r="F60" s="31" t="str">
        <f t="shared" si="1"/>
        <v>√</v>
      </c>
      <c r="G60" s="31"/>
      <c r="I60" t="s">
        <v>9</v>
      </c>
      <c r="J60">
        <f>COUNTIF(F$58:F$62,"FALTA")</f>
        <v>0</v>
      </c>
      <c r="K60">
        <f>COUNTIF(E$58:E$62,"FALTA")</f>
        <v>0</v>
      </c>
    </row>
    <row r="61" spans="1:11" x14ac:dyDescent="0.25">
      <c r="A61" s="1">
        <v>44497</v>
      </c>
      <c r="B61" s="10" t="s">
        <v>8</v>
      </c>
      <c r="C61" s="3">
        <v>0.53125</v>
      </c>
      <c r="D61" s="3">
        <v>0.54861111111111105</v>
      </c>
      <c r="E61" s="31" t="str">
        <f t="shared" si="0"/>
        <v>√</v>
      </c>
      <c r="F61" s="31" t="str">
        <f t="shared" si="1"/>
        <v>RETARDO</v>
      </c>
      <c r="G61" s="31"/>
      <c r="I61" t="s">
        <v>11</v>
      </c>
      <c r="J61">
        <f>ROUNDDOWN(J59/3,0)+J60</f>
        <v>0</v>
      </c>
      <c r="K61">
        <f>ROUNDDOWN(K59/3,0)+K60</f>
        <v>0</v>
      </c>
    </row>
    <row r="62" spans="1:11" x14ac:dyDescent="0.25">
      <c r="A62" s="1">
        <v>44498</v>
      </c>
      <c r="B62" s="10" t="s">
        <v>10</v>
      </c>
      <c r="C62" s="3">
        <v>0.52777777777777779</v>
      </c>
      <c r="D62" s="3">
        <v>0.55208333333333337</v>
      </c>
      <c r="E62" s="31" t="str">
        <f t="shared" si="0"/>
        <v>√</v>
      </c>
      <c r="F62" s="31" t="str">
        <f t="shared" si="1"/>
        <v>RETARDO</v>
      </c>
      <c r="G62" s="31"/>
    </row>
    <row r="63" spans="1:11" x14ac:dyDescent="0.25">
      <c r="A63" s="1">
        <v>44499</v>
      </c>
      <c r="B63" s="10" t="s">
        <v>12</v>
      </c>
      <c r="C63" s="3">
        <v>0.52430555555555558</v>
      </c>
      <c r="D63" s="3">
        <v>0.55555555555555558</v>
      </c>
      <c r="E63" s="31" t="str">
        <f t="shared" si="0"/>
        <v>√</v>
      </c>
      <c r="F63" s="31" t="str">
        <f t="shared" si="1"/>
        <v>RETARDO</v>
      </c>
      <c r="G63" s="31"/>
    </row>
    <row r="64" spans="1:11" x14ac:dyDescent="0.25">
      <c r="A64" s="1">
        <v>44500</v>
      </c>
      <c r="B64" s="10" t="s">
        <v>13</v>
      </c>
      <c r="C64" s="3">
        <v>0.52777777777777779</v>
      </c>
      <c r="D64" s="3">
        <v>0.55763888888888891</v>
      </c>
      <c r="E64" s="31" t="str">
        <f t="shared" si="0"/>
        <v>√</v>
      </c>
      <c r="F64" s="31" t="str">
        <f t="shared" si="1"/>
        <v>RETARDO</v>
      </c>
      <c r="G64" s="31"/>
    </row>
    <row r="65" spans="1:6" x14ac:dyDescent="0.25">
      <c r="A65" s="1"/>
      <c r="B65" s="10"/>
      <c r="C65" s="3"/>
      <c r="D65" s="3"/>
      <c r="E65" s="31" t="str">
        <f t="shared" si="0"/>
        <v/>
      </c>
      <c r="F65" s="31" t="str">
        <f t="shared" si="1"/>
        <v/>
      </c>
    </row>
    <row r="66" spans="1:6" x14ac:dyDescent="0.25">
      <c r="A66" s="1"/>
      <c r="B66" s="10"/>
      <c r="C66" s="31"/>
      <c r="D66" s="31"/>
      <c r="E66" s="31"/>
      <c r="F66" s="31"/>
    </row>
  </sheetData>
  <mergeCells count="6">
    <mergeCell ref="J57:K57"/>
    <mergeCell ref="E2:G2"/>
    <mergeCell ref="J2:K2"/>
    <mergeCell ref="J18:K18"/>
    <mergeCell ref="J29:K29"/>
    <mergeCell ref="J46:K46"/>
  </mergeCells>
  <phoneticPr fontId="2" type="noConversion"/>
  <conditionalFormatting sqref="G4:G45">
    <cfRule type="containsText" dxfId="80" priority="13" operator="containsText" text="PERMISO">
      <formula>NOT(ISERROR(SEARCH("PERMISO",G4)))</formula>
    </cfRule>
    <cfRule type="containsText" dxfId="79" priority="14" operator="containsText" text="RETARDO">
      <formula>NOT(ISERROR(SEARCH("RETARDO",G4)))</formula>
    </cfRule>
    <cfRule type="containsText" dxfId="78" priority="15" operator="containsText" text="FALTA">
      <formula>NOT(ISERROR(SEARCH("FALTA",G4)))</formula>
    </cfRule>
  </conditionalFormatting>
  <conditionalFormatting sqref="I3:K3 E1:G3 E66:G1048576 G4:G65">
    <cfRule type="containsText" dxfId="77" priority="12" operator="containsText" text="√">
      <formula>NOT(ISERROR(SEARCH("√",E1)))</formula>
    </cfRule>
  </conditionalFormatting>
  <conditionalFormatting sqref="E1:F3 E66:F1048576">
    <cfRule type="containsText" dxfId="76" priority="11" operator="containsText" text="DESCANSO">
      <formula>NOT(ISERROR(SEARCH("DESCANSO",E1)))</formula>
    </cfRule>
  </conditionalFormatting>
  <conditionalFormatting sqref="I47:K47">
    <cfRule type="containsText" dxfId="75" priority="10" operator="containsText" text="√">
      <formula>NOT(ISERROR(SEARCH("√",I47)))</formula>
    </cfRule>
  </conditionalFormatting>
  <conditionalFormatting sqref="I58:K58">
    <cfRule type="containsText" dxfId="74" priority="9" operator="containsText" text="√">
      <formula>NOT(ISERROR(SEARCH("√",I58)))</formula>
    </cfRule>
  </conditionalFormatting>
  <conditionalFormatting sqref="I19">
    <cfRule type="containsText" dxfId="73" priority="8" operator="containsText" text="√">
      <formula>NOT(ISERROR(SEARCH("√",I19)))</formula>
    </cfRule>
  </conditionalFormatting>
  <conditionalFormatting sqref="I30:K30">
    <cfRule type="containsText" dxfId="72" priority="7" operator="containsText" text="√">
      <formula>NOT(ISERROR(SEARCH("√",I30)))</formula>
    </cfRule>
  </conditionalFormatting>
  <conditionalFormatting sqref="E4:F65">
    <cfRule type="containsText" dxfId="71" priority="4" operator="containsText" text="PERMISO">
      <formula>NOT(ISERROR(SEARCH("PERMISO",E4)))</formula>
    </cfRule>
    <cfRule type="containsText" dxfId="70" priority="5" operator="containsText" text="RETARDO">
      <formula>NOT(ISERROR(SEARCH("RETARDO",E4)))</formula>
    </cfRule>
    <cfRule type="containsText" dxfId="69" priority="6" operator="containsText" text="FALTA">
      <formula>NOT(ISERROR(SEARCH("FALTA",E4)))</formula>
    </cfRule>
  </conditionalFormatting>
  <conditionalFormatting sqref="E4:F65">
    <cfRule type="containsText" dxfId="68" priority="3" operator="containsText" text="√">
      <formula>NOT(ISERROR(SEARCH("√",E4)))</formula>
    </cfRule>
  </conditionalFormatting>
  <conditionalFormatting sqref="E4:F65">
    <cfRule type="containsText" dxfId="67" priority="2" operator="containsText" text="DESCANSO">
      <formula>NOT(ISERROR(SEARCH("DESCANSO",E4)))</formula>
    </cfRule>
  </conditionalFormatting>
  <conditionalFormatting sqref="J19:K19">
    <cfRule type="containsText" dxfId="66" priority="1" operator="containsText" text="√">
      <formula>NOT(ISERROR(SEARCH("√",J19)))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N66"/>
  <sheetViews>
    <sheetView topLeftCell="A40" workbookViewId="0">
      <selection activeCell="J50" sqref="J50"/>
    </sheetView>
  </sheetViews>
  <sheetFormatPr baseColWidth="10" defaultColWidth="11.42578125" defaultRowHeight="15" x14ac:dyDescent="0.25"/>
  <cols>
    <col min="2" max="2" width="15.85546875" style="29" bestFit="1" customWidth="1"/>
    <col min="3" max="3" width="11.42578125" style="29" customWidth="1"/>
    <col min="4" max="4" width="13.42578125" style="29" customWidth="1"/>
    <col min="5" max="6" width="11.85546875" style="29" customWidth="1"/>
    <col min="7" max="7" width="9.42578125" style="29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1" ht="15.75" thickBot="1" x14ac:dyDescent="0.3">
      <c r="B1" s="31"/>
      <c r="C1" s="31"/>
      <c r="D1" s="31"/>
      <c r="E1" s="31"/>
      <c r="F1" s="31"/>
      <c r="G1" s="31"/>
    </row>
    <row r="2" spans="1:11" ht="15.75" thickBot="1" x14ac:dyDescent="0.3">
      <c r="B2" s="31"/>
      <c r="C2" s="31"/>
      <c r="D2" s="31"/>
      <c r="E2" s="37"/>
      <c r="F2" s="37"/>
      <c r="G2" s="38"/>
      <c r="J2" s="36" t="s">
        <v>109</v>
      </c>
      <c r="K2" s="36"/>
    </row>
    <row r="3" spans="1:11" ht="15.75" thickBot="1" x14ac:dyDescent="0.3">
      <c r="A3" s="4" t="s">
        <v>1</v>
      </c>
      <c r="B3" s="9" t="s">
        <v>2</v>
      </c>
      <c r="C3" s="5" t="s">
        <v>3</v>
      </c>
      <c r="D3" s="5" t="s">
        <v>4</v>
      </c>
      <c r="E3" s="5" t="s">
        <v>3</v>
      </c>
      <c r="F3" s="21" t="s">
        <v>4</v>
      </c>
      <c r="G3" s="6"/>
      <c r="I3" s="7" t="s">
        <v>5</v>
      </c>
      <c r="J3" s="7" t="s">
        <v>4</v>
      </c>
      <c r="K3" s="7" t="s">
        <v>3</v>
      </c>
    </row>
    <row r="4" spans="1:11" x14ac:dyDescent="0.25">
      <c r="A4" s="1">
        <v>44378</v>
      </c>
      <c r="B4" s="10" t="s">
        <v>8</v>
      </c>
      <c r="C4" s="3" t="s">
        <v>110</v>
      </c>
      <c r="D4" s="3"/>
      <c r="E4" s="31" t="str">
        <f t="shared" ref="E4:E31" si="0">IF(EXACT(C4,"F"),"FALTA",IF(EXACT(C4,"D"),"DESCANSO",IF(EXACT(C4,""),"",IF(EXACT(C4,"P"),"PERMISO",IF(IF(WEEKDAY(A4,11)&gt;=4,VALUE(C4)&gt;VALUE("13:10"),VALUE(C4)&gt;VALUE("13:10")),"RETARDO",IF(EXACT(C4,"F"),"FALTA","√"))))))</f>
        <v>FALTA</v>
      </c>
      <c r="F4" s="31" t="str">
        <f t="shared" ref="F4:F31" si="1">IF(EXACT(D4,"F"),"FALTA",IF(EXACT(D4,"D"),"DESCANSO",IF(EXACT(D4,""),"",IF(EXACT(D4,"P"),"PERMISO",IF(IF(WEEKDAY(A4,11)&gt;=4,VALUE(D4)&gt;VALUE("13:10"),VALUE(D4)&gt;VALUE("13:10")),"RETARDO",IF(EXACT(D4,"F"),"FALTA","√"))))))</f>
        <v/>
      </c>
      <c r="G4" s="31"/>
      <c r="I4" t="s">
        <v>7</v>
      </c>
      <c r="J4">
        <f>COUNTIF($F$4:$F$17,"RETARDO")</f>
        <v>0</v>
      </c>
      <c r="K4">
        <f>COUNTIF(E$4:E$17,"RETARDO")</f>
        <v>0</v>
      </c>
    </row>
    <row r="5" spans="1:11" x14ac:dyDescent="0.25">
      <c r="A5" s="1">
        <v>44379</v>
      </c>
      <c r="B5" s="10" t="s">
        <v>10</v>
      </c>
      <c r="C5" s="3" t="s">
        <v>110</v>
      </c>
      <c r="D5" s="3"/>
      <c r="E5" s="31" t="str">
        <f t="shared" si="0"/>
        <v>FALTA</v>
      </c>
      <c r="F5" s="31" t="str">
        <f t="shared" si="1"/>
        <v/>
      </c>
      <c r="G5" s="31"/>
      <c r="I5" t="s">
        <v>9</v>
      </c>
      <c r="J5">
        <f>COUNTIF($F$4:$F$17,"FALTA")</f>
        <v>0</v>
      </c>
      <c r="K5">
        <f>COUNTIF(E$4:E$17,"FALTA")</f>
        <v>5</v>
      </c>
    </row>
    <row r="6" spans="1:11" x14ac:dyDescent="0.25">
      <c r="A6" s="1">
        <v>44380</v>
      </c>
      <c r="B6" s="10" t="s">
        <v>12</v>
      </c>
      <c r="C6" s="3" t="s">
        <v>110</v>
      </c>
      <c r="D6" s="3"/>
      <c r="E6" s="31" t="str">
        <f t="shared" si="0"/>
        <v>FALTA</v>
      </c>
      <c r="F6" s="31" t="str">
        <f t="shared" si="1"/>
        <v/>
      </c>
      <c r="G6" s="31"/>
      <c r="I6" t="s">
        <v>11</v>
      </c>
      <c r="J6">
        <f>ROUNDDOWN(J4/3,0)+J5</f>
        <v>0</v>
      </c>
      <c r="K6">
        <f>ROUNDDOWN(K4/3,0)+K5</f>
        <v>5</v>
      </c>
    </row>
    <row r="7" spans="1:11" x14ac:dyDescent="0.25">
      <c r="A7" s="1">
        <v>44381</v>
      </c>
      <c r="B7" s="10" t="s">
        <v>13</v>
      </c>
      <c r="C7" s="3" t="s">
        <v>110</v>
      </c>
      <c r="D7" s="3"/>
      <c r="E7" s="31" t="str">
        <f t="shared" si="0"/>
        <v>FALTA</v>
      </c>
      <c r="F7" s="31" t="str">
        <f t="shared" si="1"/>
        <v/>
      </c>
      <c r="G7" s="31"/>
    </row>
    <row r="8" spans="1:11" x14ac:dyDescent="0.25">
      <c r="A8" s="1">
        <v>44382</v>
      </c>
      <c r="B8" s="10" t="s">
        <v>14</v>
      </c>
      <c r="C8" s="3" t="s">
        <v>110</v>
      </c>
      <c r="D8" s="3"/>
      <c r="E8" s="31" t="str">
        <f t="shared" si="0"/>
        <v>FALTA</v>
      </c>
      <c r="F8" s="31" t="str">
        <f t="shared" si="1"/>
        <v/>
      </c>
      <c r="G8" s="31"/>
    </row>
    <row r="9" spans="1:11" x14ac:dyDescent="0.25">
      <c r="A9" s="1">
        <v>44383</v>
      </c>
      <c r="B9" s="10" t="s">
        <v>16</v>
      </c>
      <c r="C9" s="3">
        <v>0.54513888888888895</v>
      </c>
      <c r="D9" s="3"/>
      <c r="E9" s="31" t="str">
        <f t="shared" si="0"/>
        <v>√</v>
      </c>
      <c r="F9" s="31" t="str">
        <f t="shared" si="1"/>
        <v/>
      </c>
      <c r="G9" s="31"/>
    </row>
    <row r="10" spans="1:11" x14ac:dyDescent="0.25">
      <c r="A10" s="1">
        <v>44384</v>
      </c>
      <c r="B10" s="10" t="s">
        <v>17</v>
      </c>
      <c r="C10" s="3">
        <v>0.54513888888888895</v>
      </c>
      <c r="D10" s="3"/>
      <c r="E10" s="31" t="str">
        <f t="shared" si="0"/>
        <v>√</v>
      </c>
      <c r="F10" s="31" t="str">
        <f t="shared" si="1"/>
        <v/>
      </c>
      <c r="G10" s="31"/>
    </row>
    <row r="11" spans="1:11" x14ac:dyDescent="0.25">
      <c r="A11" s="1">
        <v>44385</v>
      </c>
      <c r="B11" s="10" t="s">
        <v>8</v>
      </c>
      <c r="C11" s="3">
        <v>0.53125</v>
      </c>
      <c r="D11" s="3"/>
      <c r="E11" s="31" t="str">
        <f t="shared" si="0"/>
        <v>√</v>
      </c>
      <c r="F11" s="31" t="str">
        <f t="shared" si="1"/>
        <v/>
      </c>
      <c r="G11" s="31"/>
    </row>
    <row r="12" spans="1:11" x14ac:dyDescent="0.25">
      <c r="A12" s="1">
        <v>44386</v>
      </c>
      <c r="B12" s="10" t="s">
        <v>10</v>
      </c>
      <c r="C12" s="3">
        <v>0.53125</v>
      </c>
      <c r="D12" s="3"/>
      <c r="E12" s="31" t="str">
        <f t="shared" si="0"/>
        <v>√</v>
      </c>
      <c r="F12" s="31" t="str">
        <f t="shared" si="1"/>
        <v/>
      </c>
      <c r="G12" s="31"/>
    </row>
    <row r="13" spans="1:11" x14ac:dyDescent="0.25">
      <c r="A13" s="1">
        <v>44387</v>
      </c>
      <c r="B13" s="10" t="s">
        <v>12</v>
      </c>
      <c r="C13" s="3">
        <v>0.53125</v>
      </c>
      <c r="D13" s="3"/>
      <c r="E13" s="31" t="str">
        <f t="shared" si="0"/>
        <v>√</v>
      </c>
      <c r="F13" s="31" t="str">
        <f t="shared" si="1"/>
        <v/>
      </c>
      <c r="G13" s="31" t="s">
        <v>18</v>
      </c>
    </row>
    <row r="14" spans="1:11" x14ac:dyDescent="0.25">
      <c r="A14" s="1">
        <v>44388</v>
      </c>
      <c r="B14" s="10" t="s">
        <v>13</v>
      </c>
      <c r="C14" s="3">
        <v>0.52986111111111112</v>
      </c>
      <c r="D14" s="3"/>
      <c r="E14" s="31" t="str">
        <f t="shared" si="0"/>
        <v>√</v>
      </c>
      <c r="F14" s="31" t="str">
        <f t="shared" si="1"/>
        <v/>
      </c>
      <c r="G14" s="31"/>
    </row>
    <row r="15" spans="1:11" x14ac:dyDescent="0.25">
      <c r="A15" s="1">
        <v>44389</v>
      </c>
      <c r="B15" s="10" t="s">
        <v>14</v>
      </c>
      <c r="C15" s="3">
        <v>0.53125</v>
      </c>
      <c r="D15" s="3"/>
      <c r="E15" s="31" t="str">
        <f t="shared" si="0"/>
        <v>√</v>
      </c>
      <c r="F15" s="31" t="str">
        <f t="shared" si="1"/>
        <v/>
      </c>
      <c r="G15" s="31"/>
    </row>
    <row r="16" spans="1:11" x14ac:dyDescent="0.25">
      <c r="A16" s="1">
        <v>44390</v>
      </c>
      <c r="B16" s="10" t="s">
        <v>16</v>
      </c>
      <c r="C16" s="3" t="s">
        <v>15</v>
      </c>
      <c r="D16" s="3">
        <v>0.53125</v>
      </c>
      <c r="E16" s="31" t="str">
        <f t="shared" si="0"/>
        <v>DESCANSO</v>
      </c>
      <c r="F16" s="31" t="str">
        <f t="shared" si="1"/>
        <v>√</v>
      </c>
      <c r="G16" s="31"/>
    </row>
    <row r="17" spans="1:14" x14ac:dyDescent="0.25">
      <c r="A17" s="1">
        <v>44391</v>
      </c>
      <c r="B17" s="10" t="s">
        <v>17</v>
      </c>
      <c r="C17" s="3">
        <v>0.51388888888888895</v>
      </c>
      <c r="D17" s="3">
        <v>0.53819444444444442</v>
      </c>
      <c r="E17" s="31" t="str">
        <f t="shared" si="0"/>
        <v>√</v>
      </c>
      <c r="F17" s="31" t="str">
        <f t="shared" si="1"/>
        <v>√</v>
      </c>
      <c r="G17" s="31"/>
    </row>
    <row r="18" spans="1:14" x14ac:dyDescent="0.25">
      <c r="A18" s="1">
        <v>44392</v>
      </c>
      <c r="B18" s="10" t="s">
        <v>8</v>
      </c>
      <c r="C18" s="3">
        <v>0.52083333333333337</v>
      </c>
      <c r="D18" s="3">
        <v>0.53125</v>
      </c>
      <c r="E18" s="31" t="str">
        <f t="shared" si="0"/>
        <v>√</v>
      </c>
      <c r="F18" s="31" t="str">
        <f t="shared" si="1"/>
        <v>√</v>
      </c>
      <c r="G18" s="31"/>
      <c r="J18" s="36" t="s">
        <v>111</v>
      </c>
      <c r="K18" s="36"/>
    </row>
    <row r="19" spans="1:14" x14ac:dyDescent="0.25">
      <c r="A19" s="1">
        <v>44393</v>
      </c>
      <c r="B19" s="10" t="s">
        <v>10</v>
      </c>
      <c r="C19" s="3">
        <v>0.53125</v>
      </c>
      <c r="D19" s="3">
        <v>0.53472222222222221</v>
      </c>
      <c r="E19" s="31" t="str">
        <f t="shared" si="0"/>
        <v>√</v>
      </c>
      <c r="F19" s="31" t="str">
        <f t="shared" si="1"/>
        <v>√</v>
      </c>
      <c r="G19" s="31"/>
      <c r="I19" s="7" t="s">
        <v>5</v>
      </c>
      <c r="J19" s="7" t="s">
        <v>4</v>
      </c>
      <c r="K19" s="7" t="s">
        <v>3</v>
      </c>
    </row>
    <row r="20" spans="1:14" x14ac:dyDescent="0.25">
      <c r="A20" s="1">
        <v>44394</v>
      </c>
      <c r="B20" s="10" t="s">
        <v>12</v>
      </c>
      <c r="C20" s="3">
        <v>0.52777777777777779</v>
      </c>
      <c r="D20" s="3">
        <v>0.52083333333333337</v>
      </c>
      <c r="E20" s="31" t="str">
        <f t="shared" si="0"/>
        <v>√</v>
      </c>
      <c r="F20" s="31" t="str">
        <f t="shared" si="1"/>
        <v>√</v>
      </c>
      <c r="G20" s="31"/>
      <c r="I20" t="s">
        <v>7</v>
      </c>
      <c r="J20">
        <f>COUNTIF($F$19:$F$34,"RETARDO")</f>
        <v>2</v>
      </c>
      <c r="K20">
        <f>COUNTIF(E$19:E$34,"RETARDO")</f>
        <v>0</v>
      </c>
    </row>
    <row r="21" spans="1:14" x14ac:dyDescent="0.25">
      <c r="A21" s="1">
        <v>44395</v>
      </c>
      <c r="B21" s="10" t="s">
        <v>13</v>
      </c>
      <c r="C21" s="3">
        <v>0.52777777777777779</v>
      </c>
      <c r="D21" s="3">
        <v>0.52777777777777779</v>
      </c>
      <c r="E21" s="31" t="str">
        <f t="shared" si="0"/>
        <v>√</v>
      </c>
      <c r="F21" s="31" t="str">
        <f t="shared" si="1"/>
        <v>√</v>
      </c>
      <c r="G21" s="31"/>
      <c r="I21" t="s">
        <v>9</v>
      </c>
      <c r="J21">
        <f>COUNTIF($F$19:$F$34,"FALTA")</f>
        <v>0</v>
      </c>
      <c r="K21">
        <f>COUNTIF(E$19:E$34,"FALTA")</f>
        <v>0</v>
      </c>
    </row>
    <row r="22" spans="1:14" x14ac:dyDescent="0.25">
      <c r="A22" s="1">
        <v>44396</v>
      </c>
      <c r="B22" s="10" t="s">
        <v>14</v>
      </c>
      <c r="C22" s="3">
        <v>0.52777777777777779</v>
      </c>
      <c r="D22" s="3" t="s">
        <v>15</v>
      </c>
      <c r="E22" s="31" t="str">
        <f t="shared" si="0"/>
        <v>√</v>
      </c>
      <c r="F22" s="31" t="str">
        <f t="shared" si="1"/>
        <v>DESCANSO</v>
      </c>
      <c r="G22" s="31"/>
      <c r="I22" t="s">
        <v>11</v>
      </c>
      <c r="J22">
        <f>ROUNDDOWN(J20/3,0)+J21</f>
        <v>0</v>
      </c>
      <c r="K22">
        <f>ROUNDDOWN(K20/3,0)+K21</f>
        <v>0</v>
      </c>
    </row>
    <row r="23" spans="1:14" x14ac:dyDescent="0.25">
      <c r="A23" s="1">
        <v>44397</v>
      </c>
      <c r="B23" s="10" t="s">
        <v>16</v>
      </c>
      <c r="C23" s="3" t="s">
        <v>15</v>
      </c>
      <c r="D23" s="3">
        <v>0.53472222222222221</v>
      </c>
      <c r="E23" s="31" t="str">
        <f t="shared" si="0"/>
        <v>DESCANSO</v>
      </c>
      <c r="F23" s="31" t="str">
        <f t="shared" si="1"/>
        <v>√</v>
      </c>
      <c r="G23" s="31"/>
      <c r="N23" s="1"/>
    </row>
    <row r="24" spans="1:14" x14ac:dyDescent="0.25">
      <c r="A24" s="1">
        <v>44398</v>
      </c>
      <c r="B24" s="10" t="s">
        <v>17</v>
      </c>
      <c r="C24" s="3">
        <v>0.52083333333333337</v>
      </c>
      <c r="D24" s="3">
        <v>0.53125</v>
      </c>
      <c r="E24" s="31" t="str">
        <f t="shared" si="0"/>
        <v>√</v>
      </c>
      <c r="F24" s="31" t="str">
        <f t="shared" si="1"/>
        <v>√</v>
      </c>
      <c r="G24" s="31"/>
      <c r="N24" s="1"/>
    </row>
    <row r="25" spans="1:14" x14ac:dyDescent="0.25">
      <c r="A25" s="1">
        <v>44399</v>
      </c>
      <c r="B25" s="10" t="s">
        <v>8</v>
      </c>
      <c r="C25" s="3">
        <v>0.52777777777777779</v>
      </c>
      <c r="D25" s="3">
        <v>0.53472222222222221</v>
      </c>
      <c r="E25" s="31" t="str">
        <f t="shared" si="0"/>
        <v>√</v>
      </c>
      <c r="F25" s="31" t="str">
        <f t="shared" si="1"/>
        <v>√</v>
      </c>
      <c r="G25" s="31"/>
      <c r="N25" s="1"/>
    </row>
    <row r="26" spans="1:14" x14ac:dyDescent="0.25">
      <c r="A26" s="1">
        <v>44400</v>
      </c>
      <c r="B26" s="10" t="s">
        <v>10</v>
      </c>
      <c r="C26" s="3">
        <v>0.53472222222222221</v>
      </c>
      <c r="D26" s="3">
        <v>0.53819444444444442</v>
      </c>
      <c r="E26" s="31" t="str">
        <f t="shared" si="0"/>
        <v>√</v>
      </c>
      <c r="F26" s="31" t="str">
        <f t="shared" si="1"/>
        <v>√</v>
      </c>
      <c r="G26" s="31"/>
      <c r="N26" s="1"/>
    </row>
    <row r="27" spans="1:14" x14ac:dyDescent="0.25">
      <c r="A27" s="1">
        <v>44401</v>
      </c>
      <c r="B27" s="10" t="s">
        <v>12</v>
      </c>
      <c r="C27" s="3">
        <v>0.52083333333333337</v>
      </c>
      <c r="D27" s="3">
        <v>0.54097222222222219</v>
      </c>
      <c r="E27" s="31" t="str">
        <f t="shared" si="0"/>
        <v>√</v>
      </c>
      <c r="F27" s="31" t="str">
        <f t="shared" si="1"/>
        <v>√</v>
      </c>
      <c r="G27" s="31"/>
    </row>
    <row r="28" spans="1:14" ht="15" customHeight="1" x14ac:dyDescent="0.25">
      <c r="A28" s="1">
        <v>44402</v>
      </c>
      <c r="B28" s="10" t="s">
        <v>13</v>
      </c>
      <c r="C28" s="3">
        <v>0.52777777777777779</v>
      </c>
      <c r="D28" s="3">
        <v>0.54166666666666663</v>
      </c>
      <c r="E28" s="31" t="str">
        <f t="shared" si="0"/>
        <v>√</v>
      </c>
      <c r="F28" s="31" t="str">
        <f t="shared" si="1"/>
        <v>√</v>
      </c>
      <c r="G28" s="31"/>
    </row>
    <row r="29" spans="1:14" ht="15" customHeight="1" x14ac:dyDescent="0.25">
      <c r="A29" s="1">
        <v>44403</v>
      </c>
      <c r="B29" s="10" t="s">
        <v>14</v>
      </c>
      <c r="C29" s="3">
        <v>0.52777777777777779</v>
      </c>
      <c r="D29" s="3" t="s">
        <v>15</v>
      </c>
      <c r="E29" s="31" t="str">
        <f t="shared" si="0"/>
        <v>√</v>
      </c>
      <c r="F29" s="31" t="str">
        <f t="shared" si="1"/>
        <v>DESCANSO</v>
      </c>
      <c r="G29" s="31"/>
      <c r="J29" s="36" t="s">
        <v>112</v>
      </c>
      <c r="K29" s="36"/>
    </row>
    <row r="30" spans="1:14" ht="15" customHeight="1" x14ac:dyDescent="0.25">
      <c r="A30" s="1">
        <v>44404</v>
      </c>
      <c r="B30" s="10" t="s">
        <v>16</v>
      </c>
      <c r="C30" s="3" t="s">
        <v>15</v>
      </c>
      <c r="D30" s="3">
        <v>0.51388888888888895</v>
      </c>
      <c r="E30" s="31" t="str">
        <f t="shared" si="0"/>
        <v>DESCANSO</v>
      </c>
      <c r="F30" s="31" t="str">
        <f t="shared" si="1"/>
        <v>√</v>
      </c>
      <c r="G30" s="31"/>
      <c r="I30" s="7" t="s">
        <v>5</v>
      </c>
      <c r="J30" s="7" t="s">
        <v>4</v>
      </c>
      <c r="K30" s="7" t="s">
        <v>3</v>
      </c>
    </row>
    <row r="31" spans="1:14" x14ac:dyDescent="0.25">
      <c r="A31" s="1">
        <v>44405</v>
      </c>
      <c r="B31" s="10" t="s">
        <v>17</v>
      </c>
      <c r="C31" s="3">
        <v>0.53125</v>
      </c>
      <c r="D31" s="3">
        <v>0.53819444444444442</v>
      </c>
      <c r="E31" s="31" t="str">
        <f t="shared" si="0"/>
        <v>√</v>
      </c>
      <c r="F31" s="31" t="str">
        <f t="shared" si="1"/>
        <v>√</v>
      </c>
      <c r="G31" s="31"/>
      <c r="I31" t="s">
        <v>7</v>
      </c>
      <c r="J31">
        <f>COUNTIF($F$35:$F$49,"RETARDO")</f>
        <v>2</v>
      </c>
      <c r="K31">
        <f>COUNTIF(E$35:E$49,"RETARDO")</f>
        <v>0</v>
      </c>
    </row>
    <row r="32" spans="1:14" x14ac:dyDescent="0.25">
      <c r="A32" s="1">
        <v>44406</v>
      </c>
      <c r="B32" s="10" t="s">
        <v>8</v>
      </c>
      <c r="C32" s="3">
        <v>0.53472222222222221</v>
      </c>
      <c r="D32" s="3">
        <v>0.54513888888888895</v>
      </c>
      <c r="E32" s="31" t="str">
        <f>IF(EXACT(C32,"F"),"FALTA",IF(EXACT(C32,"D"),"DESCANSO",IF(EXACT(C32,""),"",IF(EXACT(C32,"P"),"PERMISO",IF(IF(WEEKDAY(A32,11)&gt;=4,VALUE(C32)&gt;VALUE("13:00"),VALUE(C32)&gt;VALUE("13:00")),"RETARDO",IF(EXACT(C32,"F"),"FALTA","√"))))))</f>
        <v>√</v>
      </c>
      <c r="F32" s="31" t="str">
        <f>IF(EXACT(D32,"F"),"FALTA",IF(EXACT(D32,"D"),"DESCANSO",IF(EXACT(D32,""),"",IF(EXACT(D32,"P"),"PERMISO",IF(IF(WEEKDAY(A32,11)&gt;=4,VALUE(D32)&gt;VALUE("13:00"),VALUE(D32)&gt;VALUE("13:00")),"RETARDO",IF(EXACT(D32,"F"),"FALTA","√"))))))</f>
        <v>RETARDO</v>
      </c>
      <c r="G32" s="31"/>
      <c r="I32" t="s">
        <v>9</v>
      </c>
      <c r="J32">
        <f>COUNTIF($F$35:$F$49,"FALTA")</f>
        <v>1</v>
      </c>
      <c r="K32">
        <f>COUNTIF(E$35:E$49,"FALTA")</f>
        <v>0</v>
      </c>
    </row>
    <row r="33" spans="1:13" x14ac:dyDescent="0.25">
      <c r="A33" s="1">
        <v>44407</v>
      </c>
      <c r="B33" s="10" t="s">
        <v>10</v>
      </c>
      <c r="C33" s="3">
        <v>0.53819444444444442</v>
      </c>
      <c r="D33" s="3">
        <v>0.53402777777777777</v>
      </c>
      <c r="E33" s="31" t="str">
        <f t="shared" ref="E33:E65" si="2">IF(EXACT(C33,"F"),"FALTA",IF(EXACT(C33,"D"),"DESCANSO",IF(EXACT(C33,""),"",IF(EXACT(C33,"P"),"PERMISO",IF(IF(WEEKDAY(A33,11)&gt;=4,VALUE(C33)&gt;VALUE("13:00"),VALUE(C33)&gt;VALUE("13:00")),"RETARDO",IF(EXACT(C33,"F"),"FALTA","√"))))))</f>
        <v>√</v>
      </c>
      <c r="F33" s="31" t="str">
        <f t="shared" ref="F33:F65" si="3">IF(EXACT(D33,"F"),"FALTA",IF(EXACT(D33,"D"),"DESCANSO",IF(EXACT(D33,""),"",IF(EXACT(D33,"P"),"PERMISO",IF(IF(WEEKDAY(A33,11)&gt;=4,VALUE(D33)&gt;VALUE("13:00"),VALUE(D33)&gt;VALUE("13:00")),"RETARDO",IF(EXACT(D33,"F"),"FALTA","√"))))))</f>
        <v>√</v>
      </c>
      <c r="G33" s="31"/>
      <c r="I33" t="s">
        <v>11</v>
      </c>
      <c r="J33">
        <f>ROUNDDOWN(J31/3,0)+J32</f>
        <v>1</v>
      </c>
      <c r="K33">
        <f>ROUNDDOWN(K31/3,0)+K32</f>
        <v>0</v>
      </c>
    </row>
    <row r="34" spans="1:13" x14ac:dyDescent="0.25">
      <c r="A34" s="1">
        <v>44408</v>
      </c>
      <c r="B34" s="10" t="s">
        <v>12</v>
      </c>
      <c r="C34" s="3">
        <v>0.53680555555555554</v>
      </c>
      <c r="D34" s="3">
        <v>0.5625</v>
      </c>
      <c r="E34" s="31" t="str">
        <f t="shared" si="2"/>
        <v>√</v>
      </c>
      <c r="F34" s="31" t="str">
        <f t="shared" si="3"/>
        <v>RETARDO</v>
      </c>
      <c r="G34" s="31"/>
    </row>
    <row r="35" spans="1:13" x14ac:dyDescent="0.25">
      <c r="A35" s="1">
        <v>44409</v>
      </c>
      <c r="B35" s="10" t="s">
        <v>13</v>
      </c>
      <c r="C35" s="3">
        <v>0.53055555555555556</v>
      </c>
      <c r="D35" s="3">
        <v>0.55902777777777779</v>
      </c>
      <c r="E35" s="31" t="str">
        <f t="shared" si="2"/>
        <v>√</v>
      </c>
      <c r="F35" s="31" t="str">
        <f t="shared" si="3"/>
        <v>RETARDO</v>
      </c>
      <c r="G35" s="31"/>
      <c r="M35" t="s">
        <v>18</v>
      </c>
    </row>
    <row r="36" spans="1:13" x14ac:dyDescent="0.25">
      <c r="A36" s="1">
        <v>44410</v>
      </c>
      <c r="B36" s="10" t="s">
        <v>14</v>
      </c>
      <c r="C36" s="3">
        <v>0.53125</v>
      </c>
      <c r="D36" s="3" t="s">
        <v>15</v>
      </c>
      <c r="E36" s="31" t="str">
        <f t="shared" si="2"/>
        <v>√</v>
      </c>
      <c r="F36" s="31" t="str">
        <f t="shared" si="3"/>
        <v>DESCANSO</v>
      </c>
      <c r="G36" s="31"/>
    </row>
    <row r="37" spans="1:13" x14ac:dyDescent="0.25">
      <c r="A37" s="1">
        <v>44411</v>
      </c>
      <c r="B37" s="10" t="s">
        <v>16</v>
      </c>
      <c r="C37" s="3" t="s">
        <v>15</v>
      </c>
      <c r="D37" s="3">
        <v>0.52083333333333337</v>
      </c>
      <c r="E37" s="31" t="str">
        <f t="shared" si="2"/>
        <v>DESCANSO</v>
      </c>
      <c r="F37" s="31" t="str">
        <f t="shared" si="3"/>
        <v>√</v>
      </c>
      <c r="G37" s="31"/>
    </row>
    <row r="38" spans="1:13" x14ac:dyDescent="0.25">
      <c r="A38" s="1">
        <v>44412</v>
      </c>
      <c r="B38" s="10" t="s">
        <v>17</v>
      </c>
      <c r="C38" s="3" t="s">
        <v>113</v>
      </c>
      <c r="D38" s="3">
        <v>0.51736111111111105</v>
      </c>
      <c r="E38" s="31" t="str">
        <f t="shared" si="2"/>
        <v>PERMISO</v>
      </c>
      <c r="F38" s="31" t="str">
        <f t="shared" si="3"/>
        <v>√</v>
      </c>
      <c r="G38" s="31"/>
    </row>
    <row r="39" spans="1:13" x14ac:dyDescent="0.25">
      <c r="A39" s="1">
        <v>44413</v>
      </c>
      <c r="B39" s="10" t="s">
        <v>8</v>
      </c>
      <c r="C39" s="3">
        <v>0.53472222222222221</v>
      </c>
      <c r="D39" s="3">
        <v>0.53472222222222221</v>
      </c>
      <c r="E39" s="31" t="str">
        <f t="shared" si="2"/>
        <v>√</v>
      </c>
      <c r="F39" s="31" t="str">
        <f t="shared" si="3"/>
        <v>√</v>
      </c>
      <c r="G39" s="31"/>
    </row>
    <row r="40" spans="1:13" x14ac:dyDescent="0.25">
      <c r="A40" s="1">
        <v>44414</v>
      </c>
      <c r="B40" s="10" t="s">
        <v>10</v>
      </c>
      <c r="C40" s="3">
        <v>0.53472222222222221</v>
      </c>
      <c r="D40" s="3">
        <v>0.52430555555555558</v>
      </c>
      <c r="E40" s="31" t="str">
        <f t="shared" si="2"/>
        <v>√</v>
      </c>
      <c r="F40" s="31" t="str">
        <f t="shared" si="3"/>
        <v>√</v>
      </c>
      <c r="G40" s="31"/>
    </row>
    <row r="41" spans="1:13" x14ac:dyDescent="0.25">
      <c r="A41" s="1">
        <v>44415</v>
      </c>
      <c r="B41" s="10" t="s">
        <v>12</v>
      </c>
      <c r="C41" s="3">
        <v>0.52777777777777779</v>
      </c>
      <c r="D41" s="3">
        <v>0.53819444444444442</v>
      </c>
      <c r="E41" s="31" t="str">
        <f t="shared" si="2"/>
        <v>√</v>
      </c>
      <c r="F41" s="31" t="str">
        <f t="shared" si="3"/>
        <v>√</v>
      </c>
      <c r="G41" s="31"/>
    </row>
    <row r="42" spans="1:13" x14ac:dyDescent="0.25">
      <c r="A42" s="1">
        <v>44416</v>
      </c>
      <c r="B42" s="10" t="s">
        <v>13</v>
      </c>
      <c r="C42" s="3">
        <v>0.52083333333333337</v>
      </c>
      <c r="D42" s="3">
        <v>0.53472222222222221</v>
      </c>
      <c r="E42" s="31" t="str">
        <f t="shared" si="2"/>
        <v>√</v>
      </c>
      <c r="F42" s="31" t="str">
        <f t="shared" si="3"/>
        <v>√</v>
      </c>
      <c r="G42" s="31"/>
    </row>
    <row r="43" spans="1:13" x14ac:dyDescent="0.25">
      <c r="A43" s="1">
        <v>44417</v>
      </c>
      <c r="B43" s="10" t="s">
        <v>14</v>
      </c>
      <c r="C43" s="3">
        <v>0.52777777777777779</v>
      </c>
      <c r="D43" s="3" t="s">
        <v>15</v>
      </c>
      <c r="E43" s="31" t="str">
        <f t="shared" si="2"/>
        <v>√</v>
      </c>
      <c r="F43" s="31" t="str">
        <f t="shared" si="3"/>
        <v>DESCANSO</v>
      </c>
      <c r="G43" s="31"/>
    </row>
    <row r="44" spans="1:13" x14ac:dyDescent="0.25">
      <c r="A44" s="1">
        <v>44418</v>
      </c>
      <c r="B44" s="10" t="s">
        <v>16</v>
      </c>
      <c r="C44" s="3">
        <v>0.53125</v>
      </c>
      <c r="D44" s="3">
        <v>0.53472222222222221</v>
      </c>
      <c r="E44" s="31" t="str">
        <f t="shared" si="2"/>
        <v>√</v>
      </c>
      <c r="F44" s="31" t="str">
        <f t="shared" si="3"/>
        <v>√</v>
      </c>
      <c r="G44" s="31"/>
    </row>
    <row r="45" spans="1:13" x14ac:dyDescent="0.25">
      <c r="A45" s="1">
        <v>44419</v>
      </c>
      <c r="B45" s="10" t="s">
        <v>17</v>
      </c>
      <c r="C45" s="3" t="s">
        <v>15</v>
      </c>
      <c r="D45" s="3">
        <v>0.5625</v>
      </c>
      <c r="E45" s="31" t="str">
        <f t="shared" si="2"/>
        <v>DESCANSO</v>
      </c>
      <c r="F45" s="31" t="str">
        <f t="shared" si="3"/>
        <v>RETARDO</v>
      </c>
      <c r="G45" s="31"/>
    </row>
    <row r="46" spans="1:13" x14ac:dyDescent="0.25">
      <c r="A46" s="1">
        <v>44420</v>
      </c>
      <c r="B46" s="10" t="s">
        <v>8</v>
      </c>
      <c r="C46" s="3">
        <v>0.54166666666666663</v>
      </c>
      <c r="D46" s="3" t="s">
        <v>110</v>
      </c>
      <c r="E46" s="31" t="str">
        <f t="shared" si="2"/>
        <v>√</v>
      </c>
      <c r="F46" s="31" t="str">
        <f t="shared" si="3"/>
        <v>FALTA</v>
      </c>
      <c r="G46" s="31"/>
      <c r="J46" s="36" t="s">
        <v>21</v>
      </c>
      <c r="K46" s="36"/>
    </row>
    <row r="47" spans="1:13" x14ac:dyDescent="0.25">
      <c r="A47" s="1">
        <v>44421</v>
      </c>
      <c r="B47" s="10" t="s">
        <v>10</v>
      </c>
      <c r="C47" s="3">
        <v>0.53333333333333333</v>
      </c>
      <c r="D47" s="3">
        <v>0.52430555555555558</v>
      </c>
      <c r="E47" s="31" t="str">
        <f t="shared" si="2"/>
        <v>√</v>
      </c>
      <c r="F47" s="31" t="str">
        <f t="shared" si="3"/>
        <v>√</v>
      </c>
      <c r="G47" s="31"/>
      <c r="I47" s="7" t="s">
        <v>5</v>
      </c>
      <c r="J47" s="7" t="s">
        <v>4</v>
      </c>
      <c r="K47" s="7" t="s">
        <v>3</v>
      </c>
    </row>
    <row r="48" spans="1:13" x14ac:dyDescent="0.25">
      <c r="A48" s="1">
        <v>44422</v>
      </c>
      <c r="B48" s="10" t="s">
        <v>12</v>
      </c>
      <c r="C48" s="3">
        <v>0.53819444444444442</v>
      </c>
      <c r="D48" s="3">
        <v>0.52777777777777779</v>
      </c>
      <c r="E48" s="31" t="str">
        <f t="shared" si="2"/>
        <v>√</v>
      </c>
      <c r="F48" s="31" t="str">
        <f t="shared" si="3"/>
        <v>√</v>
      </c>
      <c r="G48" s="31"/>
      <c r="I48" t="s">
        <v>7</v>
      </c>
      <c r="J48">
        <f>COUNTIF(F$50:F$65,"RETARDO")</f>
        <v>2</v>
      </c>
      <c r="K48">
        <f>COUNTIF(E$50:E$65,"RETARDO")</f>
        <v>1</v>
      </c>
    </row>
    <row r="49" spans="1:11" x14ac:dyDescent="0.25">
      <c r="A49" s="1">
        <v>44423</v>
      </c>
      <c r="B49" s="10" t="s">
        <v>13</v>
      </c>
      <c r="C49" s="3">
        <v>0.53472222222222221</v>
      </c>
      <c r="D49" s="3">
        <v>0.53125</v>
      </c>
      <c r="E49" s="31" t="str">
        <f t="shared" si="2"/>
        <v>√</v>
      </c>
      <c r="F49" s="31" t="str">
        <f t="shared" si="3"/>
        <v>√</v>
      </c>
      <c r="G49" s="31"/>
      <c r="I49" t="s">
        <v>9</v>
      </c>
      <c r="J49">
        <f>COUNTIF(F$50:F$65,"FALTA")</f>
        <v>0</v>
      </c>
      <c r="K49">
        <f>COUNTIF(E$50:E$65,"FALTA")</f>
        <v>0</v>
      </c>
    </row>
    <row r="50" spans="1:11" x14ac:dyDescent="0.25">
      <c r="A50" s="1">
        <v>44424</v>
      </c>
      <c r="B50" s="10" t="s">
        <v>14</v>
      </c>
      <c r="C50" s="3">
        <v>0.52777777777777779</v>
      </c>
      <c r="D50" s="3" t="s">
        <v>15</v>
      </c>
      <c r="E50" s="31" t="str">
        <f t="shared" si="2"/>
        <v>√</v>
      </c>
      <c r="F50" s="31" t="str">
        <f t="shared" si="3"/>
        <v>DESCANSO</v>
      </c>
      <c r="G50" s="31"/>
      <c r="I50" t="s">
        <v>11</v>
      </c>
      <c r="J50">
        <f>ROUNDDOWN(J48/3,0)+J49</f>
        <v>0</v>
      </c>
      <c r="K50">
        <f>ROUNDDOWN(K48/3,0)+K49</f>
        <v>0</v>
      </c>
    </row>
    <row r="51" spans="1:11" x14ac:dyDescent="0.25">
      <c r="A51" s="1">
        <v>44425</v>
      </c>
      <c r="B51" s="10" t="s">
        <v>16</v>
      </c>
      <c r="C51" s="3">
        <v>0.52777777777777779</v>
      </c>
      <c r="D51" s="3">
        <v>0.53680555555555554</v>
      </c>
      <c r="E51" s="31" t="str">
        <f t="shared" si="2"/>
        <v>√</v>
      </c>
      <c r="F51" s="31" t="str">
        <f t="shared" si="3"/>
        <v>√</v>
      </c>
      <c r="G51" s="31"/>
    </row>
    <row r="52" spans="1:11" x14ac:dyDescent="0.25">
      <c r="A52" s="1">
        <v>44426</v>
      </c>
      <c r="B52" s="10" t="s">
        <v>17</v>
      </c>
      <c r="C52" s="3" t="s">
        <v>15</v>
      </c>
      <c r="D52" s="3">
        <v>0.53472222222222221</v>
      </c>
      <c r="E52" s="31" t="str">
        <f t="shared" si="2"/>
        <v>DESCANSO</v>
      </c>
      <c r="F52" s="31" t="str">
        <f t="shared" si="3"/>
        <v>√</v>
      </c>
      <c r="G52" s="31"/>
    </row>
    <row r="53" spans="1:11" x14ac:dyDescent="0.25">
      <c r="A53" s="1">
        <v>44427</v>
      </c>
      <c r="B53" s="10" t="s">
        <v>8</v>
      </c>
      <c r="C53" s="3">
        <v>0.53472222222222221</v>
      </c>
      <c r="D53" s="3">
        <v>0.53472222222222221</v>
      </c>
      <c r="E53" s="31" t="str">
        <f t="shared" si="2"/>
        <v>√</v>
      </c>
      <c r="F53" s="31" t="str">
        <f t="shared" si="3"/>
        <v>√</v>
      </c>
      <c r="G53" s="31"/>
    </row>
    <row r="54" spans="1:11" x14ac:dyDescent="0.25">
      <c r="A54" s="1">
        <v>44428</v>
      </c>
      <c r="B54" s="10" t="s">
        <v>10</v>
      </c>
      <c r="C54" s="3">
        <v>0.52777777777777779</v>
      </c>
      <c r="D54" s="3">
        <v>0.53472222222222221</v>
      </c>
      <c r="E54" s="31" t="str">
        <f t="shared" si="2"/>
        <v>√</v>
      </c>
      <c r="F54" s="31" t="str">
        <f t="shared" si="3"/>
        <v>√</v>
      </c>
      <c r="G54" s="31"/>
    </row>
    <row r="55" spans="1:11" x14ac:dyDescent="0.25">
      <c r="A55" s="1">
        <v>44429</v>
      </c>
      <c r="B55" s="10" t="s">
        <v>12</v>
      </c>
      <c r="C55" s="3">
        <v>0.54583333333333328</v>
      </c>
      <c r="D55" s="27">
        <v>0.54583333333333328</v>
      </c>
      <c r="E55" s="31" t="str">
        <f t="shared" si="2"/>
        <v>RETARDO</v>
      </c>
      <c r="F55" s="31" t="str">
        <f t="shared" si="3"/>
        <v>RETARDO</v>
      </c>
      <c r="G55" s="31"/>
    </row>
    <row r="56" spans="1:11" x14ac:dyDescent="0.25">
      <c r="A56" s="1">
        <v>44430</v>
      </c>
      <c r="B56" s="10" t="s">
        <v>13</v>
      </c>
      <c r="C56" s="3">
        <v>0.53749999999999998</v>
      </c>
      <c r="D56" s="3">
        <v>0.53888888888888886</v>
      </c>
      <c r="E56" s="31" t="str">
        <f t="shared" si="2"/>
        <v>√</v>
      </c>
      <c r="F56" s="31" t="str">
        <f t="shared" si="3"/>
        <v>√</v>
      </c>
      <c r="G56" s="31"/>
    </row>
    <row r="57" spans="1:11" x14ac:dyDescent="0.25">
      <c r="A57" s="1">
        <v>44431</v>
      </c>
      <c r="B57" s="10" t="s">
        <v>14</v>
      </c>
      <c r="C57" s="3">
        <v>0.52777777777777779</v>
      </c>
      <c r="D57" s="27" t="s">
        <v>15</v>
      </c>
      <c r="E57" s="31" t="str">
        <f t="shared" si="2"/>
        <v>√</v>
      </c>
      <c r="F57" s="31" t="str">
        <f t="shared" si="3"/>
        <v>DESCANSO</v>
      </c>
      <c r="G57" s="31"/>
      <c r="J57" s="36"/>
      <c r="K57" s="36"/>
    </row>
    <row r="58" spans="1:11" x14ac:dyDescent="0.25">
      <c r="A58" s="1">
        <v>44432</v>
      </c>
      <c r="B58" s="10" t="s">
        <v>16</v>
      </c>
      <c r="C58" s="3" t="s">
        <v>15</v>
      </c>
      <c r="D58" s="3">
        <v>0.53819444444444442</v>
      </c>
      <c r="E58" s="31" t="str">
        <f t="shared" si="2"/>
        <v>DESCANSO</v>
      </c>
      <c r="F58" s="31" t="str">
        <f t="shared" si="3"/>
        <v>√</v>
      </c>
      <c r="G58" s="31"/>
      <c r="I58" s="7"/>
      <c r="J58" s="7"/>
      <c r="K58" s="7"/>
    </row>
    <row r="59" spans="1:11" x14ac:dyDescent="0.25">
      <c r="A59" s="1">
        <v>44433</v>
      </c>
      <c r="B59" s="10" t="s">
        <v>17</v>
      </c>
      <c r="C59" s="3">
        <v>0.53125</v>
      </c>
      <c r="D59" s="3">
        <v>0.53125</v>
      </c>
      <c r="E59" s="31" t="str">
        <f t="shared" si="2"/>
        <v>√</v>
      </c>
      <c r="F59" s="31" t="str">
        <f t="shared" si="3"/>
        <v>√</v>
      </c>
      <c r="G59" s="31"/>
    </row>
    <row r="60" spans="1:11" x14ac:dyDescent="0.25">
      <c r="A60" s="1">
        <v>44434</v>
      </c>
      <c r="B60" s="10" t="s">
        <v>8</v>
      </c>
      <c r="C60" s="3">
        <v>0.52777777777777779</v>
      </c>
      <c r="D60" s="3">
        <v>0.54027777777777775</v>
      </c>
      <c r="E60" s="31" t="str">
        <f t="shared" si="2"/>
        <v>√</v>
      </c>
      <c r="F60" s="31" t="str">
        <f t="shared" si="3"/>
        <v>√</v>
      </c>
      <c r="G60" s="31"/>
    </row>
    <row r="61" spans="1:11" x14ac:dyDescent="0.25">
      <c r="A61" s="1">
        <v>44435</v>
      </c>
      <c r="B61" s="10" t="s">
        <v>10</v>
      </c>
      <c r="C61" s="3">
        <v>0.53125</v>
      </c>
      <c r="D61" s="3">
        <v>0.53819444444444442</v>
      </c>
      <c r="E61" s="31" t="str">
        <f t="shared" si="2"/>
        <v>√</v>
      </c>
      <c r="F61" s="31" t="str">
        <f t="shared" si="3"/>
        <v>√</v>
      </c>
      <c r="G61" s="31"/>
    </row>
    <row r="62" spans="1:11" x14ac:dyDescent="0.25">
      <c r="A62" s="1">
        <v>44436</v>
      </c>
      <c r="B62" s="10" t="s">
        <v>12</v>
      </c>
      <c r="C62" s="3">
        <v>0.53819444444444442</v>
      </c>
      <c r="D62" s="3">
        <v>0.54861111111111105</v>
      </c>
      <c r="E62" s="31" t="str">
        <f t="shared" si="2"/>
        <v>√</v>
      </c>
      <c r="F62" s="31" t="str">
        <f t="shared" si="3"/>
        <v>RETARDO</v>
      </c>
      <c r="G62" s="31"/>
    </row>
    <row r="63" spans="1:11" x14ac:dyDescent="0.25">
      <c r="A63" s="1">
        <v>44437</v>
      </c>
      <c r="B63" s="10" t="s">
        <v>13</v>
      </c>
      <c r="C63" s="3">
        <v>0.52083333333333337</v>
      </c>
      <c r="D63" s="3">
        <v>0.53125</v>
      </c>
      <c r="E63" s="31" t="str">
        <f t="shared" si="2"/>
        <v>√</v>
      </c>
      <c r="F63" s="31" t="str">
        <f t="shared" si="3"/>
        <v>√</v>
      </c>
      <c r="G63" s="31"/>
    </row>
    <row r="64" spans="1:11" x14ac:dyDescent="0.25">
      <c r="A64" s="1">
        <v>44438</v>
      </c>
      <c r="B64" s="10" t="s">
        <v>14</v>
      </c>
      <c r="C64" s="31" t="s">
        <v>15</v>
      </c>
      <c r="D64" s="3">
        <v>0.5395833333333333</v>
      </c>
      <c r="E64" s="31" t="str">
        <f t="shared" si="2"/>
        <v>DESCANSO</v>
      </c>
      <c r="F64" s="31" t="str">
        <f t="shared" si="3"/>
        <v>√</v>
      </c>
      <c r="G64" s="31"/>
    </row>
    <row r="65" spans="1:6" x14ac:dyDescent="0.25">
      <c r="A65" s="1">
        <v>44439</v>
      </c>
      <c r="B65" s="10" t="s">
        <v>16</v>
      </c>
      <c r="C65" s="3">
        <v>0.52777777777777779</v>
      </c>
      <c r="D65" s="3" t="s">
        <v>15</v>
      </c>
      <c r="E65" s="31" t="str">
        <f t="shared" si="2"/>
        <v>√</v>
      </c>
      <c r="F65" s="31" t="str">
        <f t="shared" si="3"/>
        <v>DESCANSO</v>
      </c>
    </row>
    <row r="66" spans="1:6" x14ac:dyDescent="0.25">
      <c r="A66" s="1"/>
      <c r="B66" s="10"/>
      <c r="C66" s="31"/>
      <c r="D66" s="31"/>
      <c r="E66" s="31"/>
      <c r="F66" s="31"/>
    </row>
  </sheetData>
  <mergeCells count="6">
    <mergeCell ref="J57:K57"/>
    <mergeCell ref="E2:G2"/>
    <mergeCell ref="J2:K2"/>
    <mergeCell ref="J18:K18"/>
    <mergeCell ref="J29:K29"/>
    <mergeCell ref="J46:K46"/>
  </mergeCells>
  <phoneticPr fontId="2" type="noConversion"/>
  <conditionalFormatting sqref="G4:G45">
    <cfRule type="containsText" dxfId="65" priority="13" operator="containsText" text="PERMISO">
      <formula>NOT(ISERROR(SEARCH("PERMISO",G4)))</formula>
    </cfRule>
    <cfRule type="containsText" dxfId="64" priority="14" operator="containsText" text="RETARDO">
      <formula>NOT(ISERROR(SEARCH("RETARDO",G4)))</formula>
    </cfRule>
    <cfRule type="containsText" dxfId="63" priority="15" operator="containsText" text="FALTA">
      <formula>NOT(ISERROR(SEARCH("FALTA",G4)))</formula>
    </cfRule>
  </conditionalFormatting>
  <conditionalFormatting sqref="I3:K3 E1:G3 E66:G1048576 G4:G65">
    <cfRule type="containsText" dxfId="62" priority="12" operator="containsText" text="√">
      <formula>NOT(ISERROR(SEARCH("√",E1)))</formula>
    </cfRule>
  </conditionalFormatting>
  <conditionalFormatting sqref="E1:F3 E66:F1048576">
    <cfRule type="containsText" dxfId="61" priority="11" operator="containsText" text="DESCANSO">
      <formula>NOT(ISERROR(SEARCH("DESCANSO",E1)))</formula>
    </cfRule>
  </conditionalFormatting>
  <conditionalFormatting sqref="I47:K47">
    <cfRule type="containsText" dxfId="60" priority="10" operator="containsText" text="√">
      <formula>NOT(ISERROR(SEARCH("√",I47)))</formula>
    </cfRule>
  </conditionalFormatting>
  <conditionalFormatting sqref="I58:K58">
    <cfRule type="containsText" dxfId="59" priority="9" operator="containsText" text="√">
      <formula>NOT(ISERROR(SEARCH("√",I58)))</formula>
    </cfRule>
  </conditionalFormatting>
  <conditionalFormatting sqref="I19">
    <cfRule type="containsText" dxfId="58" priority="8" operator="containsText" text="√">
      <formula>NOT(ISERROR(SEARCH("√",I19)))</formula>
    </cfRule>
  </conditionalFormatting>
  <conditionalFormatting sqref="I30:K30">
    <cfRule type="containsText" dxfId="57" priority="7" operator="containsText" text="√">
      <formula>NOT(ISERROR(SEARCH("√",I30)))</formula>
    </cfRule>
  </conditionalFormatting>
  <conditionalFormatting sqref="E4:F65">
    <cfRule type="containsText" dxfId="56" priority="4" operator="containsText" text="PERMISO">
      <formula>NOT(ISERROR(SEARCH("PERMISO",E4)))</formula>
    </cfRule>
    <cfRule type="containsText" dxfId="55" priority="5" operator="containsText" text="RETARDO">
      <formula>NOT(ISERROR(SEARCH("RETARDO",E4)))</formula>
    </cfRule>
    <cfRule type="containsText" dxfId="54" priority="6" operator="containsText" text="FALTA">
      <formula>NOT(ISERROR(SEARCH("FALTA",E4)))</formula>
    </cfRule>
  </conditionalFormatting>
  <conditionalFormatting sqref="E4:F65">
    <cfRule type="containsText" dxfId="53" priority="3" operator="containsText" text="√">
      <formula>NOT(ISERROR(SEARCH("√",E4)))</formula>
    </cfRule>
  </conditionalFormatting>
  <conditionalFormatting sqref="E4:F65">
    <cfRule type="containsText" dxfId="52" priority="2" operator="containsText" text="DESCANSO">
      <formula>NOT(ISERROR(SEARCH("DESCANSO",E4)))</formula>
    </cfRule>
  </conditionalFormatting>
  <conditionalFormatting sqref="J19:K19">
    <cfRule type="containsText" dxfId="51" priority="1" operator="containsText" text="√">
      <formula>NOT(ISERROR(SEARCH("√",J19)))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66"/>
  <sheetViews>
    <sheetView workbookViewId="0">
      <selection activeCell="E1" sqref="E1"/>
    </sheetView>
  </sheetViews>
  <sheetFormatPr baseColWidth="10" defaultColWidth="11.42578125" defaultRowHeight="15" x14ac:dyDescent="0.25"/>
  <cols>
    <col min="2" max="2" width="15.85546875" style="26" bestFit="1" customWidth="1"/>
    <col min="3" max="3" width="11.42578125" style="26" customWidth="1"/>
    <col min="4" max="4" width="13.42578125" style="26" customWidth="1"/>
    <col min="5" max="6" width="11.85546875" style="26" customWidth="1"/>
    <col min="7" max="7" width="9.42578125" style="26" customWidth="1"/>
    <col min="9" max="9" width="17.28515625" bestFit="1" customWidth="1"/>
    <col min="10" max="10" width="11.85546875" bestFit="1" customWidth="1"/>
    <col min="11" max="11" width="11.85546875" customWidth="1"/>
  </cols>
  <sheetData>
    <row r="1" spans="1:16" ht="15.75" thickBot="1" x14ac:dyDescent="0.3">
      <c r="B1" s="31"/>
      <c r="C1" s="31"/>
      <c r="D1" s="31"/>
      <c r="E1" s="31"/>
      <c r="F1" s="31"/>
      <c r="G1" s="31"/>
    </row>
    <row r="2" spans="1:16" ht="15.75" thickBot="1" x14ac:dyDescent="0.3">
      <c r="B2" s="31"/>
      <c r="C2" s="31"/>
      <c r="D2" s="31"/>
      <c r="E2" s="37"/>
      <c r="F2" s="37"/>
      <c r="G2" s="38"/>
      <c r="J2" s="36" t="s">
        <v>114</v>
      </c>
      <c r="K2" s="36"/>
    </row>
    <row r="3" spans="1:16" ht="15.75" thickBot="1" x14ac:dyDescent="0.3">
      <c r="A3" s="4" t="s">
        <v>1</v>
      </c>
      <c r="B3" s="9" t="s">
        <v>2</v>
      </c>
      <c r="C3" s="5" t="s">
        <v>24</v>
      </c>
      <c r="D3" s="5" t="s">
        <v>23</v>
      </c>
      <c r="E3" s="5" t="s">
        <v>24</v>
      </c>
      <c r="F3" s="21" t="s">
        <v>23</v>
      </c>
      <c r="G3" s="6"/>
      <c r="I3" s="7" t="s">
        <v>5</v>
      </c>
      <c r="J3" s="7" t="s">
        <v>23</v>
      </c>
      <c r="K3" s="7" t="s">
        <v>24</v>
      </c>
    </row>
    <row r="4" spans="1:16" x14ac:dyDescent="0.25">
      <c r="A4" s="1">
        <v>44316</v>
      </c>
      <c r="B4" s="10" t="s">
        <v>10</v>
      </c>
      <c r="C4" s="3">
        <v>0.56111111111111112</v>
      </c>
      <c r="D4" s="3">
        <v>0.56111111111111112</v>
      </c>
      <c r="E4" s="31" t="str">
        <f>IF(EXACT(C4,"F"),"FALTA",IF(EXACT(C4,"D"),"DESCANSO",IF(EXACT(C4,""),"",IF(EXACT(C4,"P"),"PERMISO",IF(VALUE(C4)&gt;VALUE("13:20"),"RETARDO",IF(VALUE(C4)&gt;VALUE("13:10"),"RETARDO",IF(EXACT(C4,"F"),"FALTA","√")))))))</f>
        <v>RETARDO</v>
      </c>
      <c r="F4" s="31" t="str">
        <f t="shared" ref="F4:F64" si="0">IF(EXACT(D4,"F"),"FALTA",IF(EXACT(D4,"D"),"DESCANSO",IF(EXACT(D4,""),"",IF(EXACT(D4,"P"),"PERMISO",IF(IF(WEEKDAY(A4,11)&gt;=4,VALUE(D4)&gt;VALUE("13:10"),VALUE(D4)&gt;VALUE("13:10")),"RETARDO",IF(EXACT(D4,"F"),"FALTA","√"))))))</f>
        <v>RETARDO</v>
      </c>
      <c r="G4" s="31"/>
      <c r="I4" t="s">
        <v>7</v>
      </c>
      <c r="J4">
        <f>COUNTIF($F$4:$F$18,"RETARDO")</f>
        <v>6</v>
      </c>
      <c r="K4">
        <f>COUNTIF(E$4:E$18,"RETARDO")</f>
        <v>11</v>
      </c>
    </row>
    <row r="5" spans="1:16" x14ac:dyDescent="0.25">
      <c r="A5" s="1">
        <v>44317</v>
      </c>
      <c r="B5" s="10" t="s">
        <v>12</v>
      </c>
      <c r="C5" s="3">
        <v>0.5805555555555556</v>
      </c>
      <c r="D5" s="3">
        <v>0.58680555555555558</v>
      </c>
      <c r="E5" s="31" t="str">
        <f t="shared" ref="E5:E65" si="1">IF(EXACT(C5,"F"),"FALTA",IF(EXACT(C5,"D"),"DESCANSO",IF(EXACT(C5,""),"",IF(EXACT(C5,"P"),"PERMISO",IF(VALUE(C5)&gt;VALUE("13:20"),"RETARDO",IF(VALUE(C5)&gt;VALUE("13:10"),"RETARDO",IF(EXACT(C5,"F"),"FALTA","√")))))))</f>
        <v>RETARDO</v>
      </c>
      <c r="F5" s="31" t="str">
        <f t="shared" si="0"/>
        <v>RETARDO</v>
      </c>
      <c r="G5" s="31"/>
      <c r="I5" t="s">
        <v>9</v>
      </c>
      <c r="J5">
        <f>COUNTIF($F$4:$F$18,"FALTA")</f>
        <v>0</v>
      </c>
      <c r="K5">
        <f>COUNTIF(E$4:E$18,"FALTA")</f>
        <v>0</v>
      </c>
    </row>
    <row r="6" spans="1:16" x14ac:dyDescent="0.25">
      <c r="A6" s="1">
        <v>44318</v>
      </c>
      <c r="B6" s="10" t="s">
        <v>13</v>
      </c>
      <c r="C6" s="3">
        <v>0.55486111111111114</v>
      </c>
      <c r="D6" s="3">
        <v>0.56458333333333333</v>
      </c>
      <c r="E6" s="31" t="str">
        <f t="shared" si="1"/>
        <v>RETARDO</v>
      </c>
      <c r="F6" s="31" t="str">
        <f t="shared" si="0"/>
        <v>RETARDO</v>
      </c>
      <c r="G6" s="31"/>
      <c r="I6" t="s">
        <v>11</v>
      </c>
      <c r="J6">
        <f>ROUNDDOWN(J4/3,0)+J5</f>
        <v>2</v>
      </c>
      <c r="K6">
        <f>ROUNDDOWN(K4/3,0)+K5</f>
        <v>3</v>
      </c>
    </row>
    <row r="7" spans="1:16" x14ac:dyDescent="0.25">
      <c r="A7" s="1">
        <v>44319</v>
      </c>
      <c r="B7" s="10" t="s">
        <v>14</v>
      </c>
      <c r="C7" s="3">
        <v>0.58680555555555558</v>
      </c>
      <c r="D7" s="3">
        <v>0.5625</v>
      </c>
      <c r="E7" s="31" t="str">
        <f t="shared" si="1"/>
        <v>RETARDO</v>
      </c>
      <c r="F7" s="31" t="str">
        <f t="shared" si="0"/>
        <v>RETARDO</v>
      </c>
      <c r="G7" s="31"/>
    </row>
    <row r="8" spans="1:16" x14ac:dyDescent="0.25">
      <c r="A8" s="1">
        <v>44320</v>
      </c>
      <c r="B8" s="10" t="s">
        <v>16</v>
      </c>
      <c r="C8" s="3">
        <v>0.54861111111111105</v>
      </c>
      <c r="D8" s="3" t="s">
        <v>15</v>
      </c>
      <c r="E8" s="31" t="str">
        <f t="shared" si="1"/>
        <v>√</v>
      </c>
      <c r="F8" s="31" t="str">
        <f t="shared" si="0"/>
        <v>DESCANSO</v>
      </c>
      <c r="G8" s="31"/>
    </row>
    <row r="9" spans="1:16" x14ac:dyDescent="0.25">
      <c r="A9" s="1">
        <v>44321</v>
      </c>
      <c r="B9" s="10" t="s">
        <v>17</v>
      </c>
      <c r="C9" s="3" t="s">
        <v>15</v>
      </c>
      <c r="D9" s="3">
        <v>0.55902777777777779</v>
      </c>
      <c r="E9" s="31" t="str">
        <f t="shared" si="1"/>
        <v>DESCANSO</v>
      </c>
      <c r="F9" s="31" t="str">
        <f t="shared" si="0"/>
        <v>RETARDO</v>
      </c>
      <c r="G9" s="31"/>
    </row>
    <row r="10" spans="1:16" x14ac:dyDescent="0.25">
      <c r="A10" s="1">
        <v>44322</v>
      </c>
      <c r="B10" s="10" t="s">
        <v>8</v>
      </c>
      <c r="C10" s="3">
        <v>0.55347222222222225</v>
      </c>
      <c r="D10" s="3">
        <v>0.5541666666666667</v>
      </c>
      <c r="E10" s="31" t="str">
        <f t="shared" si="1"/>
        <v>RETARDO</v>
      </c>
      <c r="F10" s="31" t="str">
        <f t="shared" si="0"/>
        <v>RETARDO</v>
      </c>
      <c r="G10" s="31"/>
    </row>
    <row r="11" spans="1:16" x14ac:dyDescent="0.25">
      <c r="A11" s="1">
        <v>44323</v>
      </c>
      <c r="B11" s="10" t="s">
        <v>10</v>
      </c>
      <c r="C11" s="3">
        <v>0.5493055555555556</v>
      </c>
      <c r="D11" s="3"/>
      <c r="E11" s="31" t="str">
        <f t="shared" si="1"/>
        <v>RETARDO</v>
      </c>
      <c r="F11" s="31" t="str">
        <f t="shared" si="0"/>
        <v/>
      </c>
      <c r="G11" s="31"/>
    </row>
    <row r="12" spans="1:16" x14ac:dyDescent="0.25">
      <c r="A12" s="1">
        <v>44324</v>
      </c>
      <c r="B12" s="10" t="s">
        <v>12</v>
      </c>
      <c r="C12" s="3">
        <v>0.56944444444444442</v>
      </c>
      <c r="D12" s="3"/>
      <c r="E12" s="31" t="str">
        <f t="shared" si="1"/>
        <v>RETARDO</v>
      </c>
      <c r="F12" s="31" t="str">
        <f t="shared" si="0"/>
        <v/>
      </c>
      <c r="G12" s="31"/>
    </row>
    <row r="13" spans="1:16" x14ac:dyDescent="0.25">
      <c r="A13" s="1">
        <v>44325</v>
      </c>
      <c r="B13" s="10" t="s">
        <v>13</v>
      </c>
      <c r="C13" s="3">
        <v>0.58750000000000002</v>
      </c>
      <c r="D13" s="3"/>
      <c r="E13" s="31" t="str">
        <f t="shared" si="1"/>
        <v>RETARDO</v>
      </c>
      <c r="F13" s="31" t="str">
        <f t="shared" si="0"/>
        <v/>
      </c>
      <c r="G13" s="31" t="s">
        <v>18</v>
      </c>
      <c r="O13" s="1"/>
      <c r="P13" s="1"/>
    </row>
    <row r="14" spans="1:16" x14ac:dyDescent="0.25">
      <c r="A14" s="1">
        <v>44326</v>
      </c>
      <c r="B14" s="10" t="s">
        <v>14</v>
      </c>
      <c r="C14" s="3">
        <v>0.55763888888888891</v>
      </c>
      <c r="D14" s="3"/>
      <c r="E14" s="31" t="str">
        <f t="shared" si="1"/>
        <v>RETARDO</v>
      </c>
      <c r="F14" s="31" t="str">
        <f t="shared" si="0"/>
        <v/>
      </c>
      <c r="G14" s="31"/>
    </row>
    <row r="15" spans="1:16" x14ac:dyDescent="0.25">
      <c r="A15" s="1">
        <v>44327</v>
      </c>
      <c r="B15" s="10" t="s">
        <v>16</v>
      </c>
      <c r="C15" s="3">
        <v>0.57986111111111105</v>
      </c>
      <c r="D15" s="3"/>
      <c r="E15" s="31" t="str">
        <f t="shared" si="1"/>
        <v>RETARDO</v>
      </c>
      <c r="F15" s="31" t="str">
        <f t="shared" si="0"/>
        <v/>
      </c>
      <c r="G15" s="31"/>
    </row>
    <row r="16" spans="1:16" x14ac:dyDescent="0.25">
      <c r="A16" s="1">
        <v>44328</v>
      </c>
      <c r="B16" s="10" t="s">
        <v>17</v>
      </c>
      <c r="C16" s="3" t="s">
        <v>15</v>
      </c>
      <c r="D16" s="3"/>
      <c r="E16" s="31" t="str">
        <f t="shared" si="1"/>
        <v>DESCANSO</v>
      </c>
      <c r="F16" s="31" t="str">
        <f t="shared" si="0"/>
        <v/>
      </c>
      <c r="G16" s="31"/>
    </row>
    <row r="17" spans="1:14" x14ac:dyDescent="0.25">
      <c r="A17" s="1">
        <v>44329</v>
      </c>
      <c r="B17" s="10" t="s">
        <v>8</v>
      </c>
      <c r="C17" s="3">
        <v>0.54166666666666663</v>
      </c>
      <c r="D17" s="3"/>
      <c r="E17" s="31" t="str">
        <f t="shared" si="1"/>
        <v>√</v>
      </c>
      <c r="F17" s="31" t="str">
        <f t="shared" si="0"/>
        <v/>
      </c>
      <c r="G17" s="31"/>
    </row>
    <row r="18" spans="1:14" x14ac:dyDescent="0.25">
      <c r="A18" s="1">
        <v>44330</v>
      </c>
      <c r="B18" s="10" t="s">
        <v>10</v>
      </c>
      <c r="C18" s="3">
        <v>0.55208333333333337</v>
      </c>
      <c r="D18" s="3"/>
      <c r="E18" s="31" t="str">
        <f t="shared" si="1"/>
        <v>RETARDO</v>
      </c>
      <c r="F18" s="31" t="str">
        <f t="shared" si="0"/>
        <v/>
      </c>
      <c r="G18" s="31"/>
      <c r="J18" s="36" t="s">
        <v>115</v>
      </c>
      <c r="K18" s="36"/>
    </row>
    <row r="19" spans="1:14" x14ac:dyDescent="0.25">
      <c r="A19" s="1">
        <v>44331</v>
      </c>
      <c r="B19" s="10" t="s">
        <v>12</v>
      </c>
      <c r="C19" s="3">
        <v>0.54861111111111105</v>
      </c>
      <c r="D19" s="3"/>
      <c r="E19" s="31" t="str">
        <f t="shared" si="1"/>
        <v>√</v>
      </c>
      <c r="F19" s="31" t="str">
        <f t="shared" si="0"/>
        <v/>
      </c>
      <c r="G19" s="31"/>
      <c r="I19" s="7" t="s">
        <v>5</v>
      </c>
      <c r="J19" s="7" t="s">
        <v>23</v>
      </c>
      <c r="K19" s="7" t="s">
        <v>24</v>
      </c>
    </row>
    <row r="20" spans="1:14" x14ac:dyDescent="0.25">
      <c r="A20" s="1">
        <v>44332</v>
      </c>
      <c r="B20" s="10" t="s">
        <v>13</v>
      </c>
      <c r="C20" s="3">
        <v>0.54166666666666663</v>
      </c>
      <c r="D20" s="3"/>
      <c r="E20" s="31" t="str">
        <f t="shared" si="1"/>
        <v>√</v>
      </c>
      <c r="F20" s="31" t="str">
        <f t="shared" si="0"/>
        <v/>
      </c>
      <c r="G20" s="31"/>
      <c r="I20" t="s">
        <v>7</v>
      </c>
      <c r="J20">
        <f>COUNTIF($F$19:$F$35,"RETARDO")</f>
        <v>0</v>
      </c>
      <c r="K20">
        <f>COUNTIF(E$19:E$34,"RETARDO")</f>
        <v>10</v>
      </c>
    </row>
    <row r="21" spans="1:14" x14ac:dyDescent="0.25">
      <c r="A21" s="1">
        <v>44333</v>
      </c>
      <c r="B21" s="10" t="s">
        <v>14</v>
      </c>
      <c r="C21" s="3" t="s">
        <v>113</v>
      </c>
      <c r="D21" s="3"/>
      <c r="E21" s="31" t="str">
        <f t="shared" si="1"/>
        <v>PERMISO</v>
      </c>
      <c r="F21" s="3">
        <v>0.57638888888888895</v>
      </c>
      <c r="G21" s="31"/>
      <c r="I21" t="s">
        <v>9</v>
      </c>
      <c r="J21">
        <f>COUNTIF($F$19:$F$35,"FALTA")</f>
        <v>0</v>
      </c>
      <c r="K21">
        <f>COUNTIF(E$19:E$34,"FALTA")</f>
        <v>0</v>
      </c>
    </row>
    <row r="22" spans="1:14" x14ac:dyDescent="0.25">
      <c r="A22" s="1">
        <v>44334</v>
      </c>
      <c r="B22" s="10" t="s">
        <v>16</v>
      </c>
      <c r="C22" s="3" t="s">
        <v>15</v>
      </c>
      <c r="D22" s="3"/>
      <c r="E22" s="31" t="str">
        <f t="shared" si="1"/>
        <v>DESCANSO</v>
      </c>
      <c r="F22" s="31" t="str">
        <f t="shared" si="0"/>
        <v/>
      </c>
      <c r="G22" s="31"/>
      <c r="I22" t="s">
        <v>11</v>
      </c>
      <c r="J22">
        <f>ROUNDDOWN(J20/3,0)+J21</f>
        <v>0</v>
      </c>
      <c r="K22">
        <f>ROUNDDOWN(K20/3,0)+K21</f>
        <v>3</v>
      </c>
    </row>
    <row r="23" spans="1:14" x14ac:dyDescent="0.25">
      <c r="A23" s="1">
        <v>44335</v>
      </c>
      <c r="B23" s="10" t="s">
        <v>17</v>
      </c>
      <c r="C23" s="3">
        <v>0.54861111111111105</v>
      </c>
      <c r="D23" s="3"/>
      <c r="E23" s="31" t="str">
        <f t="shared" si="1"/>
        <v>√</v>
      </c>
      <c r="F23" s="31" t="str">
        <f t="shared" si="0"/>
        <v/>
      </c>
      <c r="G23" s="31"/>
      <c r="N23" s="1"/>
    </row>
    <row r="24" spans="1:14" x14ac:dyDescent="0.25">
      <c r="A24" s="1">
        <v>44336</v>
      </c>
      <c r="B24" s="10" t="s">
        <v>8</v>
      </c>
      <c r="C24" s="3">
        <v>0.57291666666666663</v>
      </c>
      <c r="D24" s="3"/>
      <c r="E24" s="31" t="str">
        <f t="shared" si="1"/>
        <v>RETARDO</v>
      </c>
      <c r="F24" s="31" t="str">
        <f t="shared" si="0"/>
        <v/>
      </c>
      <c r="G24" s="31"/>
      <c r="N24" s="1"/>
    </row>
    <row r="25" spans="1:14" x14ac:dyDescent="0.25">
      <c r="A25" s="1">
        <v>44337</v>
      </c>
      <c r="B25" s="10" t="s">
        <v>10</v>
      </c>
      <c r="C25" s="3">
        <v>0.56944444444444442</v>
      </c>
      <c r="D25" s="3"/>
      <c r="E25" s="31" t="str">
        <f t="shared" si="1"/>
        <v>RETARDO</v>
      </c>
      <c r="F25" s="31" t="str">
        <f t="shared" si="0"/>
        <v/>
      </c>
      <c r="G25" s="31"/>
      <c r="N25" s="1"/>
    </row>
    <row r="26" spans="1:14" x14ac:dyDescent="0.25">
      <c r="A26" s="1">
        <v>44338</v>
      </c>
      <c r="B26" s="10" t="s">
        <v>12</v>
      </c>
      <c r="C26" s="3">
        <v>0.57986111111111105</v>
      </c>
      <c r="D26" s="3"/>
      <c r="E26" s="31" t="str">
        <f t="shared" si="1"/>
        <v>RETARDO</v>
      </c>
      <c r="F26" s="31" t="str">
        <f t="shared" si="0"/>
        <v/>
      </c>
      <c r="G26" s="31"/>
      <c r="N26" s="1"/>
    </row>
    <row r="27" spans="1:14" x14ac:dyDescent="0.25">
      <c r="A27" s="1">
        <v>44339</v>
      </c>
      <c r="B27" s="10" t="s">
        <v>13</v>
      </c>
      <c r="C27" s="3">
        <v>0.55902777777777779</v>
      </c>
      <c r="D27" s="3"/>
      <c r="E27" s="31" t="str">
        <f t="shared" si="1"/>
        <v>RETARDO</v>
      </c>
      <c r="F27" s="31" t="str">
        <f t="shared" si="0"/>
        <v/>
      </c>
      <c r="G27" s="31"/>
    </row>
    <row r="28" spans="1:14" ht="15" customHeight="1" x14ac:dyDescent="0.25">
      <c r="A28" s="1">
        <v>44340</v>
      </c>
      <c r="B28" s="10" t="s">
        <v>14</v>
      </c>
      <c r="C28" s="3" t="s">
        <v>15</v>
      </c>
      <c r="D28" s="3"/>
      <c r="E28" s="31" t="str">
        <f t="shared" si="1"/>
        <v>DESCANSO</v>
      </c>
      <c r="F28" s="31" t="str">
        <f t="shared" si="0"/>
        <v/>
      </c>
      <c r="G28" s="31"/>
    </row>
    <row r="29" spans="1:14" ht="15" customHeight="1" x14ac:dyDescent="0.25">
      <c r="A29" s="1">
        <v>44341</v>
      </c>
      <c r="B29" s="10" t="s">
        <v>16</v>
      </c>
      <c r="C29" s="3">
        <v>0.59375</v>
      </c>
      <c r="D29" s="3"/>
      <c r="E29" s="31" t="str">
        <f t="shared" si="1"/>
        <v>RETARDO</v>
      </c>
      <c r="F29" s="31" t="str">
        <f t="shared" si="0"/>
        <v/>
      </c>
      <c r="G29" s="31"/>
      <c r="J29" s="36" t="s">
        <v>116</v>
      </c>
      <c r="K29" s="36"/>
    </row>
    <row r="30" spans="1:14" ht="15" customHeight="1" x14ac:dyDescent="0.25">
      <c r="A30" s="1">
        <v>44342</v>
      </c>
      <c r="B30" s="10" t="s">
        <v>17</v>
      </c>
      <c r="C30" s="3">
        <v>0.55486111111111114</v>
      </c>
      <c r="D30" s="3"/>
      <c r="E30" s="31" t="str">
        <f t="shared" si="1"/>
        <v>RETARDO</v>
      </c>
      <c r="F30" s="31" t="str">
        <f t="shared" si="0"/>
        <v/>
      </c>
      <c r="G30" s="31"/>
      <c r="I30" s="7" t="s">
        <v>5</v>
      </c>
      <c r="J30" s="7" t="s">
        <v>23</v>
      </c>
      <c r="K30" s="7" t="s">
        <v>24</v>
      </c>
    </row>
    <row r="31" spans="1:14" x14ac:dyDescent="0.25">
      <c r="A31" s="1">
        <v>44343</v>
      </c>
      <c r="B31" s="10" t="s">
        <v>8</v>
      </c>
      <c r="C31" s="3">
        <v>0.625</v>
      </c>
      <c r="D31" s="3"/>
      <c r="E31" s="31" t="str">
        <f t="shared" si="1"/>
        <v>RETARDO</v>
      </c>
      <c r="F31" s="31" t="str">
        <f t="shared" si="0"/>
        <v/>
      </c>
      <c r="G31" s="31"/>
      <c r="I31" t="s">
        <v>7</v>
      </c>
      <c r="J31">
        <f>COUNTIF($F$35:$F$49,"RETARDO")</f>
        <v>0</v>
      </c>
      <c r="K31">
        <f>COUNTIF(E$35:E$49,"RETARDO")</f>
        <v>11</v>
      </c>
    </row>
    <row r="32" spans="1:14" x14ac:dyDescent="0.25">
      <c r="A32" s="1">
        <v>44344</v>
      </c>
      <c r="B32" s="10" t="s">
        <v>10</v>
      </c>
      <c r="C32" s="3">
        <v>0.5625</v>
      </c>
      <c r="D32" s="3"/>
      <c r="E32" s="31" t="str">
        <f t="shared" si="1"/>
        <v>RETARDO</v>
      </c>
      <c r="F32" s="31" t="str">
        <f t="shared" si="0"/>
        <v/>
      </c>
      <c r="G32" s="31"/>
      <c r="I32" t="s">
        <v>9</v>
      </c>
      <c r="J32">
        <f>COUNTIF($F$35:$F$49,"FALTA")</f>
        <v>0</v>
      </c>
      <c r="K32">
        <f>COUNTIF(E$35:E$49,"FALTA")</f>
        <v>0</v>
      </c>
    </row>
    <row r="33" spans="1:13" x14ac:dyDescent="0.25">
      <c r="A33" s="1">
        <v>44345</v>
      </c>
      <c r="B33" s="10" t="s">
        <v>12</v>
      </c>
      <c r="C33" s="3">
        <v>0.59652777777777777</v>
      </c>
      <c r="D33" s="3"/>
      <c r="E33" s="31" t="str">
        <f t="shared" si="1"/>
        <v>RETARDO</v>
      </c>
      <c r="F33" s="31" t="str">
        <f t="shared" si="0"/>
        <v/>
      </c>
      <c r="G33" s="31"/>
      <c r="I33" t="s">
        <v>11</v>
      </c>
      <c r="J33">
        <f>ROUNDDOWN(J31/3,0)+J32</f>
        <v>0</v>
      </c>
      <c r="K33">
        <f>ROUNDDOWN(K31/3,0)+K32</f>
        <v>3</v>
      </c>
    </row>
    <row r="34" spans="1:13" x14ac:dyDescent="0.25">
      <c r="A34" s="1">
        <v>44346</v>
      </c>
      <c r="B34" s="10" t="s">
        <v>13</v>
      </c>
      <c r="C34" s="3">
        <v>0.59861111111111109</v>
      </c>
      <c r="D34" s="3"/>
      <c r="E34" s="31" t="str">
        <f t="shared" si="1"/>
        <v>RETARDO</v>
      </c>
      <c r="F34" s="31" t="str">
        <f t="shared" si="0"/>
        <v/>
      </c>
      <c r="G34" s="28"/>
    </row>
    <row r="35" spans="1:13" x14ac:dyDescent="0.25">
      <c r="A35" s="1">
        <v>44347</v>
      </c>
      <c r="B35" s="10" t="s">
        <v>14</v>
      </c>
      <c r="C35" s="3" t="s">
        <v>15</v>
      </c>
      <c r="D35" s="3"/>
      <c r="E35" s="31" t="str">
        <f t="shared" si="1"/>
        <v>DESCANSO</v>
      </c>
      <c r="F35" s="31" t="str">
        <f t="shared" si="0"/>
        <v/>
      </c>
      <c r="G35" s="28"/>
      <c r="M35" t="s">
        <v>18</v>
      </c>
    </row>
    <row r="36" spans="1:13" x14ac:dyDescent="0.25">
      <c r="A36" s="1">
        <v>44348</v>
      </c>
      <c r="B36" s="10" t="s">
        <v>16</v>
      </c>
      <c r="C36" s="3">
        <v>0.55694444444444446</v>
      </c>
      <c r="D36" s="3"/>
      <c r="E36" s="31" t="str">
        <f t="shared" si="1"/>
        <v>RETARDO</v>
      </c>
      <c r="F36" s="31" t="str">
        <f t="shared" si="0"/>
        <v/>
      </c>
      <c r="G36" s="28"/>
    </row>
    <row r="37" spans="1:13" x14ac:dyDescent="0.25">
      <c r="A37" s="1">
        <v>44349</v>
      </c>
      <c r="B37" s="10" t="s">
        <v>17</v>
      </c>
      <c r="C37" s="3">
        <v>0.58333333333333337</v>
      </c>
      <c r="D37" s="3"/>
      <c r="E37" s="31" t="str">
        <f t="shared" si="1"/>
        <v>RETARDO</v>
      </c>
      <c r="F37" s="31" t="str">
        <f t="shared" si="0"/>
        <v/>
      </c>
      <c r="G37" s="28"/>
    </row>
    <row r="38" spans="1:13" x14ac:dyDescent="0.25">
      <c r="A38" s="1">
        <v>44350</v>
      </c>
      <c r="B38" s="10" t="s">
        <v>8</v>
      </c>
      <c r="C38" s="3" t="s">
        <v>113</v>
      </c>
      <c r="D38" s="3"/>
      <c r="E38" s="31" t="str">
        <f t="shared" si="1"/>
        <v>PERMISO</v>
      </c>
      <c r="F38" s="31" t="s">
        <v>117</v>
      </c>
      <c r="G38" s="28"/>
    </row>
    <row r="39" spans="1:13" x14ac:dyDescent="0.25">
      <c r="A39" s="1">
        <v>44351</v>
      </c>
      <c r="B39" s="10" t="s">
        <v>10</v>
      </c>
      <c r="C39" s="3">
        <v>0.55902777777777779</v>
      </c>
      <c r="D39" s="3"/>
      <c r="E39" s="31" t="str">
        <f t="shared" si="1"/>
        <v>RETARDO</v>
      </c>
      <c r="F39" s="31" t="str">
        <f t="shared" si="0"/>
        <v/>
      </c>
      <c r="G39" s="28"/>
    </row>
    <row r="40" spans="1:13" x14ac:dyDescent="0.25">
      <c r="A40" s="1">
        <v>44352</v>
      </c>
      <c r="B40" s="10" t="s">
        <v>12</v>
      </c>
      <c r="C40" s="3">
        <v>0.58888888888888891</v>
      </c>
      <c r="D40" s="3"/>
      <c r="E40" s="31" t="str">
        <f t="shared" si="1"/>
        <v>RETARDO</v>
      </c>
      <c r="F40" s="31" t="str">
        <f t="shared" si="0"/>
        <v/>
      </c>
      <c r="G40" s="28"/>
    </row>
    <row r="41" spans="1:13" x14ac:dyDescent="0.25">
      <c r="A41" s="1">
        <v>44353</v>
      </c>
      <c r="B41" s="10" t="s">
        <v>13</v>
      </c>
      <c r="C41" s="3">
        <v>0.60416666666666663</v>
      </c>
      <c r="D41" s="3"/>
      <c r="E41" s="31" t="str">
        <f t="shared" si="1"/>
        <v>RETARDO</v>
      </c>
      <c r="F41" s="31" t="str">
        <f t="shared" si="0"/>
        <v/>
      </c>
      <c r="G41" s="28"/>
    </row>
    <row r="42" spans="1:13" x14ac:dyDescent="0.25">
      <c r="A42" s="1">
        <v>44354</v>
      </c>
      <c r="B42" s="10" t="s">
        <v>14</v>
      </c>
      <c r="C42" s="3" t="s">
        <v>15</v>
      </c>
      <c r="D42" s="3"/>
      <c r="E42" s="31" t="str">
        <f t="shared" si="1"/>
        <v>DESCANSO</v>
      </c>
      <c r="F42" s="31" t="str">
        <f t="shared" si="0"/>
        <v/>
      </c>
      <c r="G42" s="28"/>
    </row>
    <row r="43" spans="1:13" x14ac:dyDescent="0.25">
      <c r="A43" s="1">
        <v>44355</v>
      </c>
      <c r="B43" s="10" t="s">
        <v>16</v>
      </c>
      <c r="C43" s="3">
        <v>0.55138888888888882</v>
      </c>
      <c r="D43" s="3"/>
      <c r="E43" s="31" t="str">
        <f t="shared" si="1"/>
        <v>RETARDO</v>
      </c>
      <c r="F43" s="31" t="str">
        <f t="shared" si="0"/>
        <v/>
      </c>
      <c r="G43" s="28"/>
    </row>
    <row r="44" spans="1:13" x14ac:dyDescent="0.25">
      <c r="A44" s="1">
        <v>44356</v>
      </c>
      <c r="B44" s="10" t="s">
        <v>17</v>
      </c>
      <c r="C44" s="3">
        <v>0.54861111111111105</v>
      </c>
      <c r="D44" s="3"/>
      <c r="E44" s="31" t="str">
        <f t="shared" si="1"/>
        <v>√</v>
      </c>
      <c r="F44" s="31" t="str">
        <f t="shared" si="0"/>
        <v/>
      </c>
      <c r="G44" s="28"/>
    </row>
    <row r="45" spans="1:13" x14ac:dyDescent="0.25">
      <c r="A45" s="1">
        <v>44357</v>
      </c>
      <c r="B45" s="10" t="s">
        <v>8</v>
      </c>
      <c r="C45" s="3">
        <v>0.625</v>
      </c>
      <c r="D45" s="3"/>
      <c r="E45" s="31" t="str">
        <f t="shared" si="1"/>
        <v>RETARDO</v>
      </c>
      <c r="F45" s="31" t="str">
        <f t="shared" si="0"/>
        <v/>
      </c>
      <c r="G45" s="28"/>
    </row>
    <row r="46" spans="1:13" x14ac:dyDescent="0.25">
      <c r="A46" s="1">
        <v>44358</v>
      </c>
      <c r="B46" s="10" t="s">
        <v>10</v>
      </c>
      <c r="C46" s="3">
        <v>0.59722222222222221</v>
      </c>
      <c r="D46" s="3"/>
      <c r="E46" s="31" t="str">
        <f t="shared" si="1"/>
        <v>RETARDO</v>
      </c>
      <c r="F46" s="31" t="str">
        <f t="shared" si="0"/>
        <v/>
      </c>
      <c r="G46" s="28"/>
      <c r="J46" s="36" t="s">
        <v>118</v>
      </c>
      <c r="K46" s="36"/>
    </row>
    <row r="47" spans="1:13" x14ac:dyDescent="0.25">
      <c r="A47" s="1">
        <v>44359</v>
      </c>
      <c r="B47" s="10" t="s">
        <v>12</v>
      </c>
      <c r="C47" s="3">
        <v>0.64097222222222217</v>
      </c>
      <c r="D47" s="3"/>
      <c r="E47" s="31" t="str">
        <f t="shared" si="1"/>
        <v>RETARDO</v>
      </c>
      <c r="F47" s="31" t="str">
        <f t="shared" si="0"/>
        <v/>
      </c>
      <c r="G47" s="28"/>
      <c r="I47" s="7" t="s">
        <v>5</v>
      </c>
      <c r="J47" s="7" t="s">
        <v>32</v>
      </c>
      <c r="K47" s="7" t="s">
        <v>24</v>
      </c>
    </row>
    <row r="48" spans="1:13" x14ac:dyDescent="0.25">
      <c r="A48" s="1">
        <v>44360</v>
      </c>
      <c r="B48" s="10" t="s">
        <v>13</v>
      </c>
      <c r="C48" s="3">
        <v>0.57638888888888895</v>
      </c>
      <c r="D48" s="3"/>
      <c r="E48" s="31" t="str">
        <f t="shared" si="1"/>
        <v>RETARDO</v>
      </c>
      <c r="F48" s="31" t="str">
        <f t="shared" si="0"/>
        <v/>
      </c>
      <c r="G48" s="31"/>
      <c r="I48" t="s">
        <v>7</v>
      </c>
      <c r="J48">
        <f>COUNTIF(F$50:F$64,"RETARDO")</f>
        <v>1</v>
      </c>
      <c r="K48">
        <f>COUNTIF(E$50:E$64,"RETARDO")</f>
        <v>10</v>
      </c>
    </row>
    <row r="49" spans="1:11" x14ac:dyDescent="0.25">
      <c r="A49" s="1">
        <v>44361</v>
      </c>
      <c r="B49" s="10" t="s">
        <v>14</v>
      </c>
      <c r="C49" s="3">
        <v>0.56944444444444442</v>
      </c>
      <c r="D49" s="3"/>
      <c r="E49" s="31" t="str">
        <f t="shared" si="1"/>
        <v>RETARDO</v>
      </c>
      <c r="F49" s="31" t="str">
        <f t="shared" si="0"/>
        <v/>
      </c>
      <c r="G49" s="31"/>
      <c r="I49" t="s">
        <v>9</v>
      </c>
      <c r="J49">
        <f>COUNTIF(F$50:F$64,"FALTA")</f>
        <v>1</v>
      </c>
      <c r="K49">
        <f>COUNTIF(E$50:E$64,"FALTA")</f>
        <v>1</v>
      </c>
    </row>
    <row r="50" spans="1:11" x14ac:dyDescent="0.25">
      <c r="A50" s="1">
        <v>44362</v>
      </c>
      <c r="B50" s="10" t="s">
        <v>16</v>
      </c>
      <c r="C50" s="3">
        <v>0.57291666666666663</v>
      </c>
      <c r="D50" s="3"/>
      <c r="E50" s="31" t="str">
        <f t="shared" si="1"/>
        <v>RETARDO</v>
      </c>
      <c r="F50" s="31" t="str">
        <f t="shared" si="0"/>
        <v/>
      </c>
      <c r="G50" s="31"/>
      <c r="I50" t="s">
        <v>11</v>
      </c>
      <c r="J50">
        <f>ROUNDDOWN(J48/3,0)+J49</f>
        <v>1</v>
      </c>
      <c r="K50">
        <f>ROUNDDOWN(K48/3,0)+K49</f>
        <v>4</v>
      </c>
    </row>
    <row r="51" spans="1:11" x14ac:dyDescent="0.25">
      <c r="A51" s="1">
        <v>44363</v>
      </c>
      <c r="B51" s="10" t="s">
        <v>17</v>
      </c>
      <c r="C51" s="3" t="s">
        <v>15</v>
      </c>
      <c r="D51" s="3"/>
      <c r="E51" s="31" t="str">
        <f t="shared" si="1"/>
        <v>DESCANSO</v>
      </c>
      <c r="F51" s="31" t="str">
        <f t="shared" si="0"/>
        <v/>
      </c>
      <c r="G51" s="31"/>
    </row>
    <row r="52" spans="1:11" x14ac:dyDescent="0.25">
      <c r="A52" s="1">
        <v>44364</v>
      </c>
      <c r="B52" s="10" t="s">
        <v>8</v>
      </c>
      <c r="C52" s="3">
        <v>0.625</v>
      </c>
      <c r="D52" s="3"/>
      <c r="E52" s="31" t="str">
        <f t="shared" si="1"/>
        <v>RETARDO</v>
      </c>
      <c r="F52" s="31" t="str">
        <f t="shared" si="0"/>
        <v/>
      </c>
      <c r="G52" s="31"/>
    </row>
    <row r="53" spans="1:11" x14ac:dyDescent="0.25">
      <c r="A53" s="1">
        <v>44365</v>
      </c>
      <c r="B53" s="10" t="s">
        <v>10</v>
      </c>
      <c r="C53" s="3">
        <v>0.56874999999999998</v>
      </c>
      <c r="D53" s="3"/>
      <c r="E53" s="31" t="str">
        <f t="shared" si="1"/>
        <v>RETARDO</v>
      </c>
      <c r="F53" s="31" t="str">
        <f t="shared" si="0"/>
        <v/>
      </c>
      <c r="G53" s="31"/>
    </row>
    <row r="54" spans="1:11" x14ac:dyDescent="0.25">
      <c r="A54" s="1">
        <v>44366</v>
      </c>
      <c r="B54" s="10" t="s">
        <v>12</v>
      </c>
      <c r="C54" s="3">
        <v>0.54861111111111105</v>
      </c>
      <c r="D54" s="3"/>
      <c r="E54" s="31" t="str">
        <f t="shared" si="1"/>
        <v>√</v>
      </c>
      <c r="F54" s="31" t="str">
        <f t="shared" si="0"/>
        <v/>
      </c>
      <c r="G54" s="31"/>
    </row>
    <row r="55" spans="1:11" x14ac:dyDescent="0.25">
      <c r="A55" s="1">
        <v>44367</v>
      </c>
      <c r="B55" s="10" t="s">
        <v>13</v>
      </c>
      <c r="C55" s="3">
        <v>0.64583333333333337</v>
      </c>
      <c r="D55" s="27"/>
      <c r="E55" s="31" t="str">
        <f t="shared" si="1"/>
        <v>RETARDO</v>
      </c>
      <c r="F55" s="31" t="str">
        <f t="shared" si="0"/>
        <v/>
      </c>
      <c r="G55" s="31"/>
    </row>
    <row r="56" spans="1:11" x14ac:dyDescent="0.25">
      <c r="A56" s="1">
        <v>44368</v>
      </c>
      <c r="B56" s="10" t="s">
        <v>14</v>
      </c>
      <c r="C56" s="3">
        <v>0.55208333333333337</v>
      </c>
      <c r="D56" s="3"/>
      <c r="E56" s="31" t="str">
        <f t="shared" si="1"/>
        <v>RETARDO</v>
      </c>
      <c r="F56" s="31" t="str">
        <f t="shared" si="0"/>
        <v/>
      </c>
      <c r="G56" s="31"/>
    </row>
    <row r="57" spans="1:11" x14ac:dyDescent="0.25">
      <c r="A57" s="1">
        <v>44369</v>
      </c>
      <c r="B57" s="10" t="s">
        <v>16</v>
      </c>
      <c r="C57" s="3">
        <v>0.56180555555555556</v>
      </c>
      <c r="D57" s="27"/>
      <c r="E57" s="31" t="str">
        <f t="shared" si="1"/>
        <v>RETARDO</v>
      </c>
      <c r="F57" s="31" t="str">
        <f t="shared" si="0"/>
        <v/>
      </c>
      <c r="G57" s="31"/>
      <c r="J57" s="36" t="s">
        <v>22</v>
      </c>
      <c r="K57" s="36"/>
    </row>
    <row r="58" spans="1:11" x14ac:dyDescent="0.25">
      <c r="A58" s="1">
        <v>44370</v>
      </c>
      <c r="B58" s="10" t="s">
        <v>17</v>
      </c>
      <c r="C58" s="3" t="s">
        <v>15</v>
      </c>
      <c r="D58" s="3"/>
      <c r="E58" s="31" t="str">
        <f t="shared" si="1"/>
        <v>DESCANSO</v>
      </c>
      <c r="F58" s="31" t="str">
        <f t="shared" si="0"/>
        <v/>
      </c>
      <c r="G58" s="31"/>
      <c r="I58" s="7" t="s">
        <v>5</v>
      </c>
      <c r="J58" s="7" t="s">
        <v>23</v>
      </c>
      <c r="K58" s="7" t="s">
        <v>24</v>
      </c>
    </row>
    <row r="59" spans="1:11" x14ac:dyDescent="0.25">
      <c r="A59" s="1">
        <v>44371</v>
      </c>
      <c r="B59" s="10" t="s">
        <v>8</v>
      </c>
      <c r="C59" s="3">
        <v>0.59027777777777779</v>
      </c>
      <c r="D59" s="3"/>
      <c r="E59" s="31" t="str">
        <f t="shared" si="1"/>
        <v>RETARDO</v>
      </c>
      <c r="F59" s="31" t="str">
        <f t="shared" si="0"/>
        <v/>
      </c>
      <c r="G59" s="31"/>
      <c r="I59" t="s">
        <v>7</v>
      </c>
      <c r="J59">
        <f>COUNTIF(F$58:F$62,"RETARDO")</f>
        <v>1</v>
      </c>
      <c r="K59">
        <f>COUNTIF(E$58:E$62,"RETARDO")</f>
        <v>3</v>
      </c>
    </row>
    <row r="60" spans="1:11" x14ac:dyDescent="0.25">
      <c r="A60" s="1">
        <v>44372</v>
      </c>
      <c r="B60" s="10" t="s">
        <v>10</v>
      </c>
      <c r="C60" s="3">
        <v>0.54722222222222217</v>
      </c>
      <c r="D60" s="3">
        <v>0.53472222222222221</v>
      </c>
      <c r="E60" s="31" t="str">
        <f t="shared" si="1"/>
        <v>√</v>
      </c>
      <c r="F60" s="31" t="str">
        <f t="shared" si="0"/>
        <v>√</v>
      </c>
      <c r="G60" s="31"/>
      <c r="I60" t="s">
        <v>9</v>
      </c>
      <c r="J60">
        <f>COUNTIF(F$58:F$62,"FALTA")</f>
        <v>1</v>
      </c>
      <c r="K60">
        <f>COUNTIF(E$58:E$62,"FALTA")</f>
        <v>0</v>
      </c>
    </row>
    <row r="61" spans="1:11" x14ac:dyDescent="0.25">
      <c r="A61" s="1">
        <v>44373</v>
      </c>
      <c r="B61" s="10" t="s">
        <v>12</v>
      </c>
      <c r="C61" s="3">
        <v>0.59722222222222221</v>
      </c>
      <c r="D61" s="3">
        <v>0.57638888888888895</v>
      </c>
      <c r="E61" s="31" t="str">
        <f t="shared" si="1"/>
        <v>RETARDO</v>
      </c>
      <c r="F61" s="31" t="str">
        <f t="shared" si="0"/>
        <v>RETARDO</v>
      </c>
      <c r="G61" s="31"/>
      <c r="I61" t="s">
        <v>11</v>
      </c>
      <c r="J61">
        <f>ROUNDDOWN(J59/3,0)+J60</f>
        <v>1</v>
      </c>
      <c r="K61">
        <f>ROUNDDOWN(K59/3,0)+K60</f>
        <v>1</v>
      </c>
    </row>
    <row r="62" spans="1:11" x14ac:dyDescent="0.25">
      <c r="A62" s="1">
        <v>44374</v>
      </c>
      <c r="B62" s="10" t="s">
        <v>13</v>
      </c>
      <c r="C62" s="3">
        <v>0.55138888888888882</v>
      </c>
      <c r="D62" s="3" t="s">
        <v>110</v>
      </c>
      <c r="E62" s="31" t="str">
        <f t="shared" si="1"/>
        <v>RETARDO</v>
      </c>
      <c r="F62" s="31" t="str">
        <f t="shared" si="0"/>
        <v>FALTA</v>
      </c>
      <c r="G62" s="31"/>
    </row>
    <row r="63" spans="1:11" x14ac:dyDescent="0.25">
      <c r="A63" s="1">
        <v>44375</v>
      </c>
      <c r="B63" s="10" t="s">
        <v>14</v>
      </c>
      <c r="C63" s="3" t="s">
        <v>110</v>
      </c>
      <c r="D63" s="3"/>
      <c r="E63" s="31" t="str">
        <f t="shared" si="1"/>
        <v>FALTA</v>
      </c>
      <c r="F63" s="31" t="str">
        <f t="shared" si="0"/>
        <v/>
      </c>
      <c r="G63" s="31"/>
    </row>
    <row r="64" spans="1:11" x14ac:dyDescent="0.25">
      <c r="A64" s="1">
        <v>44376</v>
      </c>
      <c r="B64" s="10" t="s">
        <v>16</v>
      </c>
      <c r="C64" s="3">
        <v>0.57638888888888895</v>
      </c>
      <c r="D64" s="3"/>
      <c r="E64" s="31" t="str">
        <f t="shared" si="1"/>
        <v>RETARDO</v>
      </c>
      <c r="F64" s="31" t="str">
        <f t="shared" si="0"/>
        <v/>
      </c>
      <c r="G64" s="31"/>
    </row>
    <row r="65" spans="1:6" x14ac:dyDescent="0.25">
      <c r="A65" s="1">
        <v>44377</v>
      </c>
      <c r="B65" s="10" t="s">
        <v>17</v>
      </c>
      <c r="C65" s="3"/>
      <c r="D65" s="3"/>
      <c r="E65" s="31" t="str">
        <f t="shared" si="1"/>
        <v/>
      </c>
      <c r="F65" s="31" t="str">
        <f t="shared" ref="F65" si="2">IF(EXACT(D65,"F"),"FALTA",IF(EXACT(D65,"D"),"DESCANSO",IF(EXACT(D65,""),"",IF(EXACT(D65,"P"),"PERMISO",IF(IF(WEEKDAY(A65,11)&gt;=4,VALUE(D65)&gt;VALUE("13:10"),VALUE(D65)&gt;VALUE("13:10")),"RETARDO",IF(EXACT(D65,"F"),"FALTA","√"))))))</f>
        <v/>
      </c>
    </row>
    <row r="66" spans="1:6" x14ac:dyDescent="0.25">
      <c r="A66" s="1"/>
      <c r="B66" s="10"/>
      <c r="C66" s="31"/>
      <c r="D66" s="31"/>
      <c r="E66" s="31"/>
      <c r="F66" s="31"/>
    </row>
  </sheetData>
  <mergeCells count="6">
    <mergeCell ref="J57:K57"/>
    <mergeCell ref="E2:G2"/>
    <mergeCell ref="J2:K2"/>
    <mergeCell ref="J18:K18"/>
    <mergeCell ref="J29:K29"/>
    <mergeCell ref="J46:K46"/>
  </mergeCells>
  <phoneticPr fontId="2" type="noConversion"/>
  <conditionalFormatting sqref="G4:G47">
    <cfRule type="containsText" dxfId="50" priority="12" operator="containsText" text="PERMISO">
      <formula>NOT(ISERROR(SEARCH("PERMISO",G4)))</formula>
    </cfRule>
    <cfRule type="containsText" dxfId="49" priority="13" operator="containsText" text="RETARDO">
      <formula>NOT(ISERROR(SEARCH("RETARDO",G4)))</formula>
    </cfRule>
    <cfRule type="containsText" dxfId="48" priority="14" operator="containsText" text="FALTA">
      <formula>NOT(ISERROR(SEARCH("FALTA",G4)))</formula>
    </cfRule>
  </conditionalFormatting>
  <conditionalFormatting sqref="I3:K3 E1:G3 E66:G1048576 G4:G65">
    <cfRule type="containsText" dxfId="47" priority="11" operator="containsText" text="√">
      <formula>NOT(ISERROR(SEARCH("√",E1)))</formula>
    </cfRule>
  </conditionalFormatting>
  <conditionalFormatting sqref="E1:F3 E66:F1048576">
    <cfRule type="containsText" dxfId="46" priority="10" operator="containsText" text="DESCANSO">
      <formula>NOT(ISERROR(SEARCH("DESCANSO",E1)))</formula>
    </cfRule>
  </conditionalFormatting>
  <conditionalFormatting sqref="I47:K47">
    <cfRule type="containsText" dxfId="45" priority="9" operator="containsText" text="√">
      <formula>NOT(ISERROR(SEARCH("√",I47)))</formula>
    </cfRule>
  </conditionalFormatting>
  <conditionalFormatting sqref="I58:K58">
    <cfRule type="containsText" dxfId="44" priority="8" operator="containsText" text="√">
      <formula>NOT(ISERROR(SEARCH("√",I58)))</formula>
    </cfRule>
  </conditionalFormatting>
  <conditionalFormatting sqref="I19:K19">
    <cfRule type="containsText" dxfId="43" priority="7" operator="containsText" text="√">
      <formula>NOT(ISERROR(SEARCH("√",I19)))</formula>
    </cfRule>
  </conditionalFormatting>
  <conditionalFormatting sqref="I30:K30">
    <cfRule type="containsText" dxfId="42" priority="6" operator="containsText" text="√">
      <formula>NOT(ISERROR(SEARCH("√",I30)))</formula>
    </cfRule>
  </conditionalFormatting>
  <conditionalFormatting sqref="E4:F65">
    <cfRule type="containsText" dxfId="41" priority="3" operator="containsText" text="PERMISO">
      <formula>NOT(ISERROR(SEARCH("PERMISO",E4)))</formula>
    </cfRule>
    <cfRule type="containsText" dxfId="40" priority="4" operator="containsText" text="RETARDO">
      <formula>NOT(ISERROR(SEARCH("RETARDO",E4)))</formula>
    </cfRule>
    <cfRule type="containsText" dxfId="39" priority="5" operator="containsText" text="FALTA">
      <formula>NOT(ISERROR(SEARCH("FALTA",E4)))</formula>
    </cfRule>
  </conditionalFormatting>
  <conditionalFormatting sqref="E4:F65">
    <cfRule type="containsText" dxfId="38" priority="2" operator="containsText" text="√">
      <formula>NOT(ISERROR(SEARCH("√",E4)))</formula>
    </cfRule>
  </conditionalFormatting>
  <conditionalFormatting sqref="E4:F65">
    <cfRule type="containsText" dxfId="37" priority="1" operator="containsText" text="DESCANSO">
      <formula>NOT(ISERROR(SEARCH("DESCANSO",E4)))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2022_enefeb</vt:lpstr>
      <vt:lpstr>Sueldos</vt:lpstr>
      <vt:lpstr>Despidos</vt:lpstr>
      <vt:lpstr>Ingresos</vt:lpstr>
      <vt:lpstr>Hoja1</vt:lpstr>
      <vt:lpstr>2021_novdic</vt:lpstr>
      <vt:lpstr>2021_septoct</vt:lpstr>
      <vt:lpstr>2021_julago</vt:lpstr>
      <vt:lpstr>2021_mayjun</vt:lpstr>
      <vt:lpstr>2021_marabr</vt:lpstr>
      <vt:lpstr>2021_enefeb</vt:lpstr>
      <vt:lpstr>2020_sem2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Javier-Dell</dc:creator>
  <cp:keywords/>
  <dc:description/>
  <cp:lastModifiedBy>javierviniegra@hotmail.com</cp:lastModifiedBy>
  <cp:revision/>
  <dcterms:created xsi:type="dcterms:W3CDTF">2020-10-22T17:19:15Z</dcterms:created>
  <dcterms:modified xsi:type="dcterms:W3CDTF">2022-02-02T20:20:01Z</dcterms:modified>
  <cp:category/>
  <cp:contentStatus/>
</cp:coreProperties>
</file>