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00" windowHeight="7530"/>
  </bookViews>
  <sheets>
    <sheet name="Situación Patrimonial" sheetId="4" r:id="rId1"/>
  </sheets>
  <calcPr calcId="162913"/>
</workbook>
</file>

<file path=xl/calcChain.xml><?xml version="1.0" encoding="utf-8"?>
<calcChain xmlns="http://schemas.openxmlformats.org/spreadsheetml/2006/main">
  <c r="S36" i="4" l="1"/>
  <c r="G36" i="4"/>
  <c r="F35" i="4"/>
  <c r="F34" i="4" s="1"/>
  <c r="F33" i="4"/>
  <c r="G32" i="4"/>
  <c r="F32" i="4"/>
  <c r="F36" i="4" s="1"/>
  <c r="F29" i="4"/>
  <c r="F28" i="4"/>
  <c r="F27" i="4"/>
  <c r="K26" i="4"/>
  <c r="F26" i="4"/>
  <c r="K25" i="4"/>
  <c r="F25" i="4"/>
  <c r="K29" i="4" s="1"/>
  <c r="F24" i="4"/>
  <c r="K11" i="4"/>
  <c r="K9" i="4"/>
  <c r="K7" i="4"/>
  <c r="K5" i="4"/>
  <c r="L5" i="4" s="1"/>
  <c r="G26" i="4" l="1"/>
  <c r="L9" i="4"/>
  <c r="G27" i="4"/>
  <c r="K30" i="4"/>
  <c r="F30" i="4"/>
  <c r="K28" i="4"/>
  <c r="G29" i="4"/>
  <c r="K24" i="4"/>
  <c r="L7" i="4"/>
  <c r="G24" i="4"/>
  <c r="K31" i="4"/>
  <c r="G34" i="4"/>
  <c r="G30" i="4" l="1"/>
  <c r="F38" i="4"/>
  <c r="K33" i="4"/>
  <c r="G28" i="4"/>
  <c r="G25" i="4"/>
  <c r="K35" i="4" l="1"/>
  <c r="K34" i="4"/>
</calcChain>
</file>

<file path=xl/sharedStrings.xml><?xml version="1.0" encoding="utf-8"?>
<sst xmlns="http://schemas.openxmlformats.org/spreadsheetml/2006/main" count="264" uniqueCount="148">
  <si>
    <t xml:space="preserve">Carteras por: </t>
  </si>
  <si>
    <t>Exposición a:</t>
  </si>
  <si>
    <t>Patrimonio:</t>
  </si>
  <si>
    <t>OBJETIVO</t>
  </si>
  <si>
    <t>TIEMPO</t>
  </si>
  <si>
    <t>ACTIVO</t>
  </si>
  <si>
    <t>RF</t>
  </si>
  <si>
    <t>RV</t>
  </si>
  <si>
    <t>ACTUAL</t>
  </si>
  <si>
    <t>%</t>
  </si>
  <si>
    <t>Nº</t>
  </si>
  <si>
    <t>Entidad</t>
  </si>
  <si>
    <t>Importe</t>
  </si>
  <si>
    <t>Comentario</t>
  </si>
  <si>
    <t>Monetario</t>
  </si>
  <si>
    <t>Caixabank</t>
  </si>
  <si>
    <t>cuenta corriente nomina / fondo de emergencia</t>
  </si>
  <si>
    <t>A</t>
  </si>
  <si>
    <t>Ahorro</t>
  </si>
  <si>
    <t>Corto</t>
  </si>
  <si>
    <t>Sí</t>
  </si>
  <si>
    <t>No</t>
  </si>
  <si>
    <t>Sabadell</t>
  </si>
  <si>
    <t>cuenta corriente compartida</t>
  </si>
  <si>
    <t>Renta Variable</t>
  </si>
  <si>
    <t>ING</t>
  </si>
  <si>
    <t>B</t>
  </si>
  <si>
    <t>Inversión</t>
  </si>
  <si>
    <t>Medio</t>
  </si>
  <si>
    <t>Renta Fija / Inmuebles</t>
  </si>
  <si>
    <t>N26</t>
  </si>
  <si>
    <t>cuenta corriente gastos</t>
  </si>
  <si>
    <t xml:space="preserve">Freedom24 </t>
  </si>
  <si>
    <t>cuenta remunerada 3,9% + 5k 6 meses 4,84% + 5k 12 meses 5,81%</t>
  </si>
  <si>
    <t>C</t>
  </si>
  <si>
    <t>Previsión</t>
  </si>
  <si>
    <t>Largo</t>
  </si>
  <si>
    <t>Renta Variable / Criptos</t>
  </si>
  <si>
    <t>Trade Republic</t>
  </si>
  <si>
    <t>cuenta remunerada 4%</t>
  </si>
  <si>
    <t>Santander</t>
  </si>
  <si>
    <t>cuenta (hipoteca no contratada)</t>
  </si>
  <si>
    <t>*Matices en función de su uso u objetivo/misión</t>
  </si>
  <si>
    <t>BBVA</t>
  </si>
  <si>
    <t>cuenta (hipoteca recién firmada)</t>
  </si>
  <si>
    <t>-Criptos largo plazo? hay gente que sí otra que especula a corto/medio plazo, por eso difer. clasificaciones</t>
  </si>
  <si>
    <t>Myinvestor</t>
  </si>
  <si>
    <t>OjO simplifico? o pongo partida por partida?</t>
  </si>
  <si>
    <t>-Inmuebles, son largo plazo, pero si compras reformas y vendes? o si ves más riesgo y no tu jubilación?</t>
  </si>
  <si>
    <t>Renta Fija</t>
  </si>
  <si>
    <t>Inmuebles??</t>
  </si>
  <si>
    <t>Podríamos informar valor contingencia (Valor mercado - Deuda - Impuestos)</t>
  </si>
  <si>
    <t>-Plan de pensiones sí o sí largo plazo, pero fondos inversión, quizás los quieres a medio invirtiendo sp500</t>
  </si>
  <si>
    <t>Cesta 3 acciones</t>
  </si>
  <si>
    <t>-La previsión su objetivo es cubrir nuestra esperanza de vida, apuesto por combinar las rentas y RV</t>
  </si>
  <si>
    <t>Etf eurozona 25+</t>
  </si>
  <si>
    <t>-Tampoco tenemos en cuenta los préstamos e hipotecas, por eso necesitamos de la contabilidad..</t>
  </si>
  <si>
    <t>ppi</t>
  </si>
  <si>
    <t>-Coña optimización cuentas con socio obra</t>
  </si>
  <si>
    <t>Binance</t>
  </si>
  <si>
    <t>*OjO indico medio plazo porque es partida especulativa</t>
  </si>
  <si>
    <t>Metamask</t>
  </si>
  <si>
    <t>Estos son a largo plazo</t>
  </si>
  <si>
    <t>Kucoin</t>
  </si>
  <si>
    <t>*Medio plazo, especulativa</t>
  </si>
  <si>
    <t>Fondo vanguard 20+</t>
  </si>
  <si>
    <t>XTB</t>
  </si>
  <si>
    <t>Especulativo</t>
  </si>
  <si>
    <t>TOTAL</t>
  </si>
  <si>
    <t>*OjO ppi, depósitos No líquidos, hipotecas.. No Corriente = Largo Plazo</t>
  </si>
  <si>
    <t>Clasificación</t>
  </si>
  <si>
    <t>Tipo Producto</t>
  </si>
  <si>
    <t>Liquidez</t>
  </si>
  <si>
    <t>Activo (Recursos)</t>
  </si>
  <si>
    <t>Corriente (Disponible)</t>
  </si>
  <si>
    <t>cuenta corriente ahorro, ahora nada porque pagan poco..</t>
  </si>
  <si>
    <t>No Corriente (No disponible)</t>
  </si>
  <si>
    <t>Inmueble</t>
  </si>
  <si>
    <t>Situación PATRIMONIAL:</t>
  </si>
  <si>
    <t>Indicadores y Ratios:</t>
  </si>
  <si>
    <t>Pasivo (Deudas)</t>
  </si>
  <si>
    <t>Préstamo</t>
  </si>
  <si>
    <t>Trading</t>
  </si>
  <si>
    <t>Despido</t>
  </si>
  <si>
    <t>Activo Corriente</t>
  </si>
  <si>
    <t>Patrimonio Financiero</t>
  </si>
  <si>
    <t>Hipoteca</t>
  </si>
  <si>
    <t>Soltero</t>
  </si>
  <si>
    <t>Cuentas</t>
  </si>
  <si>
    <t>Valor Inmuebles</t>
  </si>
  <si>
    <t>Habitual</t>
  </si>
  <si>
    <t>Inversiones</t>
  </si>
  <si>
    <t>LTV</t>
  </si>
  <si>
    <t>Primera INV</t>
  </si>
  <si>
    <t>Activo No Corriente</t>
  </si>
  <si>
    <t>Segunda INV</t>
  </si>
  <si>
    <t>Inmuebles</t>
  </si>
  <si>
    <t>Ratio Liquidez</t>
  </si>
  <si>
    <t>Plan Pensiones</t>
  </si>
  <si>
    <t>Liquidez Inmediata</t>
  </si>
  <si>
    <t>TOTAL ACTIVO</t>
  </si>
  <si>
    <t>Fondo Maniobra</t>
  </si>
  <si>
    <t>Fondo Maniobra Inmed.</t>
  </si>
  <si>
    <t>Banco</t>
  </si>
  <si>
    <t>VENTA</t>
  </si>
  <si>
    <t>Pasivo Corriente</t>
  </si>
  <si>
    <t>Préstamos</t>
  </si>
  <si>
    <t>Ratio Solvencia</t>
  </si>
  <si>
    <t>Pasivo No Corriente</t>
  </si>
  <si>
    <t>Ratio Endeudamiento*</t>
  </si>
  <si>
    <t>Hipotecas</t>
  </si>
  <si>
    <t>Cobertura Activos No Corr.</t>
  </si>
  <si>
    <t>TOTAL PASIVO</t>
  </si>
  <si>
    <t>PATRIMONIO NETO</t>
  </si>
  <si>
    <t>Definiciones:</t>
  </si>
  <si>
    <t>Es el total de activos líquidos y de inversión (Monetario, RF y RV)</t>
  </si>
  <si>
    <t>Es el valor total de inmuebles después de restar cualquier deuda asociada.</t>
  </si>
  <si>
    <t>Es el "Loan to value" o relación préstamo/valor, valor hipotecas vs inmuebles.</t>
  </si>
  <si>
    <t>Este ratio mide la capacidad de cumplir con deudas a corto plazo usando activos líquidos (todo activo corriente).</t>
  </si>
  <si>
    <t>Este ratio mide la capacidad de cumplir con deudas a corto plazo usando saldos/cuentas.</t>
  </si>
  <si>
    <t>Este valor nos indica la liquidez operativa, liquidamos activos y pasivos corrientes.</t>
  </si>
  <si>
    <t>Este valor nos indica la liquidez operativa inmediata, liquidamos saldos/cuentas y pasivos corrientes.</t>
  </si>
  <si>
    <t>Mide la capacidad de cumplir con todas las obligaciones usando el total de activos.</t>
  </si>
  <si>
    <t>Este indicador muestra el nivel de deuda respecto al patrimonio neto.</t>
  </si>
  <si>
    <t>Cobertura Activos No Corrientes</t>
  </si>
  <si>
    <t>Indica cuánto de los activos a largo plazo están cubiertos por recursos propios y no por deuda.</t>
  </si>
  <si>
    <t>Baremos*: (estándard empresas..)</t>
  </si>
  <si>
    <t>Cuánto más mejor.. jajajaja</t>
  </si>
  <si>
    <t xml:space="preserve">Recordad porcentajes financiación banco, 80/90% primera vivienda, 70% segunda y 50/60% inversión.. </t>
  </si>
  <si>
    <t>Para poder reenvertir, rehipotecar, etc; sería excelente estar por debajo del 50%..</t>
  </si>
  <si>
    <t>Menos de 1: Señal de posible falta de liquidez para afrontar deudas a corto plazo.</t>
  </si>
  <si>
    <t>Entre 1 y 1.5: Nivel de liquidez adecuado.</t>
  </si>
  <si>
    <t>Mayor de 1.5: Excelente liquidez, aunque un valor demasiado alto (por ejemplo, mayor a 3) puede indicar exceso de activos líquidos sin invertir.</t>
  </si>
  <si>
    <t>Menos de 0.5: Baja capacidad para cubrir deudas a corto plazo solo con efectivo.</t>
  </si>
  <si>
    <t>Entre 0.5 y 1: Nivel aceptable, aunque mejora si es mayor.</t>
  </si>
  <si>
    <t>Mayor a 1: Alta liquidez inmediata, indicando buen nivel de efectivo.</t>
  </si>
  <si>
    <t>Valor positivo: Indica una buena capacidad de operación en el corto plazo.</t>
  </si>
  <si>
    <t>Cercano a 0 o negativo: Puede implicar problemas de liquidez y dificultades en la operación diaria, especialmente si se enfrenta a deudas a corto plazo.</t>
  </si>
  <si>
    <t>Recuerda tu fondo de emergencia!! Tendría que ser siempre positivo!!!!!</t>
  </si>
  <si>
    <t>Menos de 1: El pasivo supera al activo, lo que indica posible insolvencia.</t>
  </si>
  <si>
    <t>Entre 1 y 2: Suficiente para cubrir deudas; cuanto más alto, mayor la solvencia.</t>
  </si>
  <si>
    <t>Mayor de 2: Alta capacidad para cubrir deudas, indicando bajo riesgo financiero.</t>
  </si>
  <si>
    <t>Menos de 40%: Nivel de endeudamiento bajo, lo cual es positivo.</t>
  </si>
  <si>
    <t>Entre 40% y 70%: Nivel de endeudamiento moderado, aceptable para la mayoría.</t>
  </si>
  <si>
    <t>Mayor de 70%: Alto endeudamiento, lo cual aumenta el riesgo financiero.</t>
  </si>
  <si>
    <t>Menor de 100%: Riesgo de dependencia excesiva de recursos externos.</t>
  </si>
  <si>
    <t>100% a 150%: Cobertura adecuada, indicando un buen balance entre inversión y financiamiento.</t>
  </si>
  <si>
    <t>Mayor a 150%: Indica un nivel de cobertura excelente, aunque un valor demasiado alto puede indicar un uso limitado de apalancamiento o deuda.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</si>
</sst>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[$€-1]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Arial"/>
      <scheme val="minor"/>
    </font>
    <font>
      <strike/>
      <sz val="10"/>
      <color theme="1"/>
      <name val="Arial"/>
      <scheme val="minor"/>
    </font>
    <font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0" fontId="1" fillId="0" borderId="0" xfId="0" applyNumberFormat="1" applyFont="1"/>
    <xf numFmtId="165" fontId="1" fillId="0" borderId="0" xfId="0" applyNumberFormat="1" applyFont="1" applyAlignme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/>
    <xf numFmtId="0" fontId="1" fillId="3" borderId="0" xfId="0" applyFont="1" applyFill="1" applyAlignment="1"/>
    <xf numFmtId="0" fontId="1" fillId="3" borderId="0" xfId="0" applyFont="1" applyFill="1"/>
    <xf numFmtId="165" fontId="2" fillId="0" borderId="0" xfId="0" applyNumberFormat="1" applyFont="1"/>
    <xf numFmtId="0" fontId="1" fillId="6" borderId="0" xfId="0" applyFont="1" applyFill="1" applyAlignment="1"/>
    <xf numFmtId="165" fontId="1" fillId="6" borderId="0" xfId="0" applyNumberFormat="1" applyFont="1" applyFill="1" applyAlignment="1"/>
    <xf numFmtId="0" fontId="4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165" fontId="2" fillId="2" borderId="0" xfId="0" applyNumberFormat="1" applyFont="1" applyFill="1"/>
    <xf numFmtId="10" fontId="2" fillId="2" borderId="0" xfId="0" applyNumberFormat="1" applyFont="1" applyFill="1"/>
    <xf numFmtId="0" fontId="2" fillId="7" borderId="0" xfId="0" applyFont="1" applyFill="1" applyAlignment="1"/>
    <xf numFmtId="0" fontId="1" fillId="2" borderId="0" xfId="0" applyFont="1" applyFill="1"/>
    <xf numFmtId="0" fontId="1" fillId="2" borderId="0" xfId="0" applyFont="1" applyFill="1" applyAlignment="1"/>
    <xf numFmtId="165" fontId="1" fillId="2" borderId="0" xfId="0" applyNumberFormat="1" applyFont="1" applyFill="1"/>
    <xf numFmtId="10" fontId="1" fillId="2" borderId="0" xfId="0" applyNumberFormat="1" applyFont="1" applyFill="1"/>
    <xf numFmtId="0" fontId="5" fillId="6" borderId="0" xfId="0" applyFont="1" applyFill="1" applyAlignment="1"/>
    <xf numFmtId="0" fontId="5" fillId="0" borderId="0" xfId="0" applyFont="1" applyAlignment="1"/>
    <xf numFmtId="0" fontId="1" fillId="0" borderId="0" xfId="0" applyFont="1"/>
    <xf numFmtId="0" fontId="3" fillId="8" borderId="0" xfId="0" applyFont="1" applyFill="1" applyAlignment="1"/>
    <xf numFmtId="0" fontId="3" fillId="8" borderId="0" xfId="0" applyFont="1" applyFill="1"/>
    <xf numFmtId="165" fontId="3" fillId="8" borderId="0" xfId="0" applyNumberFormat="1" applyFont="1" applyFill="1"/>
    <xf numFmtId="10" fontId="3" fillId="8" borderId="0" xfId="0" applyNumberFormat="1" applyFont="1" applyFill="1"/>
    <xf numFmtId="0" fontId="2" fillId="3" borderId="0" xfId="0" applyFont="1" applyFill="1" applyAlignment="1"/>
    <xf numFmtId="0" fontId="2" fillId="3" borderId="0" xfId="0" applyFont="1" applyFill="1"/>
    <xf numFmtId="165" fontId="2" fillId="3" borderId="0" xfId="0" applyNumberFormat="1" applyFont="1" applyFill="1"/>
    <xf numFmtId="10" fontId="2" fillId="3" borderId="0" xfId="0" applyNumberFormat="1" applyFont="1" applyFill="1"/>
    <xf numFmtId="165" fontId="1" fillId="3" borderId="0" xfId="0" applyNumberFormat="1" applyFont="1" applyFill="1"/>
    <xf numFmtId="10" fontId="1" fillId="3" borderId="0" xfId="0" applyNumberFormat="1" applyFont="1" applyFill="1"/>
    <xf numFmtId="0" fontId="3" fillId="5" borderId="0" xfId="0" applyFont="1" applyFill="1" applyAlignment="1"/>
    <xf numFmtId="0" fontId="3" fillId="5" borderId="0" xfId="0" applyFont="1" applyFill="1"/>
    <xf numFmtId="165" fontId="3" fillId="5" borderId="0" xfId="0" applyNumberFormat="1" applyFont="1" applyFill="1"/>
    <xf numFmtId="10" fontId="2" fillId="5" borderId="0" xfId="0" applyNumberFormat="1" applyFont="1" applyFill="1"/>
    <xf numFmtId="0" fontId="3" fillId="4" borderId="0" xfId="0" applyFont="1" applyFill="1" applyAlignment="1"/>
    <xf numFmtId="0" fontId="3" fillId="4" borderId="0" xfId="0" applyFont="1" applyFill="1"/>
    <xf numFmtId="165" fontId="3" fillId="4" borderId="0" xfId="0" applyNumberFormat="1" applyFont="1" applyFill="1"/>
    <xf numFmtId="0" fontId="1" fillId="7" borderId="0" xfId="0" applyFont="1" applyFill="1" applyAlignment="1"/>
    <xf numFmtId="0" fontId="6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87"/>
  <sheetViews>
    <sheetView tabSelected="1" workbookViewId="0"/>
  </sheetViews>
  <sheetFormatPr baseColWidth="10" defaultColWidth="12.5703125" defaultRowHeight="15.75" customHeight="1" x14ac:dyDescent="0.2"/>
  <cols>
    <col min="1" max="1" width="7.5703125" customWidth="1"/>
    <col min="2" max="2" width="13.140625" customWidth="1"/>
    <col min="3" max="3" width="1.85546875" customWidth="1"/>
    <col min="5" max="5" width="1.5703125" customWidth="1"/>
    <col min="6" max="6" width="18.5703125" customWidth="1"/>
    <col min="7" max="7" width="7.7109375" customWidth="1"/>
    <col min="8" max="8" width="3" customWidth="1"/>
    <col min="9" max="9" width="11.42578125" customWidth="1"/>
    <col min="10" max="10" width="9" customWidth="1"/>
    <col min="11" max="11" width="10.42578125" customWidth="1"/>
    <col min="12" max="12" width="9.140625" customWidth="1"/>
    <col min="13" max="13" width="2" customWidth="1"/>
    <col min="14" max="14" width="5.28515625" customWidth="1"/>
    <col min="15" max="16" width="17.5703125" customWidth="1"/>
    <col min="20" max="20" width="59.42578125" customWidth="1"/>
    <col min="21" max="21" width="1.85546875" customWidth="1"/>
    <col min="25" max="25" width="1.7109375" customWidth="1"/>
    <col min="29" max="29" width="2" customWidth="1"/>
  </cols>
  <sheetData>
    <row r="1" spans="1:20" x14ac:dyDescent="0.2">
      <c r="A1" s="6"/>
      <c r="B1" s="6" t="s">
        <v>0</v>
      </c>
      <c r="I1" s="6" t="s">
        <v>1</v>
      </c>
      <c r="N1" s="6" t="s">
        <v>2</v>
      </c>
      <c r="Q1" s="5"/>
      <c r="R1" s="5"/>
    </row>
    <row r="2" spans="1:20" x14ac:dyDescent="0.2">
      <c r="Q2" s="5" t="s">
        <v>69</v>
      </c>
    </row>
    <row r="3" spans="1:20" x14ac:dyDescent="0.2">
      <c r="A3" s="6"/>
      <c r="B3" s="6" t="s">
        <v>3</v>
      </c>
      <c r="D3" s="6" t="s">
        <v>4</v>
      </c>
      <c r="F3" s="6" t="s">
        <v>5</v>
      </c>
      <c r="I3" s="7" t="s">
        <v>6</v>
      </c>
      <c r="J3" s="7" t="s">
        <v>7</v>
      </c>
      <c r="K3" s="7" t="s">
        <v>8</v>
      </c>
      <c r="L3" s="7" t="s">
        <v>9</v>
      </c>
      <c r="N3" s="6" t="s">
        <v>10</v>
      </c>
      <c r="O3" s="6" t="s">
        <v>70</v>
      </c>
      <c r="P3" s="6" t="s">
        <v>71</v>
      </c>
      <c r="Q3" s="6" t="s">
        <v>72</v>
      </c>
      <c r="R3" s="6" t="s">
        <v>11</v>
      </c>
      <c r="S3" s="6" t="s">
        <v>12</v>
      </c>
      <c r="T3" s="6" t="s">
        <v>13</v>
      </c>
    </row>
    <row r="4" spans="1:20" x14ac:dyDescent="0.2">
      <c r="I4" s="8"/>
      <c r="J4" s="8"/>
      <c r="K4" s="8"/>
      <c r="L4" s="8"/>
      <c r="N4" s="5">
        <v>1</v>
      </c>
      <c r="O4" s="5" t="s">
        <v>73</v>
      </c>
      <c r="P4" s="5" t="s">
        <v>14</v>
      </c>
      <c r="Q4" s="5" t="s">
        <v>74</v>
      </c>
      <c r="R4" s="5" t="s">
        <v>15</v>
      </c>
      <c r="S4" s="2">
        <v>8000</v>
      </c>
      <c r="T4" s="5" t="s">
        <v>16</v>
      </c>
    </row>
    <row r="5" spans="1:20" x14ac:dyDescent="0.2">
      <c r="A5" s="7" t="s">
        <v>17</v>
      </c>
      <c r="B5" s="5" t="s">
        <v>18</v>
      </c>
      <c r="D5" s="5" t="s">
        <v>19</v>
      </c>
      <c r="F5" s="5" t="s">
        <v>14</v>
      </c>
      <c r="I5" s="4" t="s">
        <v>20</v>
      </c>
      <c r="J5" s="4" t="s">
        <v>21</v>
      </c>
      <c r="K5" s="9">
        <f>SUMIF(P4:P34,"=Monetario",S4:S34)</f>
        <v>87564</v>
      </c>
      <c r="L5" s="10">
        <f>K5/K11</f>
        <v>0.42452391110421595</v>
      </c>
      <c r="N5" s="5">
        <v>2</v>
      </c>
      <c r="O5" s="5" t="s">
        <v>73</v>
      </c>
      <c r="P5" s="5" t="s">
        <v>14</v>
      </c>
      <c r="Q5" s="5" t="s">
        <v>74</v>
      </c>
      <c r="R5" s="5" t="s">
        <v>22</v>
      </c>
      <c r="S5" s="2">
        <v>2000</v>
      </c>
      <c r="T5" s="5" t="s">
        <v>23</v>
      </c>
    </row>
    <row r="6" spans="1:20" x14ac:dyDescent="0.2">
      <c r="A6" s="8"/>
      <c r="I6" s="8"/>
      <c r="J6" s="8"/>
      <c r="K6" s="8"/>
      <c r="L6" s="8"/>
      <c r="N6" s="5">
        <v>3</v>
      </c>
      <c r="O6" s="5" t="s">
        <v>73</v>
      </c>
      <c r="P6" s="5" t="s">
        <v>14</v>
      </c>
      <c r="Q6" s="5" t="s">
        <v>74</v>
      </c>
      <c r="R6" s="5" t="s">
        <v>25</v>
      </c>
      <c r="S6" s="3"/>
      <c r="T6" s="5" t="s">
        <v>75</v>
      </c>
    </row>
    <row r="7" spans="1:20" x14ac:dyDescent="0.2">
      <c r="A7" s="7" t="s">
        <v>26</v>
      </c>
      <c r="B7" s="5" t="s">
        <v>27</v>
      </c>
      <c r="D7" s="5" t="s">
        <v>28</v>
      </c>
      <c r="F7" s="5" t="s">
        <v>29</v>
      </c>
      <c r="I7" s="4" t="s">
        <v>20</v>
      </c>
      <c r="J7" s="4" t="s">
        <v>20</v>
      </c>
      <c r="K7" s="9">
        <f>SUMIF(P4:P34,"=Renta Fija",S4:S34)</f>
        <v>15000</v>
      </c>
      <c r="L7" s="10">
        <f>K7/K11</f>
        <v>7.2722336423224607E-2</v>
      </c>
      <c r="N7" s="5">
        <v>4</v>
      </c>
      <c r="O7" s="5" t="s">
        <v>73</v>
      </c>
      <c r="P7" s="5" t="s">
        <v>14</v>
      </c>
      <c r="Q7" s="5" t="s">
        <v>74</v>
      </c>
      <c r="R7" s="5" t="s">
        <v>30</v>
      </c>
      <c r="S7" s="2">
        <v>264</v>
      </c>
      <c r="T7" s="5" t="s">
        <v>31</v>
      </c>
    </row>
    <row r="8" spans="1:20" x14ac:dyDescent="0.2">
      <c r="A8" s="8"/>
      <c r="I8" s="8"/>
      <c r="J8" s="8"/>
      <c r="K8" s="8"/>
      <c r="L8" s="8"/>
      <c r="N8" s="5">
        <v>5</v>
      </c>
      <c r="O8" s="5" t="s">
        <v>73</v>
      </c>
      <c r="P8" s="5" t="s">
        <v>14</v>
      </c>
      <c r="Q8" s="5" t="s">
        <v>74</v>
      </c>
      <c r="R8" s="5" t="s">
        <v>32</v>
      </c>
      <c r="S8" s="2">
        <v>14000</v>
      </c>
      <c r="T8" s="5" t="s">
        <v>33</v>
      </c>
    </row>
    <row r="9" spans="1:20" x14ac:dyDescent="0.2">
      <c r="A9" s="7" t="s">
        <v>34</v>
      </c>
      <c r="B9" s="5" t="s">
        <v>35</v>
      </c>
      <c r="D9" s="5" t="s">
        <v>36</v>
      </c>
      <c r="F9" s="5" t="s">
        <v>37</v>
      </c>
      <c r="I9" s="4" t="s">
        <v>21</v>
      </c>
      <c r="J9" s="4" t="s">
        <v>20</v>
      </c>
      <c r="K9" s="9">
        <f>SUMIF(P4:P34,"=Renta Variable",S4:S34)</f>
        <v>103700</v>
      </c>
      <c r="L9" s="10">
        <f>K9/K11</f>
        <v>0.50275375247255949</v>
      </c>
      <c r="N9" s="5">
        <v>6</v>
      </c>
      <c r="O9" s="5" t="s">
        <v>73</v>
      </c>
      <c r="P9" s="5" t="s">
        <v>14</v>
      </c>
      <c r="Q9" s="5" t="s">
        <v>74</v>
      </c>
      <c r="R9" s="5" t="s">
        <v>38</v>
      </c>
      <c r="S9" s="2">
        <v>8000</v>
      </c>
      <c r="T9" s="5" t="s">
        <v>39</v>
      </c>
    </row>
    <row r="10" spans="1:20" x14ac:dyDescent="0.2">
      <c r="N10" s="5">
        <v>7</v>
      </c>
      <c r="O10" s="5" t="s">
        <v>73</v>
      </c>
      <c r="P10" s="5" t="s">
        <v>14</v>
      </c>
      <c r="Q10" s="5" t="s">
        <v>74</v>
      </c>
      <c r="R10" s="5" t="s">
        <v>40</v>
      </c>
      <c r="S10" s="2">
        <v>50</v>
      </c>
      <c r="T10" s="5" t="s">
        <v>41</v>
      </c>
    </row>
    <row r="11" spans="1:20" x14ac:dyDescent="0.2">
      <c r="I11" s="7" t="s">
        <v>68</v>
      </c>
      <c r="K11" s="14">
        <f>K5+K7+K9</f>
        <v>206264</v>
      </c>
      <c r="N11" s="5">
        <v>8</v>
      </c>
      <c r="O11" s="5" t="s">
        <v>73</v>
      </c>
      <c r="P11" s="5" t="s">
        <v>14</v>
      </c>
      <c r="Q11" s="5" t="s">
        <v>74</v>
      </c>
      <c r="R11" s="5" t="s">
        <v>43</v>
      </c>
      <c r="S11" s="2">
        <v>250</v>
      </c>
      <c r="T11" s="5" t="s">
        <v>44</v>
      </c>
    </row>
    <row r="12" spans="1:20" x14ac:dyDescent="0.2">
      <c r="N12" s="5">
        <v>9</v>
      </c>
      <c r="O12" s="5" t="s">
        <v>73</v>
      </c>
      <c r="P12" s="5" t="s">
        <v>24</v>
      </c>
      <c r="Q12" s="5" t="s">
        <v>76</v>
      </c>
      <c r="R12" s="5" t="s">
        <v>46</v>
      </c>
      <c r="S12" s="2">
        <v>52000</v>
      </c>
      <c r="T12" s="5" t="s">
        <v>47</v>
      </c>
    </row>
    <row r="13" spans="1:20" x14ac:dyDescent="0.2">
      <c r="B13" s="5" t="s">
        <v>42</v>
      </c>
      <c r="N13" s="15">
        <v>10</v>
      </c>
      <c r="O13" s="5" t="s">
        <v>73</v>
      </c>
      <c r="P13" s="5" t="s">
        <v>77</v>
      </c>
      <c r="Q13" s="5" t="s">
        <v>76</v>
      </c>
      <c r="R13" s="15" t="s">
        <v>50</v>
      </c>
      <c r="S13" s="16">
        <v>0</v>
      </c>
      <c r="T13" s="5" t="s">
        <v>51</v>
      </c>
    </row>
    <row r="14" spans="1:20" x14ac:dyDescent="0.2">
      <c r="A14" s="5"/>
      <c r="B14" s="5" t="s">
        <v>45</v>
      </c>
      <c r="N14" s="5">
        <v>11</v>
      </c>
      <c r="O14" s="5" t="s">
        <v>73</v>
      </c>
      <c r="P14" s="5" t="s">
        <v>24</v>
      </c>
      <c r="Q14" s="5" t="s">
        <v>74</v>
      </c>
      <c r="R14" s="5" t="s">
        <v>32</v>
      </c>
      <c r="S14" s="2">
        <v>2400</v>
      </c>
      <c r="T14" s="5" t="s">
        <v>53</v>
      </c>
    </row>
    <row r="15" spans="1:20" x14ac:dyDescent="0.2">
      <c r="B15" s="5" t="s">
        <v>48</v>
      </c>
      <c r="N15" s="5">
        <v>12</v>
      </c>
      <c r="O15" s="5" t="s">
        <v>73</v>
      </c>
      <c r="P15" s="5" t="s">
        <v>49</v>
      </c>
      <c r="Q15" s="5" t="s">
        <v>74</v>
      </c>
      <c r="R15" s="5" t="s">
        <v>38</v>
      </c>
      <c r="S15" s="2">
        <v>10000</v>
      </c>
      <c r="T15" s="5" t="s">
        <v>55</v>
      </c>
    </row>
    <row r="16" spans="1:20" x14ac:dyDescent="0.2">
      <c r="B16" s="5" t="s">
        <v>52</v>
      </c>
      <c r="N16" s="5">
        <v>13</v>
      </c>
      <c r="O16" s="5" t="s">
        <v>73</v>
      </c>
      <c r="P16" s="5" t="s">
        <v>24</v>
      </c>
      <c r="Q16" s="5" t="s">
        <v>76</v>
      </c>
      <c r="R16" s="5" t="s">
        <v>15</v>
      </c>
      <c r="S16" s="2">
        <v>24000</v>
      </c>
      <c r="T16" s="5" t="s">
        <v>57</v>
      </c>
    </row>
    <row r="17" spans="2:20" x14ac:dyDescent="0.2">
      <c r="B17" s="5" t="s">
        <v>54</v>
      </c>
      <c r="N17" s="5">
        <v>14</v>
      </c>
      <c r="O17" s="5" t="s">
        <v>73</v>
      </c>
      <c r="P17" s="5" t="s">
        <v>24</v>
      </c>
      <c r="Q17" s="5" t="s">
        <v>74</v>
      </c>
      <c r="R17" s="5" t="s">
        <v>59</v>
      </c>
      <c r="S17" s="2">
        <v>16800</v>
      </c>
      <c r="T17" s="5" t="s">
        <v>60</v>
      </c>
    </row>
    <row r="18" spans="2:20" x14ac:dyDescent="0.2">
      <c r="B18" s="5" t="s">
        <v>56</v>
      </c>
      <c r="N18" s="5">
        <v>15</v>
      </c>
      <c r="O18" s="5" t="s">
        <v>73</v>
      </c>
      <c r="P18" s="5" t="s">
        <v>24</v>
      </c>
      <c r="Q18" s="5" t="s">
        <v>74</v>
      </c>
      <c r="R18" s="5" t="s">
        <v>61</v>
      </c>
      <c r="S18" s="2">
        <v>6000</v>
      </c>
      <c r="T18" s="5" t="s">
        <v>62</v>
      </c>
    </row>
    <row r="19" spans="2:20" x14ac:dyDescent="0.2">
      <c r="B19" s="5" t="s">
        <v>58</v>
      </c>
      <c r="N19" s="5">
        <v>16</v>
      </c>
      <c r="O19" s="5" t="s">
        <v>73</v>
      </c>
      <c r="P19" s="5" t="s">
        <v>24</v>
      </c>
      <c r="Q19" s="5" t="s">
        <v>74</v>
      </c>
      <c r="R19" s="5" t="s">
        <v>63</v>
      </c>
      <c r="S19" s="2">
        <v>2000</v>
      </c>
      <c r="T19" s="5" t="s">
        <v>64</v>
      </c>
    </row>
    <row r="20" spans="2:20" x14ac:dyDescent="0.2">
      <c r="N20" s="5">
        <v>17</v>
      </c>
      <c r="O20" s="5" t="s">
        <v>73</v>
      </c>
      <c r="P20" s="5" t="s">
        <v>49</v>
      </c>
      <c r="Q20" s="5" t="s">
        <v>74</v>
      </c>
      <c r="R20" s="5" t="s">
        <v>46</v>
      </c>
      <c r="S20" s="2">
        <v>5000</v>
      </c>
      <c r="T20" s="5" t="s">
        <v>65</v>
      </c>
    </row>
    <row r="21" spans="2:20" x14ac:dyDescent="0.2">
      <c r="N21" s="5">
        <v>18</v>
      </c>
      <c r="O21" s="5" t="s">
        <v>73</v>
      </c>
      <c r="P21" s="5" t="s">
        <v>24</v>
      </c>
      <c r="Q21" s="5" t="s">
        <v>74</v>
      </c>
      <c r="R21" s="5" t="s">
        <v>66</v>
      </c>
      <c r="S21" s="2">
        <v>500</v>
      </c>
      <c r="T21" s="5" t="s">
        <v>67</v>
      </c>
    </row>
    <row r="22" spans="2:20" ht="15.75" customHeight="1" x14ac:dyDescent="0.25">
      <c r="B22" s="17" t="s">
        <v>78</v>
      </c>
      <c r="I22" s="17" t="s">
        <v>79</v>
      </c>
      <c r="N22" s="15">
        <v>19</v>
      </c>
      <c r="O22" s="5" t="s">
        <v>80</v>
      </c>
      <c r="P22" s="5" t="s">
        <v>81</v>
      </c>
      <c r="Q22" s="5" t="s">
        <v>74</v>
      </c>
      <c r="R22" s="15" t="s">
        <v>22</v>
      </c>
      <c r="S22" s="16">
        <v>16000</v>
      </c>
      <c r="T22" s="5" t="s">
        <v>82</v>
      </c>
    </row>
    <row r="23" spans="2:20" ht="12.75" x14ac:dyDescent="0.2">
      <c r="N23" s="15">
        <v>20</v>
      </c>
      <c r="O23" s="5" t="s">
        <v>80</v>
      </c>
      <c r="P23" s="5" t="s">
        <v>81</v>
      </c>
      <c r="Q23" s="5" t="s">
        <v>74</v>
      </c>
      <c r="R23" s="15" t="s">
        <v>25</v>
      </c>
      <c r="S23" s="16">
        <v>22500</v>
      </c>
      <c r="T23" s="5" t="s">
        <v>83</v>
      </c>
    </row>
    <row r="24" spans="2:20" ht="12.75" x14ac:dyDescent="0.2">
      <c r="B24" s="18" t="s">
        <v>84</v>
      </c>
      <c r="C24" s="19"/>
      <c r="D24" s="19"/>
      <c r="E24" s="19"/>
      <c r="F24" s="20">
        <f>SUMIFS(S4:S34,O4:O34, "Activo (Recursos)", Q4:Q34, "Corriente (Disponible)")</f>
        <v>130264</v>
      </c>
      <c r="G24" s="21">
        <f>F24/F30</f>
        <v>0.16216835311927336</v>
      </c>
      <c r="H24" s="1"/>
      <c r="I24" s="22" t="s">
        <v>85</v>
      </c>
      <c r="K24" s="3">
        <f>K11</f>
        <v>206264</v>
      </c>
      <c r="N24" s="15">
        <v>21</v>
      </c>
      <c r="O24" s="5" t="s">
        <v>80</v>
      </c>
      <c r="P24" s="5" t="s">
        <v>86</v>
      </c>
      <c r="Q24" s="5" t="s">
        <v>76</v>
      </c>
      <c r="R24" s="15" t="s">
        <v>15</v>
      </c>
      <c r="S24" s="16">
        <v>163000</v>
      </c>
      <c r="T24" s="5" t="s">
        <v>87</v>
      </c>
    </row>
    <row r="25" spans="2:20" ht="12.75" x14ac:dyDescent="0.2">
      <c r="B25" s="23"/>
      <c r="C25" s="23"/>
      <c r="D25" s="24" t="s">
        <v>88</v>
      </c>
      <c r="E25" s="23"/>
      <c r="F25" s="25">
        <f>SUMIFS(S4:S34, O4:O34, "Activo (Recursos)", P4:P34, "Monetario", Q4:Q34, "Corriente (Disponible)")</f>
        <v>87564</v>
      </c>
      <c r="G25" s="26">
        <f>F25/F30</f>
        <v>0.10901023822802963</v>
      </c>
      <c r="H25" s="1"/>
      <c r="I25" s="22" t="s">
        <v>89</v>
      </c>
      <c r="K25" s="3">
        <f>F28-F35</f>
        <v>260000</v>
      </c>
      <c r="N25" s="15">
        <v>22</v>
      </c>
      <c r="O25" s="5" t="s">
        <v>80</v>
      </c>
      <c r="P25" s="5" t="s">
        <v>86</v>
      </c>
      <c r="Q25" s="5" t="s">
        <v>76</v>
      </c>
      <c r="R25" s="15" t="s">
        <v>15</v>
      </c>
      <c r="S25" s="16">
        <v>145000</v>
      </c>
      <c r="T25" s="5" t="s">
        <v>90</v>
      </c>
    </row>
    <row r="26" spans="2:20" ht="12.75" x14ac:dyDescent="0.2">
      <c r="B26" s="23"/>
      <c r="C26" s="23"/>
      <c r="D26" s="24" t="s">
        <v>91</v>
      </c>
      <c r="E26" s="23"/>
      <c r="F26" s="25">
        <f>SUMIFS(S4:S34, O4:O34, "Activo (Recursos)", P4:P34, "Renta Fija", Q4:Q34, "Corriente (Disponible)") + SUMIFS(S4:S34, O4:O34, "Activo (Recursos)", P4:P34, "Renta Variable", Q4:Q34, "Corriente (Disponible)")</f>
        <v>42700</v>
      </c>
      <c r="G26" s="26">
        <f>F26/F30</f>
        <v>5.3158114891243724E-2</v>
      </c>
      <c r="H26" s="1"/>
      <c r="I26" s="22" t="s">
        <v>92</v>
      </c>
      <c r="K26" s="1">
        <f>F35/F28</f>
        <v>0.56448911222780573</v>
      </c>
      <c r="N26" s="15">
        <v>23</v>
      </c>
      <c r="O26" s="5" t="s">
        <v>80</v>
      </c>
      <c r="P26" s="5" t="s">
        <v>86</v>
      </c>
      <c r="Q26" s="5" t="s">
        <v>76</v>
      </c>
      <c r="R26" s="15" t="s">
        <v>22</v>
      </c>
      <c r="S26" s="16">
        <v>29000</v>
      </c>
      <c r="T26" s="5" t="s">
        <v>93</v>
      </c>
    </row>
    <row r="27" spans="2:20" ht="12.75" x14ac:dyDescent="0.2">
      <c r="B27" s="18" t="s">
        <v>94</v>
      </c>
      <c r="C27" s="19"/>
      <c r="D27" s="19"/>
      <c r="E27" s="19"/>
      <c r="F27" s="20">
        <f>SUMIFS(S4:S34,O4:O34, "Activo (Recursos)", Q4:Q34, "No Corriente (No Disponible)")</f>
        <v>673000</v>
      </c>
      <c r="G27" s="21">
        <f>F27/F30</f>
        <v>0.83783164688072664</v>
      </c>
      <c r="H27" s="1"/>
      <c r="N27" s="15">
        <v>24</v>
      </c>
      <c r="O27" s="5" t="s">
        <v>80</v>
      </c>
      <c r="P27" s="5" t="s">
        <v>86</v>
      </c>
      <c r="Q27" s="5" t="s">
        <v>76</v>
      </c>
      <c r="R27" s="27" t="s">
        <v>43</v>
      </c>
      <c r="S27" s="16">
        <v>0</v>
      </c>
      <c r="T27" s="28" t="s">
        <v>95</v>
      </c>
    </row>
    <row r="28" spans="2:20" ht="12.75" x14ac:dyDescent="0.2">
      <c r="B28" s="23"/>
      <c r="C28" s="23"/>
      <c r="D28" s="24" t="s">
        <v>96</v>
      </c>
      <c r="E28" s="23"/>
      <c r="F28" s="25">
        <f>SUMIFS(S4:S34,O4:O34, "Activo (Recursos)",P4:P34,"Inmueble", Q4:Q34, "No Corriente (No Disponible)")</f>
        <v>597000</v>
      </c>
      <c r="G28" s="26">
        <f>F28/F30</f>
        <v>0.74321767189865351</v>
      </c>
      <c r="H28" s="1"/>
      <c r="I28" s="22" t="s">
        <v>97</v>
      </c>
      <c r="K28" s="29">
        <f t="shared" ref="K28:K29" si="0">F24/F32</f>
        <v>3.3834805194805195</v>
      </c>
      <c r="N28" s="15">
        <v>25</v>
      </c>
      <c r="O28" s="5" t="s">
        <v>73</v>
      </c>
      <c r="P28" s="5" t="s">
        <v>77</v>
      </c>
      <c r="Q28" s="5" t="s">
        <v>76</v>
      </c>
      <c r="R28" s="15" t="s">
        <v>87</v>
      </c>
      <c r="S28" s="16">
        <v>287000</v>
      </c>
    </row>
    <row r="29" spans="2:20" ht="12.75" x14ac:dyDescent="0.2">
      <c r="B29" s="23"/>
      <c r="C29" s="23"/>
      <c r="D29" s="24" t="s">
        <v>98</v>
      </c>
      <c r="E29" s="23"/>
      <c r="F29" s="25">
        <f>SUMIFS(S4:S34, O4:O34, "Activo (Recursos)", Q4:Q34, "No Corriente (No Disponible)") - SUMIFS(S4:S34, O4:O34, "Activo (Recursos)", P4:P34, "Inmueble", Q4:Q34, "No Corriente (No Disponible)")</f>
        <v>76000</v>
      </c>
      <c r="G29" s="26">
        <f>F29/F30</f>
        <v>9.4613974982073148E-2</v>
      </c>
      <c r="H29" s="1"/>
      <c r="I29" s="6" t="s">
        <v>99</v>
      </c>
      <c r="K29" s="29">
        <f t="shared" si="0"/>
        <v>2.2743896103896102</v>
      </c>
      <c r="N29" s="15">
        <v>26</v>
      </c>
      <c r="O29" s="5" t="s">
        <v>73</v>
      </c>
      <c r="P29" s="5" t="s">
        <v>77</v>
      </c>
      <c r="Q29" s="5" t="s">
        <v>76</v>
      </c>
      <c r="R29" s="15" t="s">
        <v>90</v>
      </c>
      <c r="S29" s="16">
        <v>235000</v>
      </c>
    </row>
    <row r="30" spans="2:20" ht="15" x14ac:dyDescent="0.25">
      <c r="B30" s="30" t="s">
        <v>100</v>
      </c>
      <c r="C30" s="31"/>
      <c r="D30" s="31"/>
      <c r="E30" s="31"/>
      <c r="F30" s="32">
        <f>F24+F27</f>
        <v>803264</v>
      </c>
      <c r="G30" s="33">
        <f>F30/F30</f>
        <v>1</v>
      </c>
      <c r="H30" s="1"/>
      <c r="I30" s="22" t="s">
        <v>101</v>
      </c>
      <c r="K30" s="3">
        <f>F24-F32</f>
        <v>91764</v>
      </c>
      <c r="N30" s="15">
        <v>27</v>
      </c>
      <c r="O30" s="5" t="s">
        <v>73</v>
      </c>
      <c r="P30" s="5" t="s">
        <v>77</v>
      </c>
      <c r="Q30" s="5" t="s">
        <v>76</v>
      </c>
      <c r="R30" s="15" t="s">
        <v>93</v>
      </c>
      <c r="S30" s="16">
        <v>75000</v>
      </c>
    </row>
    <row r="31" spans="2:20" ht="12.75" x14ac:dyDescent="0.2">
      <c r="F31" s="3"/>
      <c r="G31" s="1"/>
      <c r="H31" s="1"/>
      <c r="I31" s="22" t="s">
        <v>102</v>
      </c>
      <c r="K31" s="3">
        <f>F25-F32</f>
        <v>49064</v>
      </c>
      <c r="N31" s="15">
        <v>28</v>
      </c>
      <c r="O31" s="5" t="s">
        <v>73</v>
      </c>
      <c r="P31" s="5" t="s">
        <v>14</v>
      </c>
      <c r="Q31" s="5" t="s">
        <v>74</v>
      </c>
      <c r="R31" s="15" t="s">
        <v>103</v>
      </c>
      <c r="S31" s="16">
        <v>55000</v>
      </c>
      <c r="T31" s="5" t="s">
        <v>104</v>
      </c>
    </row>
    <row r="32" spans="2:20" ht="12.75" x14ac:dyDescent="0.2">
      <c r="B32" s="34" t="s">
        <v>105</v>
      </c>
      <c r="C32" s="35"/>
      <c r="D32" s="35"/>
      <c r="E32" s="35"/>
      <c r="F32" s="36">
        <f>F33</f>
        <v>38500</v>
      </c>
      <c r="G32" s="37">
        <f>F32/F36</f>
        <v>0.10252996005326231</v>
      </c>
      <c r="H32" s="1"/>
      <c r="N32" s="5">
        <v>29</v>
      </c>
      <c r="O32" s="5"/>
      <c r="P32" s="5" t="s">
        <v>14</v>
      </c>
      <c r="Q32" s="29"/>
      <c r="S32" s="3"/>
    </row>
    <row r="33" spans="2:19" ht="12.75" x14ac:dyDescent="0.2">
      <c r="B33" s="13"/>
      <c r="C33" s="13"/>
      <c r="D33" s="12" t="s">
        <v>106</v>
      </c>
      <c r="E33" s="13"/>
      <c r="F33" s="38">
        <f>SUMIFS(S4:S34,O4:O34, "Pasivo (Deudas)",P4:P34,"Préstamo")</f>
        <v>38500</v>
      </c>
      <c r="G33" s="39"/>
      <c r="H33" s="1"/>
      <c r="I33" s="22" t="s">
        <v>107</v>
      </c>
      <c r="K33" s="29">
        <f>F30/F36</f>
        <v>2.1391850865512652</v>
      </c>
      <c r="N33" s="5">
        <v>30</v>
      </c>
      <c r="O33" s="5"/>
      <c r="P33" s="5" t="s">
        <v>14</v>
      </c>
      <c r="Q33" s="29"/>
      <c r="S33" s="3"/>
    </row>
    <row r="34" spans="2:19" ht="12.75" x14ac:dyDescent="0.2">
      <c r="B34" s="34" t="s">
        <v>108</v>
      </c>
      <c r="C34" s="35"/>
      <c r="D34" s="35"/>
      <c r="E34" s="35"/>
      <c r="F34" s="36">
        <f>F35</f>
        <v>337000</v>
      </c>
      <c r="G34" s="37">
        <f>F34/F36</f>
        <v>0.89747003994673769</v>
      </c>
      <c r="H34" s="1"/>
      <c r="I34" s="22" t="s">
        <v>109</v>
      </c>
      <c r="K34" s="1">
        <f>F36/F38</f>
        <v>0.87782048045183791</v>
      </c>
      <c r="N34" s="5">
        <v>31</v>
      </c>
      <c r="O34" s="5"/>
      <c r="P34" s="5" t="s">
        <v>14</v>
      </c>
      <c r="Q34" s="29"/>
      <c r="S34" s="3"/>
    </row>
    <row r="35" spans="2:19" ht="12.75" x14ac:dyDescent="0.2">
      <c r="B35" s="13"/>
      <c r="C35" s="13"/>
      <c r="D35" s="12" t="s">
        <v>110</v>
      </c>
      <c r="E35" s="13"/>
      <c r="F35" s="38">
        <f>SUMIFS(S4:S34,O4:O34, "Pasivo (Deudas)",P4:P34,"Hipoteca")</f>
        <v>337000</v>
      </c>
      <c r="G35" s="39"/>
      <c r="H35" s="1"/>
      <c r="I35" s="6" t="s">
        <v>111</v>
      </c>
      <c r="K35" s="1">
        <f>(F27/(F38+F34))</f>
        <v>0.88001004231370727</v>
      </c>
    </row>
    <row r="36" spans="2:19" ht="15" x14ac:dyDescent="0.25">
      <c r="B36" s="40" t="s">
        <v>112</v>
      </c>
      <c r="C36" s="41"/>
      <c r="D36" s="41"/>
      <c r="E36" s="41"/>
      <c r="F36" s="42">
        <f>F32+F34</f>
        <v>375500</v>
      </c>
      <c r="G36" s="43">
        <f>F36/F36</f>
        <v>1</v>
      </c>
      <c r="H36" s="1"/>
      <c r="O36" s="6"/>
      <c r="P36" s="6" t="s">
        <v>68</v>
      </c>
      <c r="Q36" s="11"/>
      <c r="R36" s="11"/>
      <c r="S36" s="14">
        <f>SUM(S4:S34)-(SUMIF(O4:O34,"=Pasivo (Deudas)",S4:S34)*2)</f>
        <v>427764</v>
      </c>
    </row>
    <row r="37" spans="2:19" ht="12.75" x14ac:dyDescent="0.2">
      <c r="F37" s="3"/>
      <c r="H37" s="1"/>
      <c r="I37" s="22"/>
    </row>
    <row r="38" spans="2:19" ht="15" x14ac:dyDescent="0.25">
      <c r="B38" s="44" t="s">
        <v>113</v>
      </c>
      <c r="C38" s="45"/>
      <c r="D38" s="45"/>
      <c r="E38" s="45"/>
      <c r="F38" s="46">
        <f>F30-F36</f>
        <v>427764</v>
      </c>
    </row>
    <row r="39" spans="2:19" ht="12.75" x14ac:dyDescent="0.2">
      <c r="I39" s="22"/>
    </row>
    <row r="40" spans="2:19" ht="12.75" x14ac:dyDescent="0.2">
      <c r="I40" s="22"/>
    </row>
    <row r="41" spans="2:19" ht="12.75" x14ac:dyDescent="0.2">
      <c r="B41" s="6" t="s">
        <v>114</v>
      </c>
      <c r="I41" s="22"/>
    </row>
    <row r="42" spans="2:19" ht="12.75" x14ac:dyDescent="0.2">
      <c r="B42" s="47" t="s">
        <v>85</v>
      </c>
      <c r="E42" s="5" t="s">
        <v>115</v>
      </c>
    </row>
    <row r="43" spans="2:19" ht="12.75" x14ac:dyDescent="0.2">
      <c r="B43" s="47" t="s">
        <v>89</v>
      </c>
      <c r="E43" s="5" t="s">
        <v>116</v>
      </c>
    </row>
    <row r="44" spans="2:19" ht="12.75" x14ac:dyDescent="0.2">
      <c r="B44" s="47" t="s">
        <v>92</v>
      </c>
      <c r="E44" s="5" t="s">
        <v>117</v>
      </c>
    </row>
    <row r="46" spans="2:19" ht="12.75" x14ac:dyDescent="0.2">
      <c r="B46" s="47" t="s">
        <v>97</v>
      </c>
      <c r="E46" s="5" t="s">
        <v>118</v>
      </c>
    </row>
    <row r="47" spans="2:19" ht="12.75" x14ac:dyDescent="0.2">
      <c r="B47" s="5" t="s">
        <v>99</v>
      </c>
      <c r="E47" s="5" t="s">
        <v>119</v>
      </c>
    </row>
    <row r="48" spans="2:19" ht="12.75" x14ac:dyDescent="0.2">
      <c r="B48" s="47" t="s">
        <v>101</v>
      </c>
      <c r="E48" s="5" t="s">
        <v>120</v>
      </c>
    </row>
    <row r="49" spans="2:18" ht="12.75" x14ac:dyDescent="0.2">
      <c r="B49" s="47" t="s">
        <v>102</v>
      </c>
      <c r="E49" s="5" t="s">
        <v>121</v>
      </c>
    </row>
    <row r="51" spans="2:18" ht="12.75" x14ac:dyDescent="0.2">
      <c r="B51" s="47" t="s">
        <v>107</v>
      </c>
      <c r="E51" s="5" t="s">
        <v>122</v>
      </c>
    </row>
    <row r="52" spans="2:18" ht="12.75" x14ac:dyDescent="0.2">
      <c r="B52" s="47" t="s">
        <v>109</v>
      </c>
      <c r="E52" s="5" t="s">
        <v>123</v>
      </c>
    </row>
    <row r="53" spans="2:18" ht="12.75" x14ac:dyDescent="0.2">
      <c r="B53" s="5" t="s">
        <v>124</v>
      </c>
      <c r="E53" s="5" t="s">
        <v>125</v>
      </c>
    </row>
    <row r="55" spans="2:18" ht="12.75" x14ac:dyDescent="0.2">
      <c r="B55" s="6" t="s">
        <v>126</v>
      </c>
    </row>
    <row r="56" spans="2:18" ht="12.75" x14ac:dyDescent="0.2">
      <c r="B56" s="47" t="s">
        <v>85</v>
      </c>
      <c r="E56" s="48" t="s">
        <v>127</v>
      </c>
    </row>
    <row r="57" spans="2:18" ht="12.75" x14ac:dyDescent="0.2">
      <c r="B57" s="47" t="s">
        <v>89</v>
      </c>
      <c r="E57" s="48" t="s">
        <v>127</v>
      </c>
    </row>
    <row r="58" spans="2:18" ht="12.75" x14ac:dyDescent="0.2">
      <c r="B58" s="47" t="s">
        <v>92</v>
      </c>
      <c r="E58" s="48" t="s">
        <v>128</v>
      </c>
      <c r="O58" s="6"/>
    </row>
    <row r="59" spans="2:18" ht="12.75" x14ac:dyDescent="0.2">
      <c r="E59" s="48" t="s">
        <v>129</v>
      </c>
      <c r="O59" s="47"/>
      <c r="R59" s="48"/>
    </row>
    <row r="60" spans="2:18" ht="12.75" x14ac:dyDescent="0.2">
      <c r="E60" s="49"/>
      <c r="O60" s="47"/>
      <c r="R60" s="48"/>
    </row>
    <row r="61" spans="2:18" ht="12.75" x14ac:dyDescent="0.2">
      <c r="B61" s="47" t="s">
        <v>97</v>
      </c>
      <c r="E61" s="48" t="s">
        <v>130</v>
      </c>
      <c r="O61" s="47"/>
      <c r="R61" s="48"/>
    </row>
    <row r="62" spans="2:18" ht="12.75" x14ac:dyDescent="0.2">
      <c r="E62" s="48" t="s">
        <v>131</v>
      </c>
      <c r="R62" s="48"/>
    </row>
    <row r="63" spans="2:18" ht="12.75" x14ac:dyDescent="0.2">
      <c r="E63" s="48" t="s">
        <v>132</v>
      </c>
      <c r="R63" s="49"/>
    </row>
    <row r="64" spans="2:18" ht="12.75" x14ac:dyDescent="0.2">
      <c r="E64" s="49"/>
      <c r="O64" s="47"/>
      <c r="R64" s="48"/>
    </row>
    <row r="65" spans="2:18" ht="12.75" x14ac:dyDescent="0.2">
      <c r="B65" s="5" t="s">
        <v>99</v>
      </c>
      <c r="E65" s="48" t="s">
        <v>133</v>
      </c>
      <c r="R65" s="48"/>
    </row>
    <row r="66" spans="2:18" ht="12.75" x14ac:dyDescent="0.2">
      <c r="E66" s="48" t="s">
        <v>134</v>
      </c>
      <c r="R66" s="48"/>
    </row>
    <row r="67" spans="2:18" ht="12.75" x14ac:dyDescent="0.2">
      <c r="E67" s="48" t="s">
        <v>135</v>
      </c>
      <c r="R67" s="49"/>
    </row>
    <row r="68" spans="2:18" ht="12.75" x14ac:dyDescent="0.2">
      <c r="E68" s="49"/>
      <c r="R68" s="48"/>
    </row>
    <row r="69" spans="2:18" ht="12.75" x14ac:dyDescent="0.2">
      <c r="B69" s="47" t="s">
        <v>101</v>
      </c>
      <c r="E69" s="48" t="s">
        <v>136</v>
      </c>
      <c r="R69" s="48"/>
    </row>
    <row r="70" spans="2:18" ht="12.75" x14ac:dyDescent="0.2">
      <c r="E70" s="48" t="s">
        <v>137</v>
      </c>
      <c r="R70" s="48"/>
    </row>
    <row r="71" spans="2:18" ht="12.75" x14ac:dyDescent="0.2">
      <c r="E71" s="49"/>
      <c r="R71" s="49"/>
    </row>
    <row r="72" spans="2:18" ht="12.75" x14ac:dyDescent="0.2">
      <c r="B72" s="47" t="s">
        <v>102</v>
      </c>
      <c r="E72" s="48" t="s">
        <v>138</v>
      </c>
      <c r="O72" s="47"/>
      <c r="R72" s="48"/>
    </row>
    <row r="73" spans="2:18" ht="12.75" x14ac:dyDescent="0.2">
      <c r="E73" s="49"/>
      <c r="R73" s="48"/>
    </row>
    <row r="74" spans="2:18" ht="12.75" x14ac:dyDescent="0.2">
      <c r="B74" s="47" t="s">
        <v>107</v>
      </c>
      <c r="E74" s="48" t="s">
        <v>139</v>
      </c>
      <c r="R74" s="49"/>
    </row>
    <row r="75" spans="2:18" ht="12.75" x14ac:dyDescent="0.2">
      <c r="E75" s="48" t="s">
        <v>140</v>
      </c>
      <c r="O75" s="47"/>
      <c r="R75" s="48"/>
    </row>
    <row r="76" spans="2:18" ht="12.75" x14ac:dyDescent="0.2">
      <c r="E76" s="48" t="s">
        <v>141</v>
      </c>
      <c r="R76" s="49"/>
    </row>
    <row r="77" spans="2:18" ht="12.75" x14ac:dyDescent="0.2">
      <c r="E77" s="49"/>
      <c r="O77" s="47"/>
      <c r="R77" s="48"/>
    </row>
    <row r="78" spans="2:18" ht="12.75" x14ac:dyDescent="0.2">
      <c r="B78" s="47" t="s">
        <v>109</v>
      </c>
      <c r="E78" s="48" t="s">
        <v>142</v>
      </c>
      <c r="R78" s="48"/>
    </row>
    <row r="79" spans="2:18" ht="12.75" x14ac:dyDescent="0.2">
      <c r="E79" s="48" t="s">
        <v>143</v>
      </c>
      <c r="R79" s="48"/>
    </row>
    <row r="80" spans="2:18" ht="12.75" x14ac:dyDescent="0.2">
      <c r="E80" s="48" t="s">
        <v>144</v>
      </c>
      <c r="R80" s="49"/>
    </row>
    <row r="81" spans="2:18" ht="12.75" x14ac:dyDescent="0.2">
      <c r="E81" s="49"/>
      <c r="O81" s="47"/>
      <c r="R81" s="48"/>
    </row>
    <row r="82" spans="2:18" ht="12.75" x14ac:dyDescent="0.2">
      <c r="B82" s="5" t="s">
        <v>124</v>
      </c>
      <c r="E82" s="48" t="s">
        <v>145</v>
      </c>
      <c r="R82" s="48"/>
    </row>
    <row r="83" spans="2:18" ht="12.75" x14ac:dyDescent="0.2">
      <c r="E83" s="48" t="s">
        <v>146</v>
      </c>
      <c r="R83" s="48"/>
    </row>
    <row r="84" spans="2:18" ht="12.75" x14ac:dyDescent="0.2">
      <c r="E84" s="48" t="s">
        <v>147</v>
      </c>
      <c r="R84" s="49"/>
    </row>
    <row r="85" spans="2:18" ht="12.75" x14ac:dyDescent="0.2">
      <c r="R85" s="48"/>
    </row>
    <row r="86" spans="2:18" ht="12.75" x14ac:dyDescent="0.2">
      <c r="R86" s="48"/>
    </row>
    <row r="87" spans="2:18" ht="12.75" x14ac:dyDescent="0.2">
      <c r="R87" s="48"/>
    </row>
  </sheetData>
  <dataValidations count="3">
    <dataValidation type="list" allowBlank="1" showErrorMessage="1" sqref="Q4:Q34">
      <formula1>"Corriente (Disponible),No Corriente (No disponible)"</formula1>
    </dataValidation>
    <dataValidation type="list" allowBlank="1" showErrorMessage="1" sqref="O4:O34">
      <formula1>"Activo (Recursos),Pasivo (Deudas)"</formula1>
    </dataValidation>
    <dataValidation type="list" allowBlank="1" showErrorMessage="1" sqref="P4:P34">
      <formula1>"Monetario,Renta Fija,Renta Variable,Inmueble,Hipoteca,Préstamo"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Situación Patrimonial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2025-10-31T14:04:45Z</dcterms:modified>
</cp:coreProperties>
</file>