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Hoja1!$A$1:$I$93</definedName>
  </definedNames>
  <calcPr calcId="124519"/>
</workbook>
</file>

<file path=xl/calcChain.xml><?xml version="1.0" encoding="utf-8"?>
<calcChain xmlns="http://schemas.openxmlformats.org/spreadsheetml/2006/main">
  <c r="O128" i="1"/>
  <c r="N128"/>
  <c r="O127"/>
  <c r="N127"/>
  <c r="O105"/>
  <c r="N105"/>
  <c r="O104"/>
  <c r="N104"/>
  <c r="O82"/>
  <c r="N82"/>
  <c r="O81"/>
  <c r="N81"/>
  <c r="O60"/>
  <c r="N60"/>
  <c r="O59"/>
  <c r="N59"/>
  <c r="O38"/>
  <c r="N38"/>
  <c r="O37"/>
  <c r="N37"/>
  <c r="L128"/>
  <c r="K128"/>
  <c r="L127"/>
  <c r="K127"/>
  <c r="L105"/>
  <c r="K105"/>
  <c r="L104"/>
  <c r="K104"/>
  <c r="L82"/>
  <c r="K82"/>
  <c r="L81"/>
  <c r="K81"/>
  <c r="L60"/>
  <c r="K60"/>
  <c r="L59"/>
  <c r="K59"/>
  <c r="L38"/>
  <c r="K38"/>
  <c r="L37"/>
  <c r="K37"/>
  <c r="O15"/>
  <c r="N15"/>
  <c r="O14"/>
  <c r="N14"/>
  <c r="L15"/>
  <c r="K15"/>
  <c r="L14"/>
  <c r="K14"/>
  <c r="K19"/>
  <c r="O123"/>
  <c r="N123"/>
  <c r="O122"/>
  <c r="N122"/>
  <c r="O100"/>
  <c r="N100"/>
  <c r="O99"/>
  <c r="N99"/>
  <c r="O77"/>
  <c r="N77"/>
  <c r="O76"/>
  <c r="N76"/>
  <c r="O55"/>
  <c r="N55"/>
  <c r="O54"/>
  <c r="N54"/>
  <c r="O33"/>
  <c r="N33"/>
  <c r="O32"/>
  <c r="N32"/>
  <c r="L123"/>
  <c r="K123"/>
  <c r="L122"/>
  <c r="K122"/>
  <c r="L100"/>
  <c r="K100"/>
  <c r="L99"/>
  <c r="K99"/>
  <c r="L77"/>
  <c r="K77"/>
  <c r="L76"/>
  <c r="K76"/>
  <c r="L55"/>
  <c r="K55"/>
  <c r="L54"/>
  <c r="K54"/>
  <c r="L33"/>
  <c r="K33"/>
  <c r="L32"/>
  <c r="K32"/>
  <c r="O10"/>
  <c r="O9"/>
  <c r="N10"/>
  <c r="N9"/>
  <c r="L10"/>
  <c r="K10"/>
  <c r="L9"/>
  <c r="K9"/>
  <c r="C138"/>
  <c r="B138"/>
  <c r="E138"/>
  <c r="F138"/>
  <c r="I138"/>
  <c r="H138"/>
  <c r="H115"/>
  <c r="I115"/>
  <c r="C115"/>
  <c r="B115"/>
  <c r="I70"/>
  <c r="H70"/>
  <c r="F70"/>
  <c r="E70"/>
  <c r="C70"/>
  <c r="B70"/>
  <c r="I25"/>
  <c r="H25"/>
  <c r="F25"/>
  <c r="E25"/>
  <c r="C25"/>
  <c r="B25"/>
  <c r="C137"/>
  <c r="B137"/>
  <c r="F137"/>
  <c r="E137"/>
  <c r="I137"/>
  <c r="H137"/>
  <c r="I114"/>
  <c r="H114"/>
  <c r="C114"/>
  <c r="B114"/>
  <c r="I69"/>
  <c r="H69"/>
  <c r="F69"/>
  <c r="E69"/>
  <c r="C69"/>
  <c r="B69"/>
  <c r="C47"/>
  <c r="B47"/>
  <c r="C24"/>
  <c r="B24"/>
  <c r="O138"/>
  <c r="N138"/>
  <c r="O137"/>
  <c r="N137"/>
  <c r="O115"/>
  <c r="N115"/>
  <c r="O114"/>
  <c r="N114"/>
  <c r="O92"/>
  <c r="N92"/>
  <c r="O91"/>
  <c r="N91"/>
  <c r="O70"/>
  <c r="N70"/>
  <c r="O69"/>
  <c r="N69"/>
  <c r="O48"/>
  <c r="N48"/>
  <c r="O47"/>
  <c r="N47"/>
  <c r="L138"/>
  <c r="K138"/>
  <c r="L137"/>
  <c r="K137"/>
  <c r="L115"/>
  <c r="K115"/>
  <c r="L114"/>
  <c r="K114"/>
  <c r="L92"/>
  <c r="K92"/>
  <c r="L91"/>
  <c r="K91"/>
  <c r="L70"/>
  <c r="K70"/>
  <c r="L69"/>
  <c r="K69"/>
  <c r="L48"/>
  <c r="K48"/>
  <c r="L47"/>
  <c r="K47"/>
  <c r="O25"/>
  <c r="N25"/>
  <c r="O24"/>
  <c r="N24"/>
  <c r="L25"/>
  <c r="K25"/>
  <c r="L24"/>
  <c r="K24"/>
  <c r="Q3"/>
  <c r="O3"/>
  <c r="C133"/>
  <c r="B133"/>
  <c r="F133"/>
  <c r="E133"/>
  <c r="I133"/>
  <c r="H133"/>
  <c r="C110"/>
  <c r="B110"/>
  <c r="I65"/>
  <c r="H65"/>
  <c r="E65"/>
  <c r="F65"/>
  <c r="C65"/>
  <c r="B65"/>
  <c r="C43"/>
  <c r="B43"/>
  <c r="I20"/>
  <c r="H20"/>
  <c r="F20"/>
  <c r="E20"/>
  <c r="C20"/>
  <c r="B20"/>
  <c r="C132"/>
  <c r="B132"/>
  <c r="F132"/>
  <c r="E132"/>
  <c r="I132"/>
  <c r="H132"/>
  <c r="C109"/>
  <c r="B109"/>
  <c r="I64"/>
  <c r="H64"/>
  <c r="E64"/>
  <c r="F64"/>
  <c r="C64"/>
  <c r="B64"/>
  <c r="B42"/>
  <c r="C42"/>
  <c r="I19"/>
  <c r="H19"/>
  <c r="F19"/>
  <c r="E19"/>
  <c r="C19"/>
  <c r="B19"/>
  <c r="O133"/>
  <c r="N133"/>
  <c r="O132"/>
  <c r="N132"/>
  <c r="O110"/>
  <c r="N110"/>
  <c r="O109"/>
  <c r="N109"/>
  <c r="O87"/>
  <c r="N87"/>
  <c r="O86"/>
  <c r="N86"/>
  <c r="O65"/>
  <c r="N65"/>
  <c r="O64"/>
  <c r="N64"/>
  <c r="O43"/>
  <c r="N43"/>
  <c r="O42"/>
  <c r="N42"/>
  <c r="L133"/>
  <c r="K133"/>
  <c r="L132"/>
  <c r="K132"/>
  <c r="L110"/>
  <c r="K110"/>
  <c r="L109"/>
  <c r="K109"/>
  <c r="L87"/>
  <c r="K87"/>
  <c r="L86"/>
  <c r="K86"/>
  <c r="L65"/>
  <c r="K65"/>
  <c r="L64"/>
  <c r="K64"/>
  <c r="L43"/>
  <c r="K43"/>
  <c r="L42"/>
  <c r="K42"/>
  <c r="O20"/>
  <c r="O19"/>
  <c r="N20"/>
  <c r="N19"/>
  <c r="L19"/>
  <c r="K20"/>
  <c r="L20"/>
  <c r="M3"/>
  <c r="K3"/>
  <c r="I128"/>
  <c r="H128"/>
  <c r="F128"/>
  <c r="E128"/>
  <c r="F127"/>
  <c r="E127"/>
  <c r="I127"/>
  <c r="H127"/>
  <c r="I14"/>
  <c r="H14"/>
  <c r="I15"/>
  <c r="H15"/>
  <c r="E15"/>
  <c r="F15"/>
  <c r="B15"/>
  <c r="C15"/>
  <c r="B10"/>
  <c r="C10"/>
  <c r="F10"/>
  <c r="E10"/>
  <c r="H10"/>
  <c r="I10"/>
  <c r="I33"/>
  <c r="H33"/>
  <c r="B33"/>
  <c r="C33"/>
  <c r="F55"/>
  <c r="E55"/>
  <c r="I55"/>
  <c r="H55"/>
  <c r="I123"/>
  <c r="H123"/>
  <c r="F123"/>
  <c r="E123"/>
  <c r="I100"/>
  <c r="H100"/>
  <c r="H99"/>
  <c r="E122"/>
  <c r="H122"/>
  <c r="C128"/>
  <c r="B128"/>
  <c r="C127"/>
  <c r="B127"/>
  <c r="C123"/>
  <c r="B123"/>
  <c r="B122"/>
  <c r="H9"/>
  <c r="H32"/>
  <c r="E54"/>
  <c r="H54"/>
  <c r="C104"/>
  <c r="B104"/>
  <c r="B105"/>
  <c r="C105"/>
  <c r="C100"/>
  <c r="B100"/>
  <c r="B99"/>
  <c r="E59"/>
  <c r="F59"/>
  <c r="I59"/>
  <c r="H59"/>
  <c r="B59"/>
  <c r="C59"/>
  <c r="I60"/>
  <c r="H60"/>
  <c r="E60"/>
  <c r="F60"/>
  <c r="B60"/>
  <c r="C60"/>
  <c r="B55"/>
  <c r="C55"/>
  <c r="C3"/>
  <c r="B54"/>
  <c r="B32"/>
  <c r="F14"/>
  <c r="C14"/>
  <c r="E14"/>
  <c r="B14"/>
  <c r="B9"/>
  <c r="E9"/>
  <c r="I122" l="1"/>
  <c r="C32"/>
  <c r="I32"/>
  <c r="F54"/>
  <c r="C122"/>
  <c r="I99"/>
  <c r="I54"/>
  <c r="C99"/>
  <c r="I9"/>
  <c r="F122"/>
  <c r="F9"/>
  <c r="C54"/>
  <c r="C9"/>
</calcChain>
</file>

<file path=xl/sharedStrings.xml><?xml version="1.0" encoding="utf-8"?>
<sst xmlns="http://schemas.openxmlformats.org/spreadsheetml/2006/main" count="481" uniqueCount="35">
  <si>
    <t xml:space="preserve">2nd Event:    </t>
  </si>
  <si>
    <t>Xcorr</t>
  </si>
  <si>
    <t xml:space="preserve">  gccphat</t>
  </si>
  <si>
    <t>gccscot</t>
  </si>
  <si>
    <t>Err.sam</t>
  </si>
  <si>
    <t>1r event:</t>
  </si>
  <si>
    <t>True delay</t>
  </si>
  <si>
    <t>1r evento 1-2</t>
  </si>
  <si>
    <t>2nd evento 1-2</t>
  </si>
  <si>
    <t>Sensors 1-2</t>
  </si>
  <si>
    <t>Sensors 1-3</t>
  </si>
  <si>
    <t>1r evento 1-3</t>
  </si>
  <si>
    <t>2nd evento 1-3</t>
  </si>
  <si>
    <t>Time Gain Normalization</t>
  </si>
  <si>
    <t xml:space="preserve">Sensors 1-2 </t>
  </si>
  <si>
    <t xml:space="preserve"> Err.rel (%)</t>
  </si>
  <si>
    <t>Err.rel (%)</t>
  </si>
  <si>
    <t xml:space="preserve"> Err.rel (%) </t>
  </si>
  <si>
    <t>Time Gain Normalization + Filter</t>
  </si>
  <si>
    <t>Percentile Noise Removal + Filter</t>
  </si>
  <si>
    <t>Percentile Noise Removal</t>
  </si>
  <si>
    <t>SAME AS WITHOUT FILTER</t>
  </si>
  <si>
    <t>Spectral substraction</t>
  </si>
  <si>
    <t>Spectral substraction + Filter</t>
  </si>
  <si>
    <t>Sensors 1-5</t>
  </si>
  <si>
    <t>Sensors 1-4</t>
  </si>
  <si>
    <t>LMS</t>
  </si>
  <si>
    <t>AED</t>
  </si>
  <si>
    <t xml:space="preserve">Sensors 1-4 </t>
  </si>
  <si>
    <t>1r evento 1-4</t>
  </si>
  <si>
    <t>2nd evento 1-4</t>
  </si>
  <si>
    <t>SAME</t>
  </si>
  <si>
    <t>Same</t>
  </si>
  <si>
    <t>1r evento 1-5</t>
  </si>
  <si>
    <t>2nd evento 1-5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</si>
</sst>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0" applyFont="1" applyFill="1" applyBorder="1"/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/>
    </xf>
    <xf numFmtId="0" fontId="0" fillId="8" borderId="0" xfId="0" applyFill="1"/>
    <xf numFmtId="2" fontId="1" fillId="9" borderId="0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1" fontId="1" fillId="0" borderId="0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 vertical="center" wrapText="1"/>
    </xf>
    <xf numFmtId="2" fontId="1" fillId="7" borderId="3" xfId="0" applyNumberFormat="1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Fill="1"/>
    <xf numFmtId="2" fontId="1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0"/>
  <sheetViews>
    <sheetView tabSelected="1" showWhiteSpace="0" zoomScale="90" zoomScaleNormal="90" workbookViewId="0">
      <selection activeCell="B10" sqref="B10"/>
    </sheetView>
  </sheetViews>
  <sheetFormatPr baseColWidth="10" defaultRowHeight="15"/>
  <cols>
    <col min="1" max="1" width="17.85546875" customWidth="1"/>
    <col min="2" max="2" width="11.5703125" bestFit="1" customWidth="1"/>
    <col min="3" max="3" width="12.28515625" customWidth="1"/>
    <col min="5" max="5" width="10.42578125" customWidth="1"/>
    <col min="7" max="7" width="10.42578125" customWidth="1"/>
  </cols>
  <sheetData>
    <row r="1" spans="1:17" ht="15.75" thickBot="1">
      <c r="A1" s="47" t="s">
        <v>6</v>
      </c>
      <c r="B1" s="51" t="s">
        <v>9</v>
      </c>
      <c r="C1" s="51"/>
      <c r="D1" s="51"/>
      <c r="E1" s="51"/>
      <c r="F1" s="52" t="s">
        <v>10</v>
      </c>
      <c r="G1" s="51"/>
      <c r="H1" s="51"/>
      <c r="I1" s="53"/>
      <c r="J1" s="52" t="s">
        <v>25</v>
      </c>
      <c r="K1" s="51"/>
      <c r="L1" s="51"/>
      <c r="M1" s="53"/>
      <c r="N1" s="52" t="s">
        <v>24</v>
      </c>
      <c r="O1" s="51"/>
      <c r="P1" s="51"/>
      <c r="Q1" s="53"/>
    </row>
    <row r="2" spans="1:17" ht="15.75" thickBot="1">
      <c r="A2" s="48"/>
      <c r="B2" s="50" t="s">
        <v>7</v>
      </c>
      <c r="C2" s="50"/>
      <c r="D2" s="50" t="s">
        <v>8</v>
      </c>
      <c r="E2" s="50"/>
      <c r="F2" s="44" t="s">
        <v>11</v>
      </c>
      <c r="G2" s="54"/>
      <c r="H2" s="44" t="s">
        <v>12</v>
      </c>
      <c r="I2" s="45"/>
      <c r="J2" s="44" t="s">
        <v>29</v>
      </c>
      <c r="K2" s="54"/>
      <c r="L2" s="44" t="s">
        <v>30</v>
      </c>
      <c r="M2" s="45"/>
      <c r="N2" s="44" t="s">
        <v>33</v>
      </c>
      <c r="O2" s="54"/>
      <c r="P2" s="44" t="s">
        <v>34</v>
      </c>
      <c r="Q2" s="45"/>
    </row>
    <row r="3" spans="1:17" ht="16.5" thickBot="1">
      <c r="A3" s="49"/>
      <c r="B3" s="9">
        <v>3.835</v>
      </c>
      <c r="C3" s="6">
        <f>B3*96000</f>
        <v>368160</v>
      </c>
      <c r="D3" s="7">
        <v>3.9119999999999999</v>
      </c>
      <c r="E3" s="8">
        <v>375552</v>
      </c>
      <c r="F3" s="10">
        <v>5.5640000000000001</v>
      </c>
      <c r="G3" s="8">
        <v>534144</v>
      </c>
      <c r="H3" s="6">
        <v>5.782</v>
      </c>
      <c r="I3" s="11">
        <v>555072</v>
      </c>
      <c r="J3" s="10">
        <v>3.9910000000000001</v>
      </c>
      <c r="K3" s="8">
        <f>96000*J3</f>
        <v>383136</v>
      </c>
      <c r="L3" s="6">
        <v>4.2240000000000002</v>
      </c>
      <c r="M3" s="11">
        <f>L3*96000</f>
        <v>405504</v>
      </c>
      <c r="N3" s="10">
        <v>-6.7050000000000001</v>
      </c>
      <c r="O3" s="8">
        <f>96000*N3</f>
        <v>-643680</v>
      </c>
      <c r="P3" s="6">
        <v>-6.5810000000000004</v>
      </c>
      <c r="Q3" s="11">
        <f>P3*96000</f>
        <v>-631776</v>
      </c>
    </row>
    <row r="4" spans="1:17" ht="15.75">
      <c r="A4" s="5"/>
      <c r="B4" s="2"/>
      <c r="C4" s="2"/>
      <c r="D4" s="1"/>
      <c r="E4" s="4"/>
      <c r="F4" s="2"/>
      <c r="G4" s="2"/>
    </row>
    <row r="5" spans="1:17" ht="15.75" customHeight="1">
      <c r="A5" s="46" t="s">
        <v>13</v>
      </c>
      <c r="B5" s="46"/>
      <c r="C5" s="46"/>
      <c r="D5" s="46"/>
      <c r="E5" s="46"/>
      <c r="F5" s="46"/>
      <c r="G5" s="46"/>
      <c r="H5" s="46"/>
      <c r="I5" s="46"/>
    </row>
    <row r="6" spans="1:17">
      <c r="A6" s="42"/>
      <c r="B6" s="42"/>
      <c r="C6" s="42"/>
      <c r="D6" s="42"/>
      <c r="E6" s="42"/>
      <c r="F6" s="42"/>
      <c r="G6" s="42"/>
      <c r="H6" s="42"/>
      <c r="I6" s="42"/>
    </row>
    <row r="7" spans="1:17" ht="15.75">
      <c r="A7" s="13" t="s">
        <v>14</v>
      </c>
      <c r="B7" s="36" t="s">
        <v>1</v>
      </c>
      <c r="C7" s="36"/>
      <c r="D7" s="14"/>
      <c r="E7" s="36" t="s">
        <v>2</v>
      </c>
      <c r="F7" s="36"/>
      <c r="G7" s="14"/>
      <c r="H7" s="36" t="s">
        <v>3</v>
      </c>
      <c r="I7" s="36"/>
      <c r="J7" s="58"/>
      <c r="K7" s="35" t="s">
        <v>26</v>
      </c>
      <c r="L7" s="35"/>
      <c r="M7" s="29"/>
      <c r="N7" s="35" t="s">
        <v>27</v>
      </c>
      <c r="O7" s="35"/>
    </row>
    <row r="8" spans="1:17" ht="15.75">
      <c r="A8" s="12"/>
      <c r="B8" s="15" t="s">
        <v>15</v>
      </c>
      <c r="C8" s="15" t="s">
        <v>4</v>
      </c>
      <c r="D8" s="5"/>
      <c r="E8" s="15" t="s">
        <v>16</v>
      </c>
      <c r="F8" s="15" t="s">
        <v>4</v>
      </c>
      <c r="G8" s="5"/>
      <c r="H8" s="15" t="s">
        <v>17</v>
      </c>
      <c r="I8" s="15" t="s">
        <v>4</v>
      </c>
      <c r="J8" s="58"/>
      <c r="K8" s="34" t="s">
        <v>17</v>
      </c>
      <c r="L8" s="34" t="s">
        <v>4</v>
      </c>
      <c r="M8" s="29"/>
      <c r="N8" s="34" t="s">
        <v>17</v>
      </c>
      <c r="O8" s="34" t="s">
        <v>4</v>
      </c>
    </row>
    <row r="9" spans="1:17" ht="15.75">
      <c r="A9" s="13" t="s">
        <v>5</v>
      </c>
      <c r="B9" s="21">
        <f>(3.884-B$3)*100/B$3</f>
        <v>1.277705345501954</v>
      </c>
      <c r="C9" s="22">
        <f>372867-C$3</f>
        <v>4707</v>
      </c>
      <c r="D9" s="20"/>
      <c r="E9" s="21">
        <f>(3.8395-B$3)*100/B$3</f>
        <v>0.1173402868318167</v>
      </c>
      <c r="F9" s="22">
        <f>368600-C$3</f>
        <v>440</v>
      </c>
      <c r="G9" s="20"/>
      <c r="H9" s="21">
        <f>(3.8396-B$3)*100/B$3</f>
        <v>0.11994784876140645</v>
      </c>
      <c r="I9" s="22">
        <f>368601-C$3</f>
        <v>441</v>
      </c>
      <c r="J9" s="18"/>
      <c r="K9" s="27">
        <f>(3.8396-B$3)*100/B$3</f>
        <v>0.11994784876140645</v>
      </c>
      <c r="L9" s="28">
        <f>368601-C$3</f>
        <v>441</v>
      </c>
      <c r="M9" s="29"/>
      <c r="N9" s="27">
        <f>(3.8396-B$3)*100/B$3</f>
        <v>0.11994784876140645</v>
      </c>
      <c r="O9" s="28">
        <f>368601-C$3</f>
        <v>441</v>
      </c>
    </row>
    <row r="10" spans="1:17" ht="15.75">
      <c r="A10" s="13" t="s">
        <v>0</v>
      </c>
      <c r="B10" s="21">
        <f>(3.903-D$3)*100/D$3</f>
        <v>-0.2300613496932489</v>
      </c>
      <c r="C10" s="22">
        <f>374686-E$3</f>
        <v>-866</v>
      </c>
      <c r="D10" s="20"/>
      <c r="E10" s="21">
        <f>(3.9169-D$3)*100/D$3</f>
        <v>0.12525562372188462</v>
      </c>
      <c r="F10" s="22">
        <f>376020-E$3</f>
        <v>468</v>
      </c>
      <c r="G10" s="20"/>
      <c r="H10" s="21">
        <f>(3.903-D$3)*100/D$3</f>
        <v>-0.2300613496932489</v>
      </c>
      <c r="I10" s="22">
        <f>374686-E$3</f>
        <v>-866</v>
      </c>
      <c r="J10" s="18"/>
      <c r="K10" s="27">
        <f>(3.903-D$3)*100/G$3</f>
        <v>-1.6849388928827989E-6</v>
      </c>
      <c r="L10" s="28">
        <f>374686-E$3</f>
        <v>-866</v>
      </c>
      <c r="M10" s="29"/>
      <c r="N10" s="27">
        <f>(3.903-D$3)*100/D$3</f>
        <v>-0.2300613496932489</v>
      </c>
      <c r="O10" s="28">
        <f>374686-E$3</f>
        <v>-866</v>
      </c>
    </row>
    <row r="11" spans="1:17">
      <c r="A11" s="3"/>
      <c r="B11" s="16"/>
      <c r="C11" s="18"/>
      <c r="D11" s="17"/>
      <c r="E11" s="17"/>
      <c r="F11" s="18"/>
      <c r="G11" s="16"/>
      <c r="H11" s="17"/>
      <c r="I11" s="17"/>
      <c r="J11" s="58"/>
      <c r="K11" s="29"/>
      <c r="L11" s="29"/>
      <c r="M11" s="29"/>
      <c r="N11" s="29"/>
      <c r="O11" s="29"/>
    </row>
    <row r="12" spans="1:17" ht="15.75">
      <c r="A12" s="13" t="s">
        <v>10</v>
      </c>
      <c r="B12" s="36" t="s">
        <v>1</v>
      </c>
      <c r="C12" s="36"/>
      <c r="D12" s="14"/>
      <c r="E12" s="36" t="s">
        <v>2</v>
      </c>
      <c r="F12" s="36"/>
      <c r="G12" s="14"/>
      <c r="H12" s="36" t="s">
        <v>3</v>
      </c>
      <c r="I12" s="36"/>
      <c r="J12" s="58"/>
      <c r="K12" s="35" t="s">
        <v>26</v>
      </c>
      <c r="L12" s="35"/>
      <c r="M12" s="29"/>
      <c r="N12" s="35" t="s">
        <v>27</v>
      </c>
      <c r="O12" s="35"/>
    </row>
    <row r="13" spans="1:17" ht="15.75">
      <c r="A13" s="12"/>
      <c r="B13" s="15" t="s">
        <v>15</v>
      </c>
      <c r="C13" s="15" t="s">
        <v>4</v>
      </c>
      <c r="D13" s="5"/>
      <c r="E13" s="15" t="s">
        <v>16</v>
      </c>
      <c r="F13" s="15" t="s">
        <v>4</v>
      </c>
      <c r="G13" s="5"/>
      <c r="H13" s="15" t="s">
        <v>17</v>
      </c>
      <c r="I13" s="15" t="s">
        <v>4</v>
      </c>
      <c r="J13" s="58"/>
      <c r="K13" s="34" t="s">
        <v>17</v>
      </c>
      <c r="L13" s="34" t="s">
        <v>4</v>
      </c>
      <c r="M13" s="29"/>
      <c r="N13" s="34" t="s">
        <v>17</v>
      </c>
      <c r="O13" s="34" t="s">
        <v>4</v>
      </c>
    </row>
    <row r="14" spans="1:17" ht="15.75">
      <c r="A14" s="13" t="s">
        <v>5</v>
      </c>
      <c r="B14" s="21">
        <f>(5.618-F$3)*100/F$3</f>
        <v>0.97052480230050808</v>
      </c>
      <c r="C14" s="22">
        <f>539331-G$3</f>
        <v>5187</v>
      </c>
      <c r="D14" s="20"/>
      <c r="E14" s="21">
        <f>(5.618-F$3)*100/F$3</f>
        <v>0.97052480230050808</v>
      </c>
      <c r="F14" s="22">
        <f>539331-G$3</f>
        <v>5187</v>
      </c>
      <c r="G14" s="20"/>
      <c r="H14" s="21">
        <f>(5.618-F$3)*100/F$3</f>
        <v>0.97052480230050808</v>
      </c>
      <c r="I14" s="22">
        <f>539332-G$3</f>
        <v>5188</v>
      </c>
      <c r="J14" s="58"/>
      <c r="K14" s="27">
        <f>(3.8396-F$3)*100/F$3</f>
        <v>-30.992092020129409</v>
      </c>
      <c r="L14" s="28">
        <f>368601-G$3</f>
        <v>-165543</v>
      </c>
      <c r="M14" s="29"/>
      <c r="N14" s="27">
        <f>(3.8396-F$3)*100/F$3</f>
        <v>-30.992092020129409</v>
      </c>
      <c r="O14" s="28">
        <f>368601-G$3</f>
        <v>-165543</v>
      </c>
    </row>
    <row r="15" spans="1:17" ht="15.75">
      <c r="A15" s="13" t="s">
        <v>0</v>
      </c>
      <c r="B15" s="21">
        <f>(5.7641-H$3)*100/H$3</f>
        <v>-0.30958145970252554</v>
      </c>
      <c r="C15" s="22">
        <f>553351-I$3</f>
        <v>-1721</v>
      </c>
      <c r="D15" s="20"/>
      <c r="E15" s="21">
        <f>(5.7737-H$3)*100/H$3</f>
        <v>-0.1435489450017329</v>
      </c>
      <c r="F15" s="22">
        <f>554273-I$3</f>
        <v>-799</v>
      </c>
      <c r="G15" s="20"/>
      <c r="H15" s="21">
        <f>(5.7641-H$3)*100/H$3</f>
        <v>-0.30958145970252554</v>
      </c>
      <c r="I15" s="22">
        <f>553351-I$3</f>
        <v>-1721</v>
      </c>
      <c r="J15" s="58"/>
      <c r="K15" s="27">
        <f>(3.903-H$3)*100/H$3</f>
        <v>-32.497405741957799</v>
      </c>
      <c r="L15" s="28">
        <f>374686-I$3</f>
        <v>-180386</v>
      </c>
      <c r="M15" s="29"/>
      <c r="N15" s="27">
        <f>(3.903-H$3)*100/H$3</f>
        <v>-32.497405741957799</v>
      </c>
      <c r="O15" s="28">
        <f>374686-I$3</f>
        <v>-180386</v>
      </c>
    </row>
    <row r="16" spans="1:17">
      <c r="B16" s="16"/>
      <c r="C16" s="18"/>
      <c r="D16" s="17"/>
      <c r="E16" s="17"/>
      <c r="F16" s="19"/>
      <c r="G16" s="17"/>
      <c r="H16" s="17"/>
      <c r="I16" s="17"/>
      <c r="J16" s="58"/>
      <c r="K16" s="29"/>
      <c r="L16" s="29"/>
      <c r="M16" s="29"/>
      <c r="N16" s="29"/>
      <c r="O16" s="29"/>
    </row>
    <row r="17" spans="1:15" ht="15.75">
      <c r="A17" s="13" t="s">
        <v>25</v>
      </c>
      <c r="B17" s="36" t="s">
        <v>1</v>
      </c>
      <c r="C17" s="36"/>
      <c r="D17" s="14"/>
      <c r="E17" s="36" t="s">
        <v>2</v>
      </c>
      <c r="F17" s="36"/>
      <c r="G17" s="14"/>
      <c r="H17" s="36" t="s">
        <v>3</v>
      </c>
      <c r="I17" s="36"/>
      <c r="J17" s="58"/>
      <c r="K17" s="35" t="s">
        <v>26</v>
      </c>
      <c r="L17" s="35"/>
      <c r="M17" s="29"/>
      <c r="N17" s="35" t="s">
        <v>27</v>
      </c>
      <c r="O17" s="35"/>
    </row>
    <row r="18" spans="1:15" ht="15.75">
      <c r="A18" s="12"/>
      <c r="B18" s="15" t="s">
        <v>15</v>
      </c>
      <c r="C18" s="15" t="s">
        <v>4</v>
      </c>
      <c r="D18" s="5"/>
      <c r="E18" s="15" t="s">
        <v>16</v>
      </c>
      <c r="F18" s="15" t="s">
        <v>4</v>
      </c>
      <c r="G18" s="5"/>
      <c r="H18" s="15" t="s">
        <v>17</v>
      </c>
      <c r="I18" s="15" t="s">
        <v>4</v>
      </c>
      <c r="J18" s="58"/>
      <c r="K18" s="34" t="s">
        <v>17</v>
      </c>
      <c r="L18" s="34" t="s">
        <v>4</v>
      </c>
      <c r="M18" s="29"/>
      <c r="N18" s="34" t="s">
        <v>17</v>
      </c>
      <c r="O18" s="34" t="s">
        <v>4</v>
      </c>
    </row>
    <row r="19" spans="1:15" ht="15.75">
      <c r="A19" s="13" t="s">
        <v>5</v>
      </c>
      <c r="B19" s="21">
        <f>(4.0023-J$3)*100/J$3</f>
        <v>0.28313705838135467</v>
      </c>
      <c r="C19" s="22">
        <f>384216-K$3</f>
        <v>1080</v>
      </c>
      <c r="D19" s="20"/>
      <c r="E19" s="21">
        <f>(4.0023-J$3)*100/J$3</f>
        <v>0.28313705838135467</v>
      </c>
      <c r="F19" s="22">
        <f>384216-K$3</f>
        <v>1080</v>
      </c>
      <c r="G19" s="20"/>
      <c r="H19" s="21">
        <f>(4.002-J$3)*100/J$3</f>
        <v>0.27562014532697759</v>
      </c>
      <c r="I19" s="22">
        <f>384216-K$3</f>
        <v>1080</v>
      </c>
      <c r="J19" s="58"/>
      <c r="K19" s="27">
        <f>(3.8396-J$3)*100/J$3</f>
        <v>-3.7935354547732447</v>
      </c>
      <c r="L19" s="28">
        <f>368601-K$3</f>
        <v>-14535</v>
      </c>
      <c r="M19" s="29"/>
      <c r="N19" s="27">
        <f>(3.8396-J$3)*100/J$3</f>
        <v>-3.7935354547732447</v>
      </c>
      <c r="O19" s="28">
        <f>368601-K$3</f>
        <v>-14535</v>
      </c>
    </row>
    <row r="20" spans="1:15" ht="15.75">
      <c r="A20" s="13" t="s">
        <v>0</v>
      </c>
      <c r="B20" s="21">
        <f>(4.2559-L$3)*100/L$3</f>
        <v>0.75520833333331849</v>
      </c>
      <c r="C20" s="22">
        <f>408564-M$3</f>
        <v>3060</v>
      </c>
      <c r="D20" s="20"/>
      <c r="E20" s="21">
        <f>(4.2383-L$3)*100/L$3</f>
        <v>0.33854166666665564</v>
      </c>
      <c r="F20" s="22">
        <f>406880-M$3</f>
        <v>1376</v>
      </c>
      <c r="G20" s="20"/>
      <c r="H20" s="21">
        <f>(-17.2402-L$3)*100/L$3</f>
        <v>-508.14867424242425</v>
      </c>
      <c r="I20" s="22">
        <f>-1655055-M$3</f>
        <v>-2060559</v>
      </c>
      <c r="J20" s="58"/>
      <c r="K20" s="27">
        <f>(3.903-L$3)*100/L$3</f>
        <v>-7.5994318181818219</v>
      </c>
      <c r="L20" s="28">
        <f>374686-M$3</f>
        <v>-30818</v>
      </c>
      <c r="M20" s="29"/>
      <c r="N20" s="27">
        <f>(3.903-L$3)*100/L$3</f>
        <v>-7.5994318181818219</v>
      </c>
      <c r="O20" s="28">
        <f>374686-M$3</f>
        <v>-30818</v>
      </c>
    </row>
    <row r="21" spans="1:15">
      <c r="B21" s="16"/>
      <c r="C21" s="18"/>
      <c r="D21" s="17"/>
      <c r="E21" s="17"/>
      <c r="F21" s="19"/>
      <c r="G21" s="17"/>
      <c r="H21" s="17"/>
      <c r="I21" s="17"/>
      <c r="J21" s="58"/>
      <c r="K21" s="29"/>
      <c r="L21" s="29"/>
      <c r="M21" s="29"/>
      <c r="N21" s="29"/>
      <c r="O21" s="29"/>
    </row>
    <row r="22" spans="1:15" ht="15.75">
      <c r="A22" s="13" t="s">
        <v>24</v>
      </c>
      <c r="B22" s="36" t="s">
        <v>1</v>
      </c>
      <c r="C22" s="36"/>
      <c r="D22" s="14"/>
      <c r="E22" s="36" t="s">
        <v>2</v>
      </c>
      <c r="F22" s="36"/>
      <c r="G22" s="14"/>
      <c r="H22" s="36" t="s">
        <v>3</v>
      </c>
      <c r="I22" s="36"/>
      <c r="J22" s="58"/>
      <c r="K22" s="35" t="s">
        <v>26</v>
      </c>
      <c r="L22" s="35"/>
      <c r="M22" s="29"/>
      <c r="N22" s="35" t="s">
        <v>27</v>
      </c>
      <c r="O22" s="35"/>
    </row>
    <row r="23" spans="1:15" ht="15.75">
      <c r="A23" s="12"/>
      <c r="B23" s="15" t="s">
        <v>15</v>
      </c>
      <c r="C23" s="15" t="s">
        <v>4</v>
      </c>
      <c r="D23" s="5"/>
      <c r="E23" s="15" t="s">
        <v>16</v>
      </c>
      <c r="F23" s="15" t="s">
        <v>4</v>
      </c>
      <c r="G23" s="5"/>
      <c r="H23" s="15" t="s">
        <v>17</v>
      </c>
      <c r="I23" s="15" t="s">
        <v>4</v>
      </c>
      <c r="J23" s="58"/>
      <c r="K23" s="34" t="s">
        <v>17</v>
      </c>
      <c r="L23" s="34" t="s">
        <v>4</v>
      </c>
      <c r="M23" s="29"/>
      <c r="N23" s="34" t="s">
        <v>17</v>
      </c>
      <c r="O23" s="34" t="s">
        <v>4</v>
      </c>
    </row>
    <row r="24" spans="1:15" ht="15.75">
      <c r="A24" s="13" t="s">
        <v>5</v>
      </c>
      <c r="B24" s="21">
        <f>(-6.6943-N$3)*100/N$3</f>
        <v>-0.15958240119313843</v>
      </c>
      <c r="C24" s="22">
        <f>-642656-O$3</f>
        <v>1024</v>
      </c>
      <c r="D24" s="20"/>
      <c r="E24" s="21"/>
      <c r="F24" s="22"/>
      <c r="G24" s="20"/>
      <c r="H24" s="21"/>
      <c r="I24" s="22"/>
      <c r="J24" s="58"/>
      <c r="K24" s="27">
        <f>(3.8396-N$3)*100/N$3</f>
        <v>-157.26472781506337</v>
      </c>
      <c r="L24" s="28">
        <f>368601-O$3</f>
        <v>1012281</v>
      </c>
      <c r="M24" s="29"/>
      <c r="N24" s="27">
        <f>(3.8396-N$3)*100/N$3</f>
        <v>-157.26472781506337</v>
      </c>
      <c r="O24" s="28">
        <f>368601-O$3</f>
        <v>1012281</v>
      </c>
    </row>
    <row r="25" spans="1:15" ht="15.75">
      <c r="A25" s="13" t="s">
        <v>0</v>
      </c>
      <c r="B25" s="21">
        <f>(-6.6017-P$3)*100/P$3</f>
        <v>0.3145418629387588</v>
      </c>
      <c r="C25" s="22">
        <f>-633765-Q$3</f>
        <v>-1989</v>
      </c>
      <c r="D25" s="20"/>
      <c r="E25" s="21">
        <f>(-6.523-P$3)*100/P$3</f>
        <v>-0.88132502659171419</v>
      </c>
      <c r="F25" s="22">
        <f>-6.26206-Q$3</f>
        <v>631769.73794000002</v>
      </c>
      <c r="G25" s="20"/>
      <c r="H25" s="21">
        <f>(-6.5748-P$3)*100/P$3</f>
        <v>-9.4210606290847126E-2</v>
      </c>
      <c r="I25" s="22">
        <f>-631185-Q$3</f>
        <v>591</v>
      </c>
      <c r="J25" s="58"/>
      <c r="K25" s="27">
        <f>(3.903-P$3)*100/P$3</f>
        <v>-159.30709618598996</v>
      </c>
      <c r="L25" s="28">
        <f>374686-Q$3</f>
        <v>1006462</v>
      </c>
      <c r="M25" s="29"/>
      <c r="N25" s="27">
        <f>(3.903-P$3)*100/P$3</f>
        <v>-159.30709618598996</v>
      </c>
      <c r="O25" s="28">
        <f>374686-Q$3</f>
        <v>1006462</v>
      </c>
    </row>
    <row r="26" spans="1:15" ht="15.75">
      <c r="A26" s="32"/>
      <c r="B26" s="20"/>
      <c r="C26" s="33"/>
      <c r="D26" s="20"/>
      <c r="E26" s="20"/>
      <c r="F26" s="33"/>
      <c r="G26" s="20"/>
      <c r="H26" s="20"/>
      <c r="I26" s="33"/>
      <c r="J26" s="58"/>
    </row>
    <row r="27" spans="1:15">
      <c r="B27" s="16"/>
      <c r="C27" s="18"/>
      <c r="D27" s="17"/>
      <c r="E27" s="17"/>
      <c r="F27" s="19"/>
      <c r="G27" s="17"/>
      <c r="H27" s="17"/>
      <c r="I27" s="17"/>
      <c r="J27" s="58"/>
    </row>
    <row r="28" spans="1:15">
      <c r="A28" s="43" t="s">
        <v>18</v>
      </c>
      <c r="B28" s="43"/>
      <c r="C28" s="43"/>
      <c r="D28" s="43"/>
      <c r="E28" s="43"/>
      <c r="F28" s="43"/>
      <c r="G28" s="43"/>
      <c r="H28" s="43"/>
      <c r="I28" s="43"/>
      <c r="J28" s="58"/>
    </row>
    <row r="29" spans="1:15">
      <c r="A29" s="42"/>
      <c r="B29" s="42"/>
      <c r="C29" s="42"/>
      <c r="D29" s="42"/>
      <c r="E29" s="42"/>
      <c r="F29" s="42"/>
      <c r="G29" s="42"/>
      <c r="H29" s="42"/>
      <c r="I29" s="42"/>
      <c r="J29" s="58"/>
    </row>
    <row r="30" spans="1:15" ht="15.75">
      <c r="A30" s="13" t="s">
        <v>14</v>
      </c>
      <c r="B30" s="36" t="s">
        <v>1</v>
      </c>
      <c r="C30" s="36"/>
      <c r="D30" s="14"/>
      <c r="E30" s="36" t="s">
        <v>2</v>
      </c>
      <c r="F30" s="36"/>
      <c r="G30" s="14"/>
      <c r="H30" s="36" t="s">
        <v>3</v>
      </c>
      <c r="I30" s="36"/>
      <c r="J30" s="58"/>
      <c r="K30" s="35" t="s">
        <v>26</v>
      </c>
      <c r="L30" s="35"/>
      <c r="M30" s="29"/>
      <c r="N30" s="35" t="s">
        <v>27</v>
      </c>
      <c r="O30" s="35"/>
    </row>
    <row r="31" spans="1:15" ht="15.75">
      <c r="A31" s="12"/>
      <c r="B31" s="15" t="s">
        <v>15</v>
      </c>
      <c r="C31" s="15" t="s">
        <v>4</v>
      </c>
      <c r="D31" s="5"/>
      <c r="E31" s="15" t="s">
        <v>16</v>
      </c>
      <c r="F31" s="15" t="s">
        <v>4</v>
      </c>
      <c r="G31" s="5"/>
      <c r="H31" s="15" t="s">
        <v>17</v>
      </c>
      <c r="I31" s="15" t="s">
        <v>4</v>
      </c>
      <c r="J31" s="58"/>
      <c r="K31" s="34" t="s">
        <v>17</v>
      </c>
      <c r="L31" s="34" t="s">
        <v>4</v>
      </c>
      <c r="M31" s="29"/>
      <c r="N31" s="34" t="s">
        <v>17</v>
      </c>
      <c r="O31" s="34" t="s">
        <v>4</v>
      </c>
    </row>
    <row r="32" spans="1:15" ht="15.75">
      <c r="A32" s="13" t="s">
        <v>5</v>
      </c>
      <c r="B32" s="25">
        <f>(3.8745-B$3)*100/B$3</f>
        <v>1.0299869621903486</v>
      </c>
      <c r="C32" s="26">
        <f>371958-C$3</f>
        <v>3798</v>
      </c>
      <c r="D32" s="20"/>
      <c r="E32" s="25"/>
      <c r="F32" s="26"/>
      <c r="G32" s="20"/>
      <c r="H32" s="25">
        <f>(3.8316-B$3)*100/B$3</f>
        <v>-8.8657105606259959E-2</v>
      </c>
      <c r="I32" s="26">
        <f>367831-C$3</f>
        <v>-329</v>
      </c>
      <c r="J32" s="58"/>
      <c r="K32" s="27">
        <f>(3.8396-B$3)*100/B$3</f>
        <v>0.11994784876140645</v>
      </c>
      <c r="L32" s="28">
        <f>368601-C$3</f>
        <v>441</v>
      </c>
      <c r="M32" s="29"/>
      <c r="N32" s="27">
        <f>(3.8396-B$3)*100/B$3</f>
        <v>0.11994784876140645</v>
      </c>
      <c r="O32" s="28">
        <f>368601-C$3</f>
        <v>441</v>
      </c>
    </row>
    <row r="33" spans="1:15" ht="15.75">
      <c r="A33" s="13" t="s">
        <v>0</v>
      </c>
      <c r="B33" s="25">
        <f>(3.9969-D$3)*100/D$3</f>
        <v>2.170245398773011</v>
      </c>
      <c r="C33" s="26">
        <f>383699-E$3</f>
        <v>8147</v>
      </c>
      <c r="D33" s="20"/>
      <c r="E33" s="25"/>
      <c r="F33" s="26"/>
      <c r="G33" s="20"/>
      <c r="H33" s="25">
        <f>(3.9198-D$3)*100/D$3</f>
        <v>0.1993865030674854</v>
      </c>
      <c r="I33" s="26">
        <f>376302-E$3</f>
        <v>750</v>
      </c>
      <c r="J33" s="58"/>
      <c r="K33" s="27">
        <f>(3.903-D$3)*100/G$3</f>
        <v>-1.6849388928827989E-6</v>
      </c>
      <c r="L33" s="28">
        <f>374686-E$3</f>
        <v>-866</v>
      </c>
      <c r="M33" s="29"/>
      <c r="N33" s="27">
        <f>(3.903-D$3)*100/D$3</f>
        <v>-0.2300613496932489</v>
      </c>
      <c r="O33" s="28">
        <f>374686-E$3</f>
        <v>-866</v>
      </c>
    </row>
    <row r="34" spans="1:15">
      <c r="A34" s="3"/>
      <c r="B34" s="16"/>
      <c r="C34" s="18"/>
      <c r="D34" s="17"/>
      <c r="E34" s="17"/>
      <c r="F34" s="18"/>
      <c r="G34" s="16"/>
      <c r="H34" s="17"/>
      <c r="I34" s="17"/>
      <c r="J34" s="58"/>
      <c r="K34" s="29"/>
      <c r="L34" s="29"/>
      <c r="M34" s="29"/>
      <c r="N34" s="29"/>
      <c r="O34" s="29"/>
    </row>
    <row r="35" spans="1:15" ht="15.75">
      <c r="A35" s="13" t="s">
        <v>10</v>
      </c>
      <c r="B35" s="36" t="s">
        <v>1</v>
      </c>
      <c r="C35" s="36"/>
      <c r="D35" s="14"/>
      <c r="E35" s="36" t="s">
        <v>2</v>
      </c>
      <c r="F35" s="36"/>
      <c r="G35" s="14"/>
      <c r="H35" s="36" t="s">
        <v>3</v>
      </c>
      <c r="I35" s="36"/>
      <c r="J35" s="58"/>
      <c r="K35" s="35" t="s">
        <v>26</v>
      </c>
      <c r="L35" s="35"/>
      <c r="M35" s="29"/>
      <c r="N35" s="35" t="s">
        <v>27</v>
      </c>
      <c r="O35" s="35"/>
    </row>
    <row r="36" spans="1:15" ht="15.75">
      <c r="A36" s="12"/>
      <c r="B36" s="15" t="s">
        <v>15</v>
      </c>
      <c r="C36" s="15" t="s">
        <v>4</v>
      </c>
      <c r="D36" s="5"/>
      <c r="E36" s="15" t="s">
        <v>16</v>
      </c>
      <c r="F36" s="15" t="s">
        <v>4</v>
      </c>
      <c r="G36" s="5"/>
      <c r="H36" s="15" t="s">
        <v>17</v>
      </c>
      <c r="I36" s="15" t="s">
        <v>4</v>
      </c>
      <c r="J36" s="58"/>
      <c r="K36" s="34" t="s">
        <v>17</v>
      </c>
      <c r="L36" s="34" t="s">
        <v>4</v>
      </c>
      <c r="M36" s="29"/>
      <c r="N36" s="34" t="s">
        <v>17</v>
      </c>
      <c r="O36" s="34" t="s">
        <v>4</v>
      </c>
    </row>
    <row r="37" spans="1:15" ht="15.75">
      <c r="A37" s="13" t="s">
        <v>5</v>
      </c>
      <c r="B37" s="25"/>
      <c r="C37" s="26"/>
      <c r="D37" s="20"/>
      <c r="E37" s="25"/>
      <c r="F37" s="26"/>
      <c r="G37" s="20"/>
      <c r="H37" s="25"/>
      <c r="I37" s="26"/>
      <c r="J37" s="58"/>
      <c r="K37" s="27">
        <f>(3.8396-F$3)*100/F$3</f>
        <v>-30.992092020129409</v>
      </c>
      <c r="L37" s="28">
        <f>368601-G$3</f>
        <v>-165543</v>
      </c>
      <c r="M37" s="29"/>
      <c r="N37" s="27">
        <f>(3.8396-F$3)*100/F$3</f>
        <v>-30.992092020129409</v>
      </c>
      <c r="O37" s="28">
        <f>368601-G$3</f>
        <v>-165543</v>
      </c>
    </row>
    <row r="38" spans="1:15" ht="15.75">
      <c r="A38" s="13" t="s">
        <v>0</v>
      </c>
      <c r="B38" s="25"/>
      <c r="C38" s="26"/>
      <c r="D38" s="20"/>
      <c r="E38" s="25"/>
      <c r="F38" s="26"/>
      <c r="G38" s="20"/>
      <c r="H38" s="25"/>
      <c r="I38" s="26"/>
      <c r="J38" s="58"/>
      <c r="K38" s="27">
        <f>(3.903-H$3)*100/H$3</f>
        <v>-32.497405741957799</v>
      </c>
      <c r="L38" s="28">
        <f>374686-I$3</f>
        <v>-180386</v>
      </c>
      <c r="M38" s="29"/>
      <c r="N38" s="27">
        <f>(3.903-H$3)*100/H$3</f>
        <v>-32.497405741957799</v>
      </c>
      <c r="O38" s="28">
        <f>374686-I$3</f>
        <v>-180386</v>
      </c>
    </row>
    <row r="39" spans="1:15">
      <c r="B39" s="16"/>
      <c r="C39" s="18"/>
      <c r="D39" s="17"/>
      <c r="E39" s="17"/>
      <c r="F39" s="19"/>
      <c r="G39" s="17"/>
      <c r="H39" s="17"/>
      <c r="I39" s="17"/>
      <c r="J39" s="58"/>
      <c r="K39" s="29"/>
      <c r="L39" s="29"/>
      <c r="M39" s="29"/>
      <c r="N39" s="29"/>
      <c r="O39" s="29"/>
    </row>
    <row r="40" spans="1:15" ht="15.75">
      <c r="A40" s="13" t="s">
        <v>25</v>
      </c>
      <c r="B40" s="36" t="s">
        <v>1</v>
      </c>
      <c r="C40" s="36"/>
      <c r="D40" s="14"/>
      <c r="E40" s="36" t="s">
        <v>2</v>
      </c>
      <c r="F40" s="36"/>
      <c r="G40" s="14"/>
      <c r="H40" s="36" t="s">
        <v>3</v>
      </c>
      <c r="I40" s="36"/>
      <c r="J40" s="58"/>
      <c r="K40" s="35" t="s">
        <v>26</v>
      </c>
      <c r="L40" s="35"/>
      <c r="M40" s="29"/>
      <c r="N40" s="35" t="s">
        <v>27</v>
      </c>
      <c r="O40" s="35"/>
    </row>
    <row r="41" spans="1:15" ht="15.75">
      <c r="A41" s="12"/>
      <c r="B41" s="15" t="s">
        <v>15</v>
      </c>
      <c r="C41" s="15" t="s">
        <v>4</v>
      </c>
      <c r="D41" s="5"/>
      <c r="E41" s="15" t="s">
        <v>16</v>
      </c>
      <c r="F41" s="15" t="s">
        <v>4</v>
      </c>
      <c r="G41" s="5"/>
      <c r="H41" s="15" t="s">
        <v>17</v>
      </c>
      <c r="I41" s="15" t="s">
        <v>4</v>
      </c>
      <c r="J41" s="58"/>
      <c r="K41" s="34" t="s">
        <v>17</v>
      </c>
      <c r="L41" s="34" t="s">
        <v>4</v>
      </c>
      <c r="M41" s="29"/>
      <c r="N41" s="34" t="s">
        <v>17</v>
      </c>
      <c r="O41" s="34" t="s">
        <v>4</v>
      </c>
    </row>
    <row r="42" spans="1:15" ht="15.75">
      <c r="A42" s="13" t="s">
        <v>5</v>
      </c>
      <c r="B42" s="25">
        <f>(3.9812-J$3)*100/J$3</f>
        <v>-0.2455524931095027</v>
      </c>
      <c r="C42" s="26">
        <f>382116-K$3</f>
        <v>-1020</v>
      </c>
      <c r="D42" s="20"/>
      <c r="E42" s="25"/>
      <c r="F42" s="26"/>
      <c r="G42" s="20"/>
      <c r="H42" s="25"/>
      <c r="I42" s="26"/>
      <c r="J42" s="58"/>
      <c r="K42" s="27">
        <f>(3.8396-J$3)*100/J$3</f>
        <v>-3.7935354547732447</v>
      </c>
      <c r="L42" s="28">
        <f>368601-K$3</f>
        <v>-14535</v>
      </c>
      <c r="M42" s="29"/>
      <c r="N42" s="27">
        <f>(3.8396-J$3)*100/J$3</f>
        <v>-3.7935354547732447</v>
      </c>
      <c r="O42" s="28">
        <f>368601-K$3</f>
        <v>-14535</v>
      </c>
    </row>
    <row r="43" spans="1:15" ht="15.75">
      <c r="A43" s="13" t="s">
        <v>0</v>
      </c>
      <c r="B43" s="25">
        <f>(4.2471-L$3)*100/L$3</f>
        <v>0.54687499999998701</v>
      </c>
      <c r="C43" s="26">
        <f>407723-M$3</f>
        <v>2219</v>
      </c>
      <c r="D43" s="20"/>
      <c r="E43" s="25"/>
      <c r="F43" s="26"/>
      <c r="G43" s="20"/>
      <c r="H43" s="25"/>
      <c r="I43" s="26"/>
      <c r="J43" s="58"/>
      <c r="K43" s="27">
        <f>(3.903-L$3)*100/L$3</f>
        <v>-7.5994318181818219</v>
      </c>
      <c r="L43" s="28">
        <f>374686-M$3</f>
        <v>-30818</v>
      </c>
      <c r="M43" s="29"/>
      <c r="N43" s="27">
        <f>(3.903-L$3)*100/L$3</f>
        <v>-7.5994318181818219</v>
      </c>
      <c r="O43" s="28">
        <f>374686-M$3</f>
        <v>-30818</v>
      </c>
    </row>
    <row r="44" spans="1:15">
      <c r="B44" s="16"/>
      <c r="C44" s="18"/>
      <c r="D44" s="17"/>
      <c r="E44" s="17"/>
      <c r="F44" s="19"/>
      <c r="G44" s="17"/>
      <c r="H44" s="17"/>
      <c r="I44" s="17"/>
      <c r="J44" s="58"/>
      <c r="K44" s="29"/>
      <c r="L44" s="29"/>
      <c r="M44" s="29"/>
      <c r="N44" s="29"/>
      <c r="O44" s="29"/>
    </row>
    <row r="45" spans="1:15" ht="15.75">
      <c r="A45" s="13" t="s">
        <v>24</v>
      </c>
      <c r="B45" s="36" t="s">
        <v>1</v>
      </c>
      <c r="C45" s="36"/>
      <c r="D45" s="14"/>
      <c r="E45" s="36" t="s">
        <v>2</v>
      </c>
      <c r="F45" s="36"/>
      <c r="G45" s="14"/>
      <c r="H45" s="36" t="s">
        <v>3</v>
      </c>
      <c r="I45" s="36"/>
      <c r="J45" s="58"/>
      <c r="K45" s="35" t="s">
        <v>26</v>
      </c>
      <c r="L45" s="35"/>
      <c r="M45" s="29"/>
      <c r="N45" s="35" t="s">
        <v>27</v>
      </c>
      <c r="O45" s="35"/>
    </row>
    <row r="46" spans="1:15" ht="15.75">
      <c r="A46" s="12"/>
      <c r="B46" s="15" t="s">
        <v>15</v>
      </c>
      <c r="C46" s="15" t="s">
        <v>4</v>
      </c>
      <c r="D46" s="5"/>
      <c r="E46" s="15" t="s">
        <v>16</v>
      </c>
      <c r="F46" s="15" t="s">
        <v>4</v>
      </c>
      <c r="G46" s="5"/>
      <c r="H46" s="15" t="s">
        <v>17</v>
      </c>
      <c r="I46" s="15" t="s">
        <v>4</v>
      </c>
      <c r="J46" s="58"/>
      <c r="K46" s="34" t="s">
        <v>17</v>
      </c>
      <c r="L46" s="34" t="s">
        <v>4</v>
      </c>
      <c r="M46" s="29"/>
      <c r="N46" s="34" t="s">
        <v>17</v>
      </c>
      <c r="O46" s="34" t="s">
        <v>4</v>
      </c>
    </row>
    <row r="47" spans="1:15" ht="15.75">
      <c r="A47" s="13" t="s">
        <v>5</v>
      </c>
      <c r="B47" s="25">
        <f>(-6.6813-N$3)*100/N$3</f>
        <v>-0.35346756152125031</v>
      </c>
      <c r="C47" s="26">
        <f>-641401-O$3</f>
        <v>2279</v>
      </c>
      <c r="D47" s="20"/>
      <c r="E47" s="25"/>
      <c r="F47" s="26"/>
      <c r="G47" s="20"/>
      <c r="H47" s="25"/>
      <c r="I47" s="26"/>
      <c r="J47" s="58"/>
      <c r="K47" s="27">
        <f>(3.8396-N$3)*100/N$3</f>
        <v>-157.26472781506337</v>
      </c>
      <c r="L47" s="28">
        <f>368601-O$3</f>
        <v>1012281</v>
      </c>
      <c r="M47" s="29"/>
      <c r="N47" s="27">
        <f>(3.8396-N$3)*100/N$3</f>
        <v>-157.26472781506337</v>
      </c>
      <c r="O47" s="28">
        <f>368601-O$3</f>
        <v>1012281</v>
      </c>
    </row>
    <row r="48" spans="1:15" ht="15.75">
      <c r="A48" s="13" t="s">
        <v>0</v>
      </c>
      <c r="B48" s="25"/>
      <c r="C48" s="26"/>
      <c r="D48" s="20"/>
      <c r="E48" s="25"/>
      <c r="F48" s="26"/>
      <c r="G48" s="20"/>
      <c r="H48" s="25"/>
      <c r="I48" s="26"/>
      <c r="J48" s="58"/>
      <c r="K48" s="27">
        <f>(3.903-P$3)*100/P$3</f>
        <v>-159.30709618598996</v>
      </c>
      <c r="L48" s="28">
        <f>374686-Q$3</f>
        <v>1006462</v>
      </c>
      <c r="M48" s="29"/>
      <c r="N48" s="27">
        <f>(3.903-P$3)*100/P$3</f>
        <v>-159.30709618598996</v>
      </c>
      <c r="O48" s="28">
        <f>374686-Q$3</f>
        <v>1006462</v>
      </c>
    </row>
    <row r="49" spans="1:15">
      <c r="B49" s="16"/>
      <c r="C49" s="18"/>
      <c r="D49" s="17"/>
      <c r="E49" s="17"/>
      <c r="F49" s="19"/>
      <c r="G49" s="17"/>
      <c r="H49" s="17"/>
      <c r="I49" s="17"/>
      <c r="J49" s="58"/>
    </row>
    <row r="50" spans="1:15">
      <c r="A50" s="55" t="s">
        <v>20</v>
      </c>
      <c r="B50" s="55"/>
      <c r="C50" s="55"/>
      <c r="D50" s="55"/>
      <c r="E50" s="55"/>
      <c r="F50" s="55"/>
      <c r="G50" s="55"/>
      <c r="H50" s="55"/>
      <c r="I50" s="55"/>
      <c r="J50" s="58"/>
    </row>
    <row r="51" spans="1:15">
      <c r="A51" s="42"/>
      <c r="B51" s="42"/>
      <c r="C51" s="42"/>
      <c r="D51" s="42"/>
      <c r="E51" s="42"/>
      <c r="F51" s="42"/>
      <c r="G51" s="42"/>
      <c r="H51" s="42"/>
      <c r="I51" s="42"/>
      <c r="J51" s="58"/>
    </row>
    <row r="52" spans="1:15" ht="15.75">
      <c r="A52" s="13" t="s">
        <v>14</v>
      </c>
      <c r="B52" s="36" t="s">
        <v>1</v>
      </c>
      <c r="C52" s="36"/>
      <c r="D52" s="14"/>
      <c r="E52" s="36" t="s">
        <v>2</v>
      </c>
      <c r="F52" s="36"/>
      <c r="G52" s="14"/>
      <c r="H52" s="36" t="s">
        <v>3</v>
      </c>
      <c r="I52" s="36"/>
      <c r="J52" s="58"/>
      <c r="K52" s="35" t="s">
        <v>26</v>
      </c>
      <c r="L52" s="35"/>
      <c r="M52" s="29"/>
      <c r="N52" s="35" t="s">
        <v>27</v>
      </c>
      <c r="O52" s="35"/>
    </row>
    <row r="53" spans="1:15" ht="15.75">
      <c r="A53" s="12"/>
      <c r="B53" s="15" t="s">
        <v>15</v>
      </c>
      <c r="C53" s="15" t="s">
        <v>4</v>
      </c>
      <c r="D53" s="5"/>
      <c r="E53" s="15" t="s">
        <v>16</v>
      </c>
      <c r="F53" s="15" t="s">
        <v>4</v>
      </c>
      <c r="G53" s="5"/>
      <c r="H53" s="15" t="s">
        <v>17</v>
      </c>
      <c r="I53" s="15" t="s">
        <v>4</v>
      </c>
      <c r="J53" s="58"/>
      <c r="K53" s="34" t="s">
        <v>17</v>
      </c>
      <c r="L53" s="34" t="s">
        <v>4</v>
      </c>
      <c r="M53" s="29"/>
      <c r="N53" s="34" t="s">
        <v>17</v>
      </c>
      <c r="O53" s="34" t="s">
        <v>4</v>
      </c>
    </row>
    <row r="54" spans="1:15" ht="15.75">
      <c r="A54" s="13" t="s">
        <v>5</v>
      </c>
      <c r="B54" s="23">
        <f>((367200/96000)-B$3)*100/B$3</f>
        <v>-0.26075619295957725</v>
      </c>
      <c r="C54" s="24">
        <f>367200-C$3</f>
        <v>-960</v>
      </c>
      <c r="D54" s="20"/>
      <c r="E54" s="23">
        <f>((367200/96000)-B$3)*100/B$3</f>
        <v>-0.26075619295957725</v>
      </c>
      <c r="F54" s="24">
        <f>367200-C$3</f>
        <v>-960</v>
      </c>
      <c r="G54" s="20"/>
      <c r="H54" s="23">
        <f>(3.825-B$3)*100/B$3</f>
        <v>-0.26075619295957725</v>
      </c>
      <c r="I54" s="24">
        <f>367200-C$3</f>
        <v>-960</v>
      </c>
      <c r="J54" s="58"/>
      <c r="K54" s="27">
        <f>(3.8396-B$3)*100/B$3</f>
        <v>0.11994784876140645</v>
      </c>
      <c r="L54" s="28">
        <f>368601-C$3</f>
        <v>441</v>
      </c>
      <c r="M54" s="29"/>
      <c r="N54" s="27">
        <f>(3.8396-B$3)*100/B$3</f>
        <v>0.11994784876140645</v>
      </c>
      <c r="O54" s="28">
        <f>368601-C$3</f>
        <v>441</v>
      </c>
    </row>
    <row r="55" spans="1:15" ht="15.75">
      <c r="A55" s="13" t="s">
        <v>0</v>
      </c>
      <c r="B55" s="23">
        <f>((374400/96000)-D$3)*100/D$3</f>
        <v>-0.30674846625766899</v>
      </c>
      <c r="C55" s="24">
        <f>374400 -E$3</f>
        <v>-1152</v>
      </c>
      <c r="D55" s="20"/>
      <c r="E55" s="23">
        <f>((378000/96000)-D$3)*100/D$3</f>
        <v>0.65184049079754802</v>
      </c>
      <c r="F55" s="24">
        <f>378000-E$3</f>
        <v>2448</v>
      </c>
      <c r="G55" s="20"/>
      <c r="H55" s="23">
        <f>((374400/96000)-D$3)*100/D$3</f>
        <v>-0.30674846625766899</v>
      </c>
      <c r="I55" s="24">
        <f>374400-E$3</f>
        <v>-1152</v>
      </c>
      <c r="J55" s="58"/>
      <c r="K55" s="27">
        <f>(3.903-D$3)*100/G$3</f>
        <v>-1.6849388928827989E-6</v>
      </c>
      <c r="L55" s="28">
        <f>374686-E$3</f>
        <v>-866</v>
      </c>
      <c r="M55" s="29"/>
      <c r="N55" s="27">
        <f>(3.903-D$3)*100/D$3</f>
        <v>-0.2300613496932489</v>
      </c>
      <c r="O55" s="28">
        <f>374686-E$3</f>
        <v>-866</v>
      </c>
    </row>
    <row r="56" spans="1:15">
      <c r="A56" s="3"/>
      <c r="B56" s="16"/>
      <c r="C56" s="18"/>
      <c r="D56" s="17"/>
      <c r="E56" s="17"/>
      <c r="F56" s="18"/>
      <c r="G56" s="16"/>
      <c r="H56" s="17"/>
      <c r="I56" s="17"/>
      <c r="J56" s="58"/>
      <c r="K56" s="29"/>
      <c r="L56" s="29"/>
      <c r="M56" s="29"/>
      <c r="N56" s="29"/>
      <c r="O56" s="29"/>
    </row>
    <row r="57" spans="1:15" ht="15.75">
      <c r="A57" s="13" t="s">
        <v>10</v>
      </c>
      <c r="B57" s="36" t="s">
        <v>1</v>
      </c>
      <c r="C57" s="36"/>
      <c r="D57" s="14"/>
      <c r="E57" s="36" t="s">
        <v>2</v>
      </c>
      <c r="F57" s="36"/>
      <c r="G57" s="14"/>
      <c r="H57" s="36" t="s">
        <v>3</v>
      </c>
      <c r="I57" s="36"/>
      <c r="J57" s="58"/>
      <c r="K57" s="35" t="s">
        <v>26</v>
      </c>
      <c r="L57" s="35"/>
      <c r="M57" s="29"/>
      <c r="N57" s="35" t="s">
        <v>27</v>
      </c>
      <c r="O57" s="35"/>
    </row>
    <row r="58" spans="1:15" ht="15.75">
      <c r="A58" s="12"/>
      <c r="B58" s="15" t="s">
        <v>15</v>
      </c>
      <c r="C58" s="15" t="s">
        <v>4</v>
      </c>
      <c r="D58" s="5"/>
      <c r="E58" s="15" t="s">
        <v>16</v>
      </c>
      <c r="F58" s="15" t="s">
        <v>4</v>
      </c>
      <c r="G58" s="5"/>
      <c r="H58" s="15" t="s">
        <v>17</v>
      </c>
      <c r="I58" s="15" t="s">
        <v>4</v>
      </c>
      <c r="J58" s="58"/>
      <c r="K58" s="34" t="s">
        <v>17</v>
      </c>
      <c r="L58" s="34" t="s">
        <v>4</v>
      </c>
      <c r="M58" s="29"/>
      <c r="N58" s="34" t="s">
        <v>17</v>
      </c>
      <c r="O58" s="34" t="s">
        <v>4</v>
      </c>
    </row>
    <row r="59" spans="1:15" ht="15.75">
      <c r="A59" s="13" t="s">
        <v>5</v>
      </c>
      <c r="B59" s="23">
        <f>((532800/96000)-F$3)*100/F$3</f>
        <v>-0.25161754133717174</v>
      </c>
      <c r="C59" s="24">
        <f>532800-G$3</f>
        <v>-1344</v>
      </c>
      <c r="D59" s="20"/>
      <c r="E59" s="23">
        <f>((532730/96000)-F$3)*100/F$3</f>
        <v>-0.26472262161515325</v>
      </c>
      <c r="F59" s="24">
        <f>532730-G$3</f>
        <v>-1414</v>
      </c>
      <c r="G59" s="20"/>
      <c r="H59" s="23">
        <f>((532800/96000)-F$3)*100/F$3</f>
        <v>-0.25161754133717174</v>
      </c>
      <c r="I59" s="24">
        <f>532800-G$3</f>
        <v>-1344</v>
      </c>
      <c r="J59" s="58"/>
      <c r="K59" s="27">
        <f>(3.8396-F$3)*100/F$3</f>
        <v>-30.992092020129409</v>
      </c>
      <c r="L59" s="28">
        <f>368601-G$3</f>
        <v>-165543</v>
      </c>
      <c r="M59" s="29"/>
      <c r="N59" s="27">
        <f>(3.8396-F$3)*100/F$3</f>
        <v>-30.992092020129409</v>
      </c>
      <c r="O59" s="28">
        <f>368601-G$3</f>
        <v>-165543</v>
      </c>
    </row>
    <row r="60" spans="1:15" ht="15.75">
      <c r="A60" s="13" t="s">
        <v>0</v>
      </c>
      <c r="B60" s="23">
        <f>((554400/96000)-H$3)*100/H$3</f>
        <v>-0.12106537530265779</v>
      </c>
      <c r="C60" s="24">
        <f>554400-I$3</f>
        <v>-672</v>
      </c>
      <c r="D60" s="20"/>
      <c r="E60" s="23">
        <f>((554401/96000)-H$3)*100/H$3</f>
        <v>-0.12088521849418106</v>
      </c>
      <c r="F60" s="24">
        <f>554401-I$3</f>
        <v>-671</v>
      </c>
      <c r="G60" s="20"/>
      <c r="H60" s="23">
        <f>((554401/96000)-H$3)*100/H$3</f>
        <v>-0.12088521849418106</v>
      </c>
      <c r="I60" s="24">
        <f>554401-I$3</f>
        <v>-671</v>
      </c>
      <c r="J60" s="58"/>
      <c r="K60" s="27">
        <f>(3.903-H$3)*100/H$3</f>
        <v>-32.497405741957799</v>
      </c>
      <c r="L60" s="28">
        <f>374686-I$3</f>
        <v>-180386</v>
      </c>
      <c r="M60" s="29"/>
      <c r="N60" s="27">
        <f>(3.903-H$3)*100/H$3</f>
        <v>-32.497405741957799</v>
      </c>
      <c r="O60" s="28">
        <f>374686-I$3</f>
        <v>-180386</v>
      </c>
    </row>
    <row r="61" spans="1:15" ht="15.75">
      <c r="A61" s="32"/>
      <c r="B61" s="20"/>
      <c r="C61" s="33"/>
      <c r="D61" s="20"/>
      <c r="E61" s="20"/>
      <c r="F61" s="33"/>
      <c r="G61" s="20"/>
      <c r="H61" s="20"/>
      <c r="I61" s="33"/>
      <c r="J61" s="58"/>
      <c r="K61" s="29"/>
      <c r="L61" s="29"/>
      <c r="M61" s="29"/>
      <c r="N61" s="29"/>
      <c r="O61" s="29"/>
    </row>
    <row r="62" spans="1:15" ht="15.75">
      <c r="A62" s="13" t="s">
        <v>28</v>
      </c>
      <c r="B62" s="36" t="s">
        <v>1</v>
      </c>
      <c r="C62" s="36"/>
      <c r="D62" s="14"/>
      <c r="E62" s="36" t="s">
        <v>2</v>
      </c>
      <c r="F62" s="36"/>
      <c r="G62" s="14"/>
      <c r="H62" s="36" t="s">
        <v>3</v>
      </c>
      <c r="I62" s="36"/>
      <c r="J62" s="58"/>
      <c r="K62" s="35" t="s">
        <v>26</v>
      </c>
      <c r="L62" s="35"/>
      <c r="M62" s="29"/>
      <c r="N62" s="35" t="s">
        <v>27</v>
      </c>
      <c r="O62" s="35"/>
    </row>
    <row r="63" spans="1:15" ht="15.75">
      <c r="A63" s="12"/>
      <c r="B63" s="15" t="s">
        <v>15</v>
      </c>
      <c r="C63" s="15" t="s">
        <v>4</v>
      </c>
      <c r="D63" s="5"/>
      <c r="E63" s="15" t="s">
        <v>16</v>
      </c>
      <c r="F63" s="15" t="s">
        <v>4</v>
      </c>
      <c r="G63" s="5"/>
      <c r="H63" s="15" t="s">
        <v>17</v>
      </c>
      <c r="I63" s="15" t="s">
        <v>4</v>
      </c>
      <c r="J63" s="58"/>
      <c r="K63" s="34" t="s">
        <v>17</v>
      </c>
      <c r="L63" s="34" t="s">
        <v>4</v>
      </c>
      <c r="M63" s="29"/>
      <c r="N63" s="34" t="s">
        <v>17</v>
      </c>
      <c r="O63" s="34" t="s">
        <v>4</v>
      </c>
    </row>
    <row r="64" spans="1:15" ht="15.75">
      <c r="A64" s="13" t="s">
        <v>5</v>
      </c>
      <c r="B64" s="23">
        <f>(3.975-J$3)*100/J$3</f>
        <v>-0.40090202956652504</v>
      </c>
      <c r="C64" s="24">
        <f>381600-K$3</f>
        <v>-1536</v>
      </c>
      <c r="D64" s="20"/>
      <c r="E64" s="23">
        <f>(3.975-J$3)*100/J$3</f>
        <v>-0.40090202956652504</v>
      </c>
      <c r="F64" s="24">
        <f>381600-K$3</f>
        <v>-1536</v>
      </c>
      <c r="G64" s="20"/>
      <c r="H64" s="23">
        <f>(3.975-J$3)*100/J$3</f>
        <v>-0.40090202956652504</v>
      </c>
      <c r="I64" s="24">
        <f>381600-K$3</f>
        <v>-1536</v>
      </c>
      <c r="J64" s="58"/>
      <c r="K64" s="27">
        <f>(3.8396-J$3)*100/J$3</f>
        <v>-3.7935354547732447</v>
      </c>
      <c r="L64" s="28">
        <f>368601-K$3</f>
        <v>-14535</v>
      </c>
      <c r="M64" s="29"/>
      <c r="N64" s="27">
        <f>(3.8396-J$3)*100/J$3</f>
        <v>-3.7935354547732447</v>
      </c>
      <c r="O64" s="28">
        <f>368601-K$3</f>
        <v>-14535</v>
      </c>
    </row>
    <row r="65" spans="1:15" ht="15.75">
      <c r="A65" s="13" t="s">
        <v>0</v>
      </c>
      <c r="B65" s="23">
        <f>(4.23751-L$3)*100/L$3</f>
        <v>0.3198390151515183</v>
      </c>
      <c r="C65" s="24">
        <f>406800-M$3</f>
        <v>1296</v>
      </c>
      <c r="D65" s="20"/>
      <c r="E65" s="23">
        <f>(4.2375-L$3)*100/L$3</f>
        <v>0.31960227272726377</v>
      </c>
      <c r="F65" s="24">
        <f>406800-M$3</f>
        <v>1296</v>
      </c>
      <c r="G65" s="20"/>
      <c r="H65" s="23">
        <f>(4.2375-L$3)*100/L$3</f>
        <v>0.31960227272726377</v>
      </c>
      <c r="I65" s="24">
        <f>406800-M$3</f>
        <v>1296</v>
      </c>
      <c r="J65" s="58"/>
      <c r="K65" s="27">
        <f>(3.903-L$3)*100/L$3</f>
        <v>-7.5994318181818219</v>
      </c>
      <c r="L65" s="28">
        <f>374686-M$3</f>
        <v>-30818</v>
      </c>
      <c r="M65" s="29"/>
      <c r="N65" s="27">
        <f>(3.903-L$3)*100/L$3</f>
        <v>-7.5994318181818219</v>
      </c>
      <c r="O65" s="28">
        <f>374686-M$3</f>
        <v>-30818</v>
      </c>
    </row>
    <row r="66" spans="1:15">
      <c r="A66" s="3"/>
      <c r="B66" s="16"/>
      <c r="C66" s="18"/>
      <c r="D66" s="17"/>
      <c r="E66" s="17"/>
      <c r="F66" s="18"/>
      <c r="G66" s="16"/>
      <c r="H66" s="17"/>
      <c r="I66" s="17"/>
      <c r="J66" s="58"/>
      <c r="K66" s="29"/>
      <c r="L66" s="29"/>
      <c r="M66" s="29"/>
      <c r="N66" s="29"/>
      <c r="O66" s="29"/>
    </row>
    <row r="67" spans="1:15" ht="15.75">
      <c r="A67" s="13" t="s">
        <v>24</v>
      </c>
      <c r="B67" s="36" t="s">
        <v>1</v>
      </c>
      <c r="C67" s="36"/>
      <c r="D67" s="14"/>
      <c r="E67" s="36" t="s">
        <v>2</v>
      </c>
      <c r="F67" s="36"/>
      <c r="G67" s="14"/>
      <c r="H67" s="36" t="s">
        <v>3</v>
      </c>
      <c r="I67" s="36"/>
      <c r="J67" s="58"/>
      <c r="K67" s="35" t="s">
        <v>26</v>
      </c>
      <c r="L67" s="35"/>
      <c r="M67" s="29"/>
      <c r="N67" s="35" t="s">
        <v>27</v>
      </c>
      <c r="O67" s="35"/>
    </row>
    <row r="68" spans="1:15" ht="15.75">
      <c r="A68" s="12"/>
      <c r="B68" s="15" t="s">
        <v>15</v>
      </c>
      <c r="C68" s="15" t="s">
        <v>4</v>
      </c>
      <c r="D68" s="5"/>
      <c r="E68" s="15" t="s">
        <v>16</v>
      </c>
      <c r="F68" s="15" t="s">
        <v>4</v>
      </c>
      <c r="G68" s="5"/>
      <c r="H68" s="15" t="s">
        <v>17</v>
      </c>
      <c r="I68" s="15" t="s">
        <v>4</v>
      </c>
      <c r="J68" s="58"/>
      <c r="K68" s="34" t="s">
        <v>17</v>
      </c>
      <c r="L68" s="34" t="s">
        <v>4</v>
      </c>
      <c r="M68" s="29"/>
      <c r="N68" s="34" t="s">
        <v>17</v>
      </c>
      <c r="O68" s="34" t="s">
        <v>4</v>
      </c>
    </row>
    <row r="69" spans="1:15" ht="15.75">
      <c r="A69" s="13" t="s">
        <v>5</v>
      </c>
      <c r="B69" s="23">
        <f>(-6.675-N$3)*100/N$3</f>
        <v>-0.44742729306488066</v>
      </c>
      <c r="C69" s="24">
        <f>-640800-O$3</f>
        <v>2880</v>
      </c>
      <c r="D69" s="20"/>
      <c r="E69" s="23">
        <f>(-6.675-N$3)*100/N$3</f>
        <v>-0.44742729306488066</v>
      </c>
      <c r="F69" s="24">
        <f>-640800-O$3</f>
        <v>2880</v>
      </c>
      <c r="G69" s="20"/>
      <c r="H69" s="23">
        <f>(-6.675-N$3)*100/N$3</f>
        <v>-0.44742729306488066</v>
      </c>
      <c r="I69" s="24">
        <f>-640800-O$3</f>
        <v>2880</v>
      </c>
      <c r="J69" s="58"/>
      <c r="K69" s="27">
        <f>(3.8396-N$3)*100/N$3</f>
        <v>-157.26472781506337</v>
      </c>
      <c r="L69" s="28">
        <f>368601-O$3</f>
        <v>1012281</v>
      </c>
      <c r="M69" s="29"/>
      <c r="N69" s="27">
        <f>(3.8396-N$3)*100/N$3</f>
        <v>-157.26472781506337</v>
      </c>
      <c r="O69" s="28">
        <f>368601-O$3</f>
        <v>1012281</v>
      </c>
    </row>
    <row r="70" spans="1:15" ht="15.75">
      <c r="A70" s="13" t="s">
        <v>0</v>
      </c>
      <c r="B70" s="23">
        <f>(-6.5625-P$3)*100/P$3</f>
        <v>-0.28111229296460116</v>
      </c>
      <c r="C70" s="24">
        <f>-630000-Q$3</f>
        <v>1776</v>
      </c>
      <c r="D70" s="20"/>
      <c r="E70" s="23">
        <f>(-6.5625-P$3)*100/P$3</f>
        <v>-0.28111229296460116</v>
      </c>
      <c r="F70" s="24">
        <f>-630000-Q$3</f>
        <v>1776</v>
      </c>
      <c r="G70" s="20"/>
      <c r="H70" s="23">
        <f>(-6.5625-P$3)*100/P$3</f>
        <v>-0.28111229296460116</v>
      </c>
      <c r="I70" s="24">
        <f>-630000-Q$3</f>
        <v>1776</v>
      </c>
      <c r="J70" s="58"/>
      <c r="K70" s="27">
        <f>(3.903-P$3)*100/P$3</f>
        <v>-159.30709618598996</v>
      </c>
      <c r="L70" s="28">
        <f>374686-Q$3</f>
        <v>1006462</v>
      </c>
      <c r="M70" s="29"/>
      <c r="N70" s="27">
        <f>(3.903-P$3)*100/P$3</f>
        <v>-159.30709618598996</v>
      </c>
      <c r="O70" s="28">
        <f>374686-Q$3</f>
        <v>1006462</v>
      </c>
    </row>
    <row r="71" spans="1:15" ht="15.75">
      <c r="A71" s="32"/>
      <c r="B71" s="20"/>
      <c r="C71" s="33"/>
      <c r="D71" s="20"/>
      <c r="E71" s="20"/>
      <c r="F71" s="33"/>
      <c r="G71" s="20"/>
      <c r="H71" s="20"/>
      <c r="I71" s="33"/>
      <c r="J71" s="58"/>
    </row>
    <row r="72" spans="1:15">
      <c r="A72" s="56" t="s">
        <v>19</v>
      </c>
      <c r="B72" s="56"/>
      <c r="C72" s="56"/>
      <c r="D72" s="56"/>
      <c r="E72" s="56"/>
      <c r="F72" s="56"/>
      <c r="G72" s="56"/>
      <c r="H72" s="56"/>
      <c r="I72" s="56"/>
      <c r="J72" s="58"/>
    </row>
    <row r="73" spans="1:15">
      <c r="A73" s="42"/>
      <c r="B73" s="42"/>
      <c r="C73" s="42"/>
      <c r="D73" s="42"/>
      <c r="E73" s="42"/>
      <c r="F73" s="42"/>
      <c r="G73" s="42"/>
      <c r="H73" s="42"/>
      <c r="I73" s="42"/>
      <c r="J73" s="58"/>
    </row>
    <row r="74" spans="1:15" ht="15.75">
      <c r="A74" s="13" t="s">
        <v>14</v>
      </c>
      <c r="B74" s="36" t="s">
        <v>1</v>
      </c>
      <c r="C74" s="36"/>
      <c r="D74" s="14"/>
      <c r="E74" s="36" t="s">
        <v>2</v>
      </c>
      <c r="F74" s="36"/>
      <c r="G74" s="14"/>
      <c r="H74" s="36" t="s">
        <v>3</v>
      </c>
      <c r="I74" s="36"/>
      <c r="J74" s="58"/>
      <c r="K74" s="35" t="s">
        <v>26</v>
      </c>
      <c r="L74" s="35"/>
      <c r="M74" s="29"/>
      <c r="N74" s="35" t="s">
        <v>27</v>
      </c>
      <c r="O74" s="35"/>
    </row>
    <row r="75" spans="1:15" ht="15.75">
      <c r="A75" s="12"/>
      <c r="B75" s="15" t="s">
        <v>15</v>
      </c>
      <c r="C75" s="15" t="s">
        <v>4</v>
      </c>
      <c r="D75" s="5"/>
      <c r="E75" s="15" t="s">
        <v>16</v>
      </c>
      <c r="F75" s="15" t="s">
        <v>4</v>
      </c>
      <c r="G75" s="5"/>
      <c r="H75" s="15" t="s">
        <v>17</v>
      </c>
      <c r="I75" s="15" t="s">
        <v>4</v>
      </c>
      <c r="J75" s="58"/>
      <c r="K75" s="34" t="s">
        <v>17</v>
      </c>
      <c r="L75" s="34" t="s">
        <v>4</v>
      </c>
      <c r="M75" s="29"/>
      <c r="N75" s="34" t="s">
        <v>17</v>
      </c>
      <c r="O75" s="34" t="s">
        <v>4</v>
      </c>
    </row>
    <row r="76" spans="1:15" ht="15.75">
      <c r="A76" s="13" t="s">
        <v>5</v>
      </c>
      <c r="B76" s="37" t="s">
        <v>21</v>
      </c>
      <c r="C76" s="38"/>
      <c r="D76" s="20"/>
      <c r="E76" s="37" t="s">
        <v>21</v>
      </c>
      <c r="F76" s="38"/>
      <c r="G76" s="20"/>
      <c r="H76" s="37" t="s">
        <v>21</v>
      </c>
      <c r="I76" s="38"/>
      <c r="J76" s="58"/>
      <c r="K76" s="27">
        <f>(3.8396-B$3)*100/B$3</f>
        <v>0.11994784876140645</v>
      </c>
      <c r="L76" s="28">
        <f>368601-C$3</f>
        <v>441</v>
      </c>
      <c r="M76" s="29"/>
      <c r="N76" s="27">
        <f>(3.8396-B$3)*100/B$3</f>
        <v>0.11994784876140645</v>
      </c>
      <c r="O76" s="28">
        <f>368601-C$3</f>
        <v>441</v>
      </c>
    </row>
    <row r="77" spans="1:15" ht="15.75">
      <c r="A77" s="13" t="s">
        <v>0</v>
      </c>
      <c r="B77" s="39"/>
      <c r="C77" s="40"/>
      <c r="D77" s="20"/>
      <c r="E77" s="39"/>
      <c r="F77" s="40"/>
      <c r="G77" s="20"/>
      <c r="H77" s="39"/>
      <c r="I77" s="40"/>
      <c r="J77" s="58"/>
      <c r="K77" s="27">
        <f>(3.903-D$3)*100/G$3</f>
        <v>-1.6849388928827989E-6</v>
      </c>
      <c r="L77" s="28">
        <f>374686-E$3</f>
        <v>-866</v>
      </c>
      <c r="M77" s="29"/>
      <c r="N77" s="27">
        <f>(3.903-D$3)*100/D$3</f>
        <v>-0.2300613496932489</v>
      </c>
      <c r="O77" s="28">
        <f>374686-E$3</f>
        <v>-866</v>
      </c>
    </row>
    <row r="78" spans="1:15">
      <c r="A78" s="3"/>
      <c r="B78" s="16"/>
      <c r="C78" s="18"/>
      <c r="D78" s="17"/>
      <c r="E78" s="17"/>
      <c r="F78" s="18"/>
      <c r="G78" s="16"/>
      <c r="H78" s="17"/>
      <c r="I78" s="17"/>
      <c r="J78" s="58"/>
      <c r="K78" s="29"/>
      <c r="L78" s="29"/>
      <c r="M78" s="29"/>
      <c r="N78" s="29"/>
      <c r="O78" s="29"/>
    </row>
    <row r="79" spans="1:15" ht="15.75">
      <c r="A79" s="13" t="s">
        <v>10</v>
      </c>
      <c r="B79" s="36" t="s">
        <v>1</v>
      </c>
      <c r="C79" s="36"/>
      <c r="D79" s="14"/>
      <c r="E79" s="36" t="s">
        <v>2</v>
      </c>
      <c r="F79" s="36"/>
      <c r="G79" s="14"/>
      <c r="H79" s="36" t="s">
        <v>3</v>
      </c>
      <c r="I79" s="36"/>
      <c r="J79" s="58"/>
      <c r="K79" s="35" t="s">
        <v>26</v>
      </c>
      <c r="L79" s="35"/>
      <c r="M79" s="29"/>
      <c r="N79" s="35" t="s">
        <v>27</v>
      </c>
      <c r="O79" s="35"/>
    </row>
    <row r="80" spans="1:15" ht="15.75">
      <c r="A80" s="12"/>
      <c r="B80" s="15" t="s">
        <v>15</v>
      </c>
      <c r="C80" s="15" t="s">
        <v>4</v>
      </c>
      <c r="D80" s="5"/>
      <c r="E80" s="15" t="s">
        <v>16</v>
      </c>
      <c r="F80" s="15" t="s">
        <v>4</v>
      </c>
      <c r="G80" s="5"/>
      <c r="H80" s="15" t="s">
        <v>17</v>
      </c>
      <c r="I80" s="15" t="s">
        <v>4</v>
      </c>
      <c r="J80" s="58"/>
      <c r="K80" s="34" t="s">
        <v>17</v>
      </c>
      <c r="L80" s="34" t="s">
        <v>4</v>
      </c>
      <c r="M80" s="29"/>
      <c r="N80" s="34" t="s">
        <v>17</v>
      </c>
      <c r="O80" s="34" t="s">
        <v>4</v>
      </c>
    </row>
    <row r="81" spans="1:15" ht="15.75">
      <c r="A81" s="13" t="s">
        <v>5</v>
      </c>
      <c r="B81" s="37" t="s">
        <v>21</v>
      </c>
      <c r="C81" s="38"/>
      <c r="D81" s="20"/>
      <c r="E81" s="37" t="s">
        <v>21</v>
      </c>
      <c r="F81" s="38"/>
      <c r="G81" s="20"/>
      <c r="H81" s="37" t="s">
        <v>21</v>
      </c>
      <c r="I81" s="38"/>
      <c r="J81" s="58"/>
      <c r="K81" s="27">
        <f>(3.8396-F$3)*100/F$3</f>
        <v>-30.992092020129409</v>
      </c>
      <c r="L81" s="28">
        <f>368601-G$3</f>
        <v>-165543</v>
      </c>
      <c r="M81" s="29"/>
      <c r="N81" s="27">
        <f>(3.8396-F$3)*100/F$3</f>
        <v>-30.992092020129409</v>
      </c>
      <c r="O81" s="28">
        <f>368601-G$3</f>
        <v>-165543</v>
      </c>
    </row>
    <row r="82" spans="1:15" ht="15.75">
      <c r="A82" s="13" t="s">
        <v>0</v>
      </c>
      <c r="B82" s="39"/>
      <c r="C82" s="40"/>
      <c r="D82" s="20"/>
      <c r="E82" s="39"/>
      <c r="F82" s="40"/>
      <c r="G82" s="20"/>
      <c r="H82" s="39"/>
      <c r="I82" s="40"/>
      <c r="J82" s="58"/>
      <c r="K82" s="27">
        <f>(3.903-H$3)*100/H$3</f>
        <v>-32.497405741957799</v>
      </c>
      <c r="L82" s="28">
        <f>374686-I$3</f>
        <v>-180386</v>
      </c>
      <c r="M82" s="29"/>
      <c r="N82" s="27">
        <f>(3.903-H$3)*100/H$3</f>
        <v>-32.497405741957799</v>
      </c>
      <c r="O82" s="28">
        <f>374686-I$3</f>
        <v>-180386</v>
      </c>
    </row>
    <row r="83" spans="1:15">
      <c r="B83" s="17"/>
      <c r="C83" s="19"/>
      <c r="D83" s="17"/>
      <c r="E83" s="17"/>
      <c r="F83" s="17"/>
      <c r="G83" s="17"/>
      <c r="H83" s="17"/>
      <c r="I83" s="17"/>
      <c r="J83" s="58"/>
      <c r="K83" s="29"/>
      <c r="L83" s="29"/>
      <c r="M83" s="29"/>
      <c r="N83" s="29"/>
      <c r="O83" s="29"/>
    </row>
    <row r="84" spans="1:15" ht="15.75">
      <c r="A84" s="13" t="s">
        <v>25</v>
      </c>
      <c r="B84" s="36" t="s">
        <v>1</v>
      </c>
      <c r="C84" s="36"/>
      <c r="D84" s="14"/>
      <c r="E84" s="36" t="s">
        <v>2</v>
      </c>
      <c r="F84" s="36"/>
      <c r="G84" s="14"/>
      <c r="H84" s="36" t="s">
        <v>3</v>
      </c>
      <c r="I84" s="36"/>
      <c r="J84" s="58"/>
      <c r="K84" s="35" t="s">
        <v>26</v>
      </c>
      <c r="L84" s="35"/>
      <c r="M84" s="29"/>
      <c r="N84" s="35" t="s">
        <v>27</v>
      </c>
      <c r="O84" s="35"/>
    </row>
    <row r="85" spans="1:15" ht="15.75">
      <c r="A85" s="12"/>
      <c r="B85" s="15" t="s">
        <v>15</v>
      </c>
      <c r="C85" s="15" t="s">
        <v>4</v>
      </c>
      <c r="D85" s="5"/>
      <c r="E85" s="15" t="s">
        <v>16</v>
      </c>
      <c r="F85" s="15" t="s">
        <v>4</v>
      </c>
      <c r="G85" s="5"/>
      <c r="H85" s="15" t="s">
        <v>17</v>
      </c>
      <c r="I85" s="15" t="s">
        <v>4</v>
      </c>
      <c r="J85" s="58"/>
      <c r="K85" s="34" t="s">
        <v>17</v>
      </c>
      <c r="L85" s="34" t="s">
        <v>4</v>
      </c>
      <c r="M85" s="29"/>
      <c r="N85" s="34" t="s">
        <v>17</v>
      </c>
      <c r="O85" s="34" t="s">
        <v>4</v>
      </c>
    </row>
    <row r="86" spans="1:15" ht="15.75" customHeight="1">
      <c r="A86" s="13" t="s">
        <v>5</v>
      </c>
      <c r="B86" s="59" t="s">
        <v>32</v>
      </c>
      <c r="C86" s="60" t="s">
        <v>31</v>
      </c>
      <c r="D86" s="20"/>
      <c r="E86" s="59" t="s">
        <v>31</v>
      </c>
      <c r="F86" s="60" t="s">
        <v>31</v>
      </c>
      <c r="G86" s="20"/>
      <c r="H86" s="59" t="s">
        <v>31</v>
      </c>
      <c r="I86" s="60" t="s">
        <v>31</v>
      </c>
      <c r="J86" s="58"/>
      <c r="K86" s="27">
        <f>(3.8396-J$3)*100/J$3</f>
        <v>-3.7935354547732447</v>
      </c>
      <c r="L86" s="28">
        <f>368601-K$3</f>
        <v>-14535</v>
      </c>
      <c r="M86" s="29"/>
      <c r="N86" s="27">
        <f>(3.8396-J$3)*100/J$3</f>
        <v>-3.7935354547732447</v>
      </c>
      <c r="O86" s="28">
        <f>368601-K$3</f>
        <v>-14535</v>
      </c>
    </row>
    <row r="87" spans="1:15" ht="15.75">
      <c r="A87" s="13" t="s">
        <v>0</v>
      </c>
      <c r="B87" s="59" t="s">
        <v>31</v>
      </c>
      <c r="C87" s="60" t="s">
        <v>31</v>
      </c>
      <c r="D87" s="20"/>
      <c r="E87" s="59" t="s">
        <v>31</v>
      </c>
      <c r="F87" s="60" t="s">
        <v>31</v>
      </c>
      <c r="G87" s="20"/>
      <c r="H87" s="59" t="s">
        <v>31</v>
      </c>
      <c r="I87" s="60" t="s">
        <v>31</v>
      </c>
      <c r="J87" s="58"/>
      <c r="K87" s="27">
        <f>(3.903-L$3)*100/L$3</f>
        <v>-7.5994318181818219</v>
      </c>
      <c r="L87" s="28">
        <f>374686-M$3</f>
        <v>-30818</v>
      </c>
      <c r="M87" s="29"/>
      <c r="N87" s="27">
        <f>(3.903-L$3)*100/L$3</f>
        <v>-7.5994318181818219</v>
      </c>
      <c r="O87" s="28">
        <f>374686-M$3</f>
        <v>-30818</v>
      </c>
    </row>
    <row r="88" spans="1:15">
      <c r="A88" s="3"/>
      <c r="B88" s="16"/>
      <c r="C88" s="18"/>
      <c r="D88" s="17"/>
      <c r="E88" s="17"/>
      <c r="F88" s="18"/>
      <c r="G88" s="16"/>
      <c r="H88" s="17"/>
      <c r="I88" s="17"/>
      <c r="J88" s="58"/>
      <c r="K88" s="29"/>
      <c r="L88" s="29"/>
      <c r="M88" s="29"/>
      <c r="N88" s="29"/>
      <c r="O88" s="29"/>
    </row>
    <row r="89" spans="1:15" ht="15.75">
      <c r="A89" s="13" t="s">
        <v>24</v>
      </c>
      <c r="B89" s="36" t="s">
        <v>1</v>
      </c>
      <c r="C89" s="36"/>
      <c r="D89" s="14"/>
      <c r="E89" s="36" t="s">
        <v>2</v>
      </c>
      <c r="F89" s="36"/>
      <c r="G89" s="14"/>
      <c r="H89" s="36" t="s">
        <v>3</v>
      </c>
      <c r="I89" s="36"/>
      <c r="J89" s="58"/>
      <c r="K89" s="35" t="s">
        <v>26</v>
      </c>
      <c r="L89" s="35"/>
      <c r="M89" s="29"/>
      <c r="N89" s="35" t="s">
        <v>27</v>
      </c>
      <c r="O89" s="35"/>
    </row>
    <row r="90" spans="1:15" ht="15.75">
      <c r="A90" s="12"/>
      <c r="B90" s="15" t="s">
        <v>15</v>
      </c>
      <c r="C90" s="15" t="s">
        <v>4</v>
      </c>
      <c r="D90" s="5"/>
      <c r="E90" s="15" t="s">
        <v>16</v>
      </c>
      <c r="F90" s="15" t="s">
        <v>4</v>
      </c>
      <c r="G90" s="5"/>
      <c r="H90" s="15" t="s">
        <v>17</v>
      </c>
      <c r="I90" s="15" t="s">
        <v>4</v>
      </c>
      <c r="J90" s="58"/>
      <c r="K90" s="34" t="s">
        <v>17</v>
      </c>
      <c r="L90" s="34" t="s">
        <v>4</v>
      </c>
      <c r="M90" s="29"/>
      <c r="N90" s="34" t="s">
        <v>17</v>
      </c>
      <c r="O90" s="34" t="s">
        <v>4</v>
      </c>
    </row>
    <row r="91" spans="1:15" ht="15.75" customHeight="1">
      <c r="A91" s="13" t="s">
        <v>5</v>
      </c>
      <c r="B91" s="59" t="s">
        <v>31</v>
      </c>
      <c r="C91" s="60" t="s">
        <v>31</v>
      </c>
      <c r="D91" s="20"/>
      <c r="E91" s="59" t="s">
        <v>31</v>
      </c>
      <c r="F91" s="60" t="s">
        <v>31</v>
      </c>
      <c r="G91" s="20"/>
      <c r="H91" s="59" t="s">
        <v>31</v>
      </c>
      <c r="I91" s="60" t="s">
        <v>31</v>
      </c>
      <c r="J91" s="58"/>
      <c r="K91" s="27">
        <f>(3.8396-N$3)*100/N$3</f>
        <v>-157.26472781506337</v>
      </c>
      <c r="L91" s="28">
        <f>368601-O$3</f>
        <v>1012281</v>
      </c>
      <c r="M91" s="29"/>
      <c r="N91" s="27">
        <f>(3.8396-N$3)*100/N$3</f>
        <v>-157.26472781506337</v>
      </c>
      <c r="O91" s="28">
        <f>368601-O$3</f>
        <v>1012281</v>
      </c>
    </row>
    <row r="92" spans="1:15" ht="15.75">
      <c r="A92" s="13" t="s">
        <v>0</v>
      </c>
      <c r="B92" s="59" t="s">
        <v>31</v>
      </c>
      <c r="C92" s="60" t="s">
        <v>31</v>
      </c>
      <c r="D92" s="20"/>
      <c r="E92" s="59" t="s">
        <v>31</v>
      </c>
      <c r="F92" s="60" t="s">
        <v>31</v>
      </c>
      <c r="G92" s="20"/>
      <c r="H92" s="59" t="s">
        <v>31</v>
      </c>
      <c r="I92" s="60" t="s">
        <v>31</v>
      </c>
      <c r="J92" s="58"/>
      <c r="K92" s="27">
        <f>(3.903-P$3)*100/P$3</f>
        <v>-159.30709618598996</v>
      </c>
      <c r="L92" s="28">
        <f>374686-Q$3</f>
        <v>1006462</v>
      </c>
      <c r="M92" s="29"/>
      <c r="N92" s="27">
        <f>(3.903-P$3)*100/P$3</f>
        <v>-159.30709618598996</v>
      </c>
      <c r="O92" s="28">
        <f>374686-Q$3</f>
        <v>1006462</v>
      </c>
    </row>
    <row r="93" spans="1:15">
      <c r="B93" s="17"/>
      <c r="C93" s="19"/>
      <c r="D93" s="17"/>
      <c r="E93" s="17"/>
      <c r="F93" s="17"/>
      <c r="G93" s="17"/>
      <c r="H93" s="17"/>
      <c r="I93" s="17"/>
      <c r="J93" s="58"/>
    </row>
    <row r="94" spans="1:15">
      <c r="B94" s="17"/>
      <c r="C94" s="19"/>
      <c r="D94" s="17"/>
      <c r="E94" s="17"/>
      <c r="F94" s="17"/>
      <c r="G94" s="17"/>
      <c r="H94" s="17"/>
      <c r="I94" s="17"/>
      <c r="J94" s="58"/>
    </row>
    <row r="95" spans="1:15">
      <c r="A95" s="57" t="s">
        <v>22</v>
      </c>
      <c r="B95" s="57"/>
      <c r="C95" s="57"/>
      <c r="D95" s="57"/>
      <c r="E95" s="57"/>
      <c r="F95" s="57"/>
      <c r="G95" s="57"/>
      <c r="H95" s="57"/>
      <c r="I95" s="57"/>
      <c r="J95" s="58"/>
    </row>
    <row r="96" spans="1:15">
      <c r="A96" s="42"/>
      <c r="B96" s="42"/>
      <c r="C96" s="42"/>
      <c r="D96" s="42"/>
      <c r="E96" s="42"/>
      <c r="F96" s="42"/>
      <c r="G96" s="42"/>
      <c r="H96" s="42"/>
      <c r="I96" s="42"/>
      <c r="J96" s="58"/>
    </row>
    <row r="97" spans="1:15" ht="15.75">
      <c r="A97" s="13" t="s">
        <v>14</v>
      </c>
      <c r="B97" s="36" t="s">
        <v>1</v>
      </c>
      <c r="C97" s="36"/>
      <c r="D97" s="14"/>
      <c r="E97" s="36" t="s">
        <v>2</v>
      </c>
      <c r="F97" s="36"/>
      <c r="G97" s="14"/>
      <c r="H97" s="36" t="s">
        <v>3</v>
      </c>
      <c r="I97" s="36"/>
      <c r="J97" s="58"/>
      <c r="K97" s="35" t="s">
        <v>26</v>
      </c>
      <c r="L97" s="35"/>
      <c r="M97" s="29"/>
      <c r="N97" s="35" t="s">
        <v>27</v>
      </c>
      <c r="O97" s="35"/>
    </row>
    <row r="98" spans="1:15" ht="15.75">
      <c r="A98" s="12"/>
      <c r="B98" s="15" t="s">
        <v>15</v>
      </c>
      <c r="C98" s="15" t="s">
        <v>4</v>
      </c>
      <c r="D98" s="5"/>
      <c r="E98" s="15" t="s">
        <v>16</v>
      </c>
      <c r="F98" s="15" t="s">
        <v>4</v>
      </c>
      <c r="G98" s="5"/>
      <c r="H98" s="15" t="s">
        <v>17</v>
      </c>
      <c r="I98" s="15" t="s">
        <v>4</v>
      </c>
      <c r="J98" s="58"/>
      <c r="K98" s="34" t="s">
        <v>17</v>
      </c>
      <c r="L98" s="34" t="s">
        <v>4</v>
      </c>
      <c r="M98" s="29"/>
      <c r="N98" s="34" t="s">
        <v>17</v>
      </c>
      <c r="O98" s="34" t="s">
        <v>4</v>
      </c>
    </row>
    <row r="99" spans="1:15" ht="15.75">
      <c r="A99" s="13" t="s">
        <v>5</v>
      </c>
      <c r="B99" s="27">
        <f>(( 371960/96000)-B$3)*100/B$3</f>
        <v>1.0321599304650144</v>
      </c>
      <c r="C99" s="28">
        <f>371960-C$3</f>
        <v>3800</v>
      </c>
      <c r="D99" s="20"/>
      <c r="E99" s="27"/>
      <c r="F99" s="28"/>
      <c r="G99" s="20"/>
      <c r="H99" s="27">
        <f>((369597/96000)-B$3)*100/B$3</f>
        <v>0.39031942633637484</v>
      </c>
      <c r="I99" s="28">
        <f>369597-C$3</f>
        <v>1437</v>
      </c>
      <c r="J99" s="58"/>
      <c r="K99" s="27">
        <f>(3.8396-B$3)*100/B$3</f>
        <v>0.11994784876140645</v>
      </c>
      <c r="L99" s="28">
        <f>368601-C$3</f>
        <v>441</v>
      </c>
      <c r="M99" s="29"/>
      <c r="N99" s="27">
        <f>(3.8396-B$3)*100/B$3</f>
        <v>0.11994784876140645</v>
      </c>
      <c r="O99" s="28">
        <f>368601-C$3</f>
        <v>441</v>
      </c>
    </row>
    <row r="100" spans="1:15" ht="15.75">
      <c r="A100" s="13" t="s">
        <v>0</v>
      </c>
      <c r="B100" s="27">
        <f>(( 382097/96000)-D$3)*100/D$3</f>
        <v>1.7427679788684434</v>
      </c>
      <c r="C100" s="28">
        <f xml:space="preserve"> 382097 -E$3</f>
        <v>6545</v>
      </c>
      <c r="D100" s="20"/>
      <c r="E100" s="27"/>
      <c r="F100" s="28"/>
      <c r="G100" s="20"/>
      <c r="H100" s="27">
        <f>((376300/96000)-D$3)*100/D$3</f>
        <v>0.19917348329925519</v>
      </c>
      <c r="I100" s="28">
        <f>376300-E$3</f>
        <v>748</v>
      </c>
      <c r="J100" s="58"/>
      <c r="K100" s="27">
        <f>(3.903-D$3)*100/G$3</f>
        <v>-1.6849388928827989E-6</v>
      </c>
      <c r="L100" s="28">
        <f>374686-E$3</f>
        <v>-866</v>
      </c>
      <c r="M100" s="29"/>
      <c r="N100" s="27">
        <f>(3.903-D$3)*100/D$3</f>
        <v>-0.2300613496932489</v>
      </c>
      <c r="O100" s="28">
        <f>374686-E$3</f>
        <v>-866</v>
      </c>
    </row>
    <row r="101" spans="1:15">
      <c r="A101" s="3"/>
      <c r="B101" s="16"/>
      <c r="C101" s="18"/>
      <c r="D101" s="17"/>
      <c r="E101" s="17"/>
      <c r="F101" s="18"/>
      <c r="G101" s="16"/>
      <c r="H101" s="17"/>
      <c r="I101" s="17"/>
      <c r="J101" s="58"/>
      <c r="K101" s="29"/>
      <c r="L101" s="29"/>
      <c r="M101" s="29"/>
      <c r="N101" s="29"/>
      <c r="O101" s="29"/>
    </row>
    <row r="102" spans="1:15" ht="15.75">
      <c r="A102" s="13" t="s">
        <v>10</v>
      </c>
      <c r="B102" s="36" t="s">
        <v>1</v>
      </c>
      <c r="C102" s="36"/>
      <c r="D102" s="14"/>
      <c r="E102" s="36" t="s">
        <v>2</v>
      </c>
      <c r="F102" s="36"/>
      <c r="G102" s="14"/>
      <c r="H102" s="36" t="s">
        <v>3</v>
      </c>
      <c r="I102" s="36"/>
      <c r="J102" s="58"/>
      <c r="K102" s="35" t="s">
        <v>26</v>
      </c>
      <c r="L102" s="35"/>
      <c r="M102" s="29"/>
      <c r="N102" s="35" t="s">
        <v>27</v>
      </c>
      <c r="O102" s="35"/>
    </row>
    <row r="103" spans="1:15" ht="15.75">
      <c r="A103" s="12"/>
      <c r="B103" s="15" t="s">
        <v>15</v>
      </c>
      <c r="C103" s="15" t="s">
        <v>4</v>
      </c>
      <c r="D103" s="5"/>
      <c r="E103" s="15" t="s">
        <v>16</v>
      </c>
      <c r="F103" s="15" t="s">
        <v>4</v>
      </c>
      <c r="G103" s="5"/>
      <c r="H103" s="15" t="s">
        <v>17</v>
      </c>
      <c r="I103" s="15" t="s">
        <v>4</v>
      </c>
      <c r="J103" s="58"/>
      <c r="K103" s="34" t="s">
        <v>17</v>
      </c>
      <c r="L103" s="34" t="s">
        <v>4</v>
      </c>
      <c r="M103" s="29"/>
      <c r="N103" s="34" t="s">
        <v>17</v>
      </c>
      <c r="O103" s="34" t="s">
        <v>4</v>
      </c>
    </row>
    <row r="104" spans="1:15" ht="15.75">
      <c r="A104" s="13" t="s">
        <v>5</v>
      </c>
      <c r="B104" s="27">
        <f>((536328/96000)-F$3)*100/F$3</f>
        <v>0.40887850467290204</v>
      </c>
      <c r="C104" s="28">
        <f>536328-G$3</f>
        <v>2184</v>
      </c>
      <c r="D104" s="20"/>
      <c r="E104" s="27"/>
      <c r="F104" s="28"/>
      <c r="G104" s="20"/>
      <c r="H104" s="27"/>
      <c r="I104" s="28"/>
      <c r="J104" s="58"/>
      <c r="K104" s="27">
        <f>(3.8396-F$3)*100/F$3</f>
        <v>-30.992092020129409</v>
      </c>
      <c r="L104" s="28">
        <f>368601-G$3</f>
        <v>-165543</v>
      </c>
      <c r="M104" s="29"/>
      <c r="N104" s="27">
        <f>(3.8396-F$3)*100/F$3</f>
        <v>-30.992092020129409</v>
      </c>
      <c r="O104" s="28">
        <f>368601-G$3</f>
        <v>-165543</v>
      </c>
    </row>
    <row r="105" spans="1:15" ht="15.75">
      <c r="A105" s="13" t="s">
        <v>0</v>
      </c>
      <c r="B105" s="27">
        <f>((548254/96000)-H$3)*100/H$3</f>
        <v>-1.2283091202582801</v>
      </c>
      <c r="C105" s="28">
        <f>548254-I$3</f>
        <v>-6818</v>
      </c>
      <c r="D105" s="20"/>
      <c r="E105" s="27"/>
      <c r="F105" s="28"/>
      <c r="G105" s="20"/>
      <c r="H105" s="27"/>
      <c r="I105" s="28"/>
      <c r="J105" s="58"/>
      <c r="K105" s="27">
        <f>(3.903-H$3)*100/H$3</f>
        <v>-32.497405741957799</v>
      </c>
      <c r="L105" s="28">
        <f>374686-I$3</f>
        <v>-180386</v>
      </c>
      <c r="M105" s="29"/>
      <c r="N105" s="27">
        <f>(3.903-H$3)*100/H$3</f>
        <v>-32.497405741957799</v>
      </c>
      <c r="O105" s="28">
        <f>374686-I$3</f>
        <v>-180386</v>
      </c>
    </row>
    <row r="106" spans="1:15">
      <c r="J106" s="58"/>
      <c r="K106" s="29"/>
      <c r="L106" s="29"/>
      <c r="M106" s="29"/>
      <c r="N106" s="29"/>
      <c r="O106" s="29"/>
    </row>
    <row r="107" spans="1:15" ht="15.75">
      <c r="A107" s="13" t="s">
        <v>25</v>
      </c>
      <c r="B107" s="36" t="s">
        <v>1</v>
      </c>
      <c r="C107" s="36"/>
      <c r="D107" s="14"/>
      <c r="E107" s="36" t="s">
        <v>2</v>
      </c>
      <c r="F107" s="36"/>
      <c r="G107" s="14"/>
      <c r="H107" s="36" t="s">
        <v>3</v>
      </c>
      <c r="I107" s="36"/>
      <c r="J107" s="58"/>
      <c r="K107" s="35" t="s">
        <v>26</v>
      </c>
      <c r="L107" s="35"/>
      <c r="M107" s="29"/>
      <c r="N107" s="35" t="s">
        <v>27</v>
      </c>
      <c r="O107" s="35"/>
    </row>
    <row r="108" spans="1:15" ht="15.75">
      <c r="A108" s="12"/>
      <c r="B108" s="15" t="s">
        <v>15</v>
      </c>
      <c r="C108" s="15" t="s">
        <v>4</v>
      </c>
      <c r="D108" s="5"/>
      <c r="E108" s="15" t="s">
        <v>16</v>
      </c>
      <c r="F108" s="15" t="s">
        <v>4</v>
      </c>
      <c r="G108" s="5"/>
      <c r="H108" s="15" t="s">
        <v>17</v>
      </c>
      <c r="I108" s="15" t="s">
        <v>4</v>
      </c>
      <c r="J108" s="58"/>
      <c r="K108" s="34" t="s">
        <v>17</v>
      </c>
      <c r="L108" s="34" t="s">
        <v>4</v>
      </c>
      <c r="M108" s="29"/>
      <c r="N108" s="34" t="s">
        <v>17</v>
      </c>
      <c r="O108" s="34" t="s">
        <v>4</v>
      </c>
    </row>
    <row r="109" spans="1:15" ht="15.75">
      <c r="A109" s="13" t="s">
        <v>5</v>
      </c>
      <c r="B109" s="27">
        <f>(3.9914-J$3)*100/J$3</f>
        <v>1.0022550739162013E-2</v>
      </c>
      <c r="C109" s="28">
        <f>383172-K$3</f>
        <v>36</v>
      </c>
      <c r="D109" s="20"/>
      <c r="E109" s="27"/>
      <c r="F109" s="28"/>
      <c r="G109" s="20"/>
      <c r="H109" s="27"/>
      <c r="I109" s="28"/>
      <c r="J109" s="58"/>
      <c r="K109" s="27">
        <f>(3.8396-J$3)*100/J$3</f>
        <v>-3.7935354547732447</v>
      </c>
      <c r="L109" s="28">
        <f>368601-K$3</f>
        <v>-14535</v>
      </c>
      <c r="M109" s="29"/>
      <c r="N109" s="27">
        <f>(3.8396-J$3)*100/J$3</f>
        <v>-3.7935354547732447</v>
      </c>
      <c r="O109" s="28">
        <f>368601-K$3</f>
        <v>-14535</v>
      </c>
    </row>
    <row r="110" spans="1:15" ht="15.75">
      <c r="A110" s="13" t="s">
        <v>0</v>
      </c>
      <c r="B110" s="27">
        <f>(4.2471-L$3)*100/L$3</f>
        <v>0.54687499999998701</v>
      </c>
      <c r="C110" s="28">
        <f>407224-M$3</f>
        <v>1720</v>
      </c>
      <c r="D110" s="20"/>
      <c r="E110" s="27"/>
      <c r="F110" s="28"/>
      <c r="G110" s="20"/>
      <c r="H110" s="27"/>
      <c r="I110" s="28"/>
      <c r="J110" s="58"/>
      <c r="K110" s="27">
        <f>(3.903-L$3)*100/L$3</f>
        <v>-7.5994318181818219</v>
      </c>
      <c r="L110" s="28">
        <f>374686-M$3</f>
        <v>-30818</v>
      </c>
      <c r="M110" s="29"/>
      <c r="N110" s="27">
        <f>(3.903-L$3)*100/L$3</f>
        <v>-7.5994318181818219</v>
      </c>
      <c r="O110" s="28">
        <f>374686-M$3</f>
        <v>-30818</v>
      </c>
    </row>
    <row r="111" spans="1:15">
      <c r="A111" s="3"/>
      <c r="B111" s="16"/>
      <c r="C111" s="18"/>
      <c r="D111" s="17"/>
      <c r="E111" s="17"/>
      <c r="F111" s="18"/>
      <c r="G111" s="16"/>
      <c r="H111" s="17"/>
      <c r="I111" s="17"/>
      <c r="J111" s="58"/>
      <c r="K111" s="29"/>
      <c r="L111" s="29"/>
      <c r="M111" s="29"/>
      <c r="N111" s="29"/>
      <c r="O111" s="29"/>
    </row>
    <row r="112" spans="1:15" ht="15.75">
      <c r="A112" s="13" t="s">
        <v>24</v>
      </c>
      <c r="B112" s="36" t="s">
        <v>1</v>
      </c>
      <c r="C112" s="36"/>
      <c r="D112" s="14"/>
      <c r="E112" s="36" t="s">
        <v>2</v>
      </c>
      <c r="F112" s="36"/>
      <c r="G112" s="14"/>
      <c r="H112" s="36" t="s">
        <v>3</v>
      </c>
      <c r="I112" s="36"/>
      <c r="J112" s="58"/>
      <c r="K112" s="35" t="s">
        <v>26</v>
      </c>
      <c r="L112" s="35"/>
      <c r="M112" s="29"/>
      <c r="N112" s="35" t="s">
        <v>27</v>
      </c>
      <c r="O112" s="35"/>
    </row>
    <row r="113" spans="1:15" ht="15.75">
      <c r="A113" s="12"/>
      <c r="B113" s="15" t="s">
        <v>15</v>
      </c>
      <c r="C113" s="15" t="s">
        <v>4</v>
      </c>
      <c r="D113" s="5"/>
      <c r="E113" s="15" t="s">
        <v>16</v>
      </c>
      <c r="F113" s="15" t="s">
        <v>4</v>
      </c>
      <c r="G113" s="5"/>
      <c r="H113" s="15" t="s">
        <v>17</v>
      </c>
      <c r="I113" s="15" t="s">
        <v>4</v>
      </c>
      <c r="J113" s="58"/>
      <c r="K113" s="34" t="s">
        <v>17</v>
      </c>
      <c r="L113" s="34" t="s">
        <v>4</v>
      </c>
      <c r="M113" s="29"/>
      <c r="N113" s="34" t="s">
        <v>17</v>
      </c>
      <c r="O113" s="34" t="s">
        <v>4</v>
      </c>
    </row>
    <row r="114" spans="1:15" ht="15.75">
      <c r="A114" s="13" t="s">
        <v>5</v>
      </c>
      <c r="B114" s="27">
        <f>(-6.6834-N$3)*100/N$3</f>
        <v>-0.32214765100671566</v>
      </c>
      <c r="C114" s="28">
        <f>-641610-O$3</f>
        <v>2070</v>
      </c>
      <c r="D114" s="20"/>
      <c r="E114" s="27"/>
      <c r="F114" s="28"/>
      <c r="G114" s="20"/>
      <c r="H114" s="27">
        <f>(-6.6827-N$3)*100/N$3</f>
        <v>-0.3325876211782316</v>
      </c>
      <c r="I114" s="28">
        <f>-641542-O$3</f>
        <v>2138</v>
      </c>
      <c r="J114" s="58"/>
      <c r="K114" s="27">
        <f>(3.8396-N$3)*100/N$3</f>
        <v>-157.26472781506337</v>
      </c>
      <c r="L114" s="28">
        <f>368601-O$3</f>
        <v>1012281</v>
      </c>
      <c r="M114" s="29"/>
      <c r="N114" s="27">
        <f>(3.8396-N$3)*100/N$3</f>
        <v>-157.26472781506337</v>
      </c>
      <c r="O114" s="28">
        <f>368601-O$3</f>
        <v>1012281</v>
      </c>
    </row>
    <row r="115" spans="1:15" ht="15.75">
      <c r="A115" s="13" t="s">
        <v>0</v>
      </c>
      <c r="B115" s="27">
        <f>(-6.5828-P$3)*100/P$3</f>
        <v>2.7351466342491377E-2</v>
      </c>
      <c r="C115" s="28">
        <f>-631951-Q$3</f>
        <v>-175</v>
      </c>
      <c r="D115" s="20"/>
      <c r="E115" s="27"/>
      <c r="F115" s="28"/>
      <c r="G115" s="20"/>
      <c r="H115" s="27">
        <f>(-6.5828-P$3)*100/P$3</f>
        <v>2.7351466342491377E-2</v>
      </c>
      <c r="I115" s="28">
        <f>-631946-Q$3</f>
        <v>-170</v>
      </c>
      <c r="J115" s="58"/>
      <c r="K115" s="27">
        <f>(3.903-P$3)*100/P$3</f>
        <v>-159.30709618598996</v>
      </c>
      <c r="L115" s="28">
        <f>374686-Q$3</f>
        <v>1006462</v>
      </c>
      <c r="M115" s="29"/>
      <c r="N115" s="27">
        <f>(3.903-P$3)*100/P$3</f>
        <v>-159.30709618598996</v>
      </c>
      <c r="O115" s="28">
        <f>374686-Q$3</f>
        <v>1006462</v>
      </c>
    </row>
    <row r="116" spans="1:15">
      <c r="J116" s="58"/>
    </row>
    <row r="117" spans="1:15">
      <c r="J117" s="58"/>
    </row>
    <row r="118" spans="1:15">
      <c r="A118" s="41" t="s">
        <v>23</v>
      </c>
      <c r="B118" s="41"/>
      <c r="C118" s="41"/>
      <c r="D118" s="41"/>
      <c r="E118" s="41"/>
      <c r="F118" s="41"/>
      <c r="G118" s="41"/>
      <c r="H118" s="41"/>
      <c r="I118" s="41"/>
      <c r="J118" s="58"/>
    </row>
    <row r="119" spans="1:15">
      <c r="A119" s="42"/>
      <c r="B119" s="42"/>
      <c r="C119" s="42"/>
      <c r="D119" s="42"/>
      <c r="E119" s="42"/>
      <c r="F119" s="42"/>
      <c r="G119" s="42"/>
      <c r="H119" s="42"/>
      <c r="I119" s="42"/>
      <c r="J119" s="58"/>
    </row>
    <row r="120" spans="1:15" ht="15.75">
      <c r="A120" s="13" t="s">
        <v>14</v>
      </c>
      <c r="B120" s="36" t="s">
        <v>1</v>
      </c>
      <c r="C120" s="36"/>
      <c r="D120" s="14"/>
      <c r="E120" s="36" t="s">
        <v>2</v>
      </c>
      <c r="F120" s="36"/>
      <c r="G120" s="14"/>
      <c r="H120" s="36" t="s">
        <v>3</v>
      </c>
      <c r="I120" s="36"/>
      <c r="J120" s="58"/>
      <c r="K120" s="35" t="s">
        <v>26</v>
      </c>
      <c r="L120" s="35"/>
      <c r="M120" s="29"/>
      <c r="N120" s="35" t="s">
        <v>27</v>
      </c>
      <c r="O120" s="35"/>
    </row>
    <row r="121" spans="1:15" ht="15.75">
      <c r="A121" s="12"/>
      <c r="B121" s="15" t="s">
        <v>15</v>
      </c>
      <c r="C121" s="15" t="s">
        <v>4</v>
      </c>
      <c r="D121" s="5"/>
      <c r="E121" s="15" t="s">
        <v>16</v>
      </c>
      <c r="F121" s="15" t="s">
        <v>4</v>
      </c>
      <c r="G121" s="5"/>
      <c r="H121" s="15" t="s">
        <v>17</v>
      </c>
      <c r="I121" s="15" t="s">
        <v>4</v>
      </c>
      <c r="J121" s="58"/>
      <c r="K121" s="34" t="s">
        <v>17</v>
      </c>
      <c r="L121" s="34" t="s">
        <v>4</v>
      </c>
      <c r="M121" s="29"/>
      <c r="N121" s="34" t="s">
        <v>17</v>
      </c>
      <c r="O121" s="34" t="s">
        <v>4</v>
      </c>
    </row>
    <row r="122" spans="1:15" ht="15.75">
      <c r="A122" s="13" t="s">
        <v>5</v>
      </c>
      <c r="B122" s="30">
        <f>(( 371960/96000)-B$3)*100/B$3</f>
        <v>1.0321599304650144</v>
      </c>
      <c r="C122" s="31">
        <f>371960-C$3</f>
        <v>3800</v>
      </c>
      <c r="D122" s="20"/>
      <c r="E122" s="30">
        <f>((436800/96000)-B$3)*100/B$3</f>
        <v>18.644067796610166</v>
      </c>
      <c r="F122" s="31">
        <f>436800-C$3</f>
        <v>68640</v>
      </c>
      <c r="G122" s="20"/>
      <c r="H122" s="30">
        <f>((369597/96000)-B$3)*100/B$3</f>
        <v>0.39031942633637484</v>
      </c>
      <c r="I122" s="31">
        <f>369597-C$3</f>
        <v>1437</v>
      </c>
      <c r="J122" s="58"/>
      <c r="K122" s="27">
        <f>(3.8396-B$3)*100/B$3</f>
        <v>0.11994784876140645</v>
      </c>
      <c r="L122" s="28">
        <f>368601-C$3</f>
        <v>441</v>
      </c>
      <c r="M122" s="29"/>
      <c r="N122" s="27">
        <f>(3.8396-B$3)*100/B$3</f>
        <v>0.11994784876140645</v>
      </c>
      <c r="O122" s="28">
        <f>368601-C$3</f>
        <v>441</v>
      </c>
    </row>
    <row r="123" spans="1:15" ht="15.75">
      <c r="A123" s="13" t="s">
        <v>0</v>
      </c>
      <c r="B123" s="30">
        <f>(( 382097/96000)-D$3)*100/D$3</f>
        <v>1.7427679788684434</v>
      </c>
      <c r="C123" s="31">
        <f xml:space="preserve"> 382097 -E$3</f>
        <v>6545</v>
      </c>
      <c r="D123" s="20"/>
      <c r="E123" s="30">
        <f>((104640/96000)-D$3)*100/D$3</f>
        <v>-72.137014314928422</v>
      </c>
      <c r="F123" s="31">
        <f>104640-E$3</f>
        <v>-270912</v>
      </c>
      <c r="G123" s="20"/>
      <c r="H123" s="30">
        <f>((376300/96000)-D$3)*100/D$3</f>
        <v>0.19917348329925519</v>
      </c>
      <c r="I123" s="31">
        <f>376300-E$3</f>
        <v>748</v>
      </c>
      <c r="J123" s="58"/>
      <c r="K123" s="27">
        <f>(3.903-D$3)*100/G$3</f>
        <v>-1.6849388928827989E-6</v>
      </c>
      <c r="L123" s="28">
        <f>374686-E$3</f>
        <v>-866</v>
      </c>
      <c r="M123" s="29"/>
      <c r="N123" s="27">
        <f>(3.903-D$3)*100/D$3</f>
        <v>-0.2300613496932489</v>
      </c>
      <c r="O123" s="28">
        <f>374686-E$3</f>
        <v>-866</v>
      </c>
    </row>
    <row r="124" spans="1:15">
      <c r="A124" s="3"/>
      <c r="B124" s="16"/>
      <c r="C124" s="18"/>
      <c r="D124" s="17"/>
      <c r="E124" s="17"/>
      <c r="F124" s="18"/>
      <c r="G124" s="16"/>
      <c r="H124" s="17"/>
      <c r="I124" s="17"/>
      <c r="J124" s="58"/>
      <c r="K124" s="29"/>
      <c r="L124" s="29"/>
      <c r="M124" s="29"/>
      <c r="N124" s="29"/>
      <c r="O124" s="29"/>
    </row>
    <row r="125" spans="1:15" ht="15.75">
      <c r="A125" s="13" t="s">
        <v>10</v>
      </c>
      <c r="B125" s="36" t="s">
        <v>1</v>
      </c>
      <c r="C125" s="36"/>
      <c r="D125" s="14"/>
      <c r="E125" s="36" t="s">
        <v>2</v>
      </c>
      <c r="F125" s="36"/>
      <c r="G125" s="14"/>
      <c r="H125" s="36" t="s">
        <v>3</v>
      </c>
      <c r="I125" s="36"/>
      <c r="J125" s="58"/>
      <c r="K125" s="35" t="s">
        <v>26</v>
      </c>
      <c r="L125" s="35"/>
      <c r="M125" s="29"/>
      <c r="N125" s="35" t="s">
        <v>27</v>
      </c>
      <c r="O125" s="35"/>
    </row>
    <row r="126" spans="1:15" ht="15.75">
      <c r="A126" s="12"/>
      <c r="B126" s="15" t="s">
        <v>15</v>
      </c>
      <c r="C126" s="15" t="s">
        <v>4</v>
      </c>
      <c r="D126" s="5"/>
      <c r="E126" s="15" t="s">
        <v>16</v>
      </c>
      <c r="F126" s="15" t="s">
        <v>4</v>
      </c>
      <c r="G126" s="5"/>
      <c r="H126" s="15" t="s">
        <v>17</v>
      </c>
      <c r="I126" s="15" t="s">
        <v>4</v>
      </c>
      <c r="J126" s="58"/>
      <c r="K126" s="34" t="s">
        <v>17</v>
      </c>
      <c r="L126" s="34" t="s">
        <v>4</v>
      </c>
      <c r="M126" s="29"/>
      <c r="N126" s="34" t="s">
        <v>17</v>
      </c>
      <c r="O126" s="34" t="s">
        <v>4</v>
      </c>
    </row>
    <row r="127" spans="1:15" ht="15.75">
      <c r="A127" s="13" t="s">
        <v>5</v>
      </c>
      <c r="B127" s="30">
        <f>((536328/96000)-F$3)*100/F$3</f>
        <v>0.40887850467290204</v>
      </c>
      <c r="C127" s="31">
        <f>536328-G$3</f>
        <v>2184</v>
      </c>
      <c r="D127" s="20"/>
      <c r="E127" s="30">
        <f>((566400/96000)-F$3)*100/F$3</f>
        <v>6.0388209920920257</v>
      </c>
      <c r="F127" s="31">
        <f>566400-G$3</f>
        <v>32256</v>
      </c>
      <c r="G127" s="20"/>
      <c r="H127" s="30">
        <f>((532565/96000)-F$3)*100/F$3</f>
        <v>-0.29561316798465942</v>
      </c>
      <c r="I127" s="31">
        <f>532565-G$3</f>
        <v>-1579</v>
      </c>
      <c r="J127" s="58"/>
      <c r="K127" s="27">
        <f>(3.8396-F$3)*100/F$3</f>
        <v>-30.992092020129409</v>
      </c>
      <c r="L127" s="28">
        <f>368601-G$3</f>
        <v>-165543</v>
      </c>
      <c r="M127" s="29"/>
      <c r="N127" s="27">
        <f>(3.8396-F$3)*100/F$3</f>
        <v>-30.992092020129409</v>
      </c>
      <c r="O127" s="28">
        <f>368601-G$3</f>
        <v>-165543</v>
      </c>
    </row>
    <row r="128" spans="1:15" ht="15.75">
      <c r="A128" s="13" t="s">
        <v>0</v>
      </c>
      <c r="B128" s="30">
        <f>((548254/96000)-H$3)*100/H$3</f>
        <v>-1.2283091202582801</v>
      </c>
      <c r="C128" s="31">
        <f>548254-I$3</f>
        <v>-6818</v>
      </c>
      <c r="D128" s="20"/>
      <c r="E128" s="30">
        <f>((650880/96000)-H$3)*100/H$3</f>
        <v>17.260463507436878</v>
      </c>
      <c r="F128" s="31">
        <f>650880-I$3</f>
        <v>95808</v>
      </c>
      <c r="G128" s="20"/>
      <c r="H128" s="30">
        <f>((553417/96000)-H$3)*100/H$3</f>
        <v>-0.29815951804451124</v>
      </c>
      <c r="I128" s="31">
        <f>553417-I$3</f>
        <v>-1655</v>
      </c>
      <c r="J128" s="58"/>
      <c r="K128" s="27">
        <f>(3.903-H$3)*100/H$3</f>
        <v>-32.497405741957799</v>
      </c>
      <c r="L128" s="28">
        <f>374686-I$3</f>
        <v>-180386</v>
      </c>
      <c r="M128" s="29"/>
      <c r="N128" s="27">
        <f>(3.903-H$3)*100/H$3</f>
        <v>-32.497405741957799</v>
      </c>
      <c r="O128" s="28">
        <f>374686-I$3</f>
        <v>-180386</v>
      </c>
    </row>
    <row r="129" spans="1:15">
      <c r="J129" s="58"/>
      <c r="K129" s="29"/>
      <c r="L129" s="29"/>
      <c r="M129" s="29"/>
      <c r="N129" s="29"/>
      <c r="O129" s="29"/>
    </row>
    <row r="130" spans="1:15" ht="15.75">
      <c r="A130" s="13" t="s">
        <v>25</v>
      </c>
      <c r="B130" s="36" t="s">
        <v>1</v>
      </c>
      <c r="C130" s="36"/>
      <c r="D130" s="14"/>
      <c r="E130" s="36" t="s">
        <v>2</v>
      </c>
      <c r="F130" s="36"/>
      <c r="G130" s="14"/>
      <c r="H130" s="36" t="s">
        <v>3</v>
      </c>
      <c r="I130" s="36"/>
      <c r="J130" s="58"/>
      <c r="K130" s="35" t="s">
        <v>26</v>
      </c>
      <c r="L130" s="35"/>
      <c r="M130" s="29"/>
      <c r="N130" s="35" t="s">
        <v>27</v>
      </c>
      <c r="O130" s="35"/>
    </row>
    <row r="131" spans="1:15" ht="15.75">
      <c r="A131" s="12"/>
      <c r="B131" s="15" t="s">
        <v>15</v>
      </c>
      <c r="C131" s="15" t="s">
        <v>4</v>
      </c>
      <c r="D131" s="5"/>
      <c r="E131" s="15" t="s">
        <v>16</v>
      </c>
      <c r="F131" s="15" t="s">
        <v>4</v>
      </c>
      <c r="G131" s="5"/>
      <c r="H131" s="15" t="s">
        <v>17</v>
      </c>
      <c r="I131" s="15" t="s">
        <v>4</v>
      </c>
      <c r="J131" s="58"/>
      <c r="K131" s="34" t="s">
        <v>17</v>
      </c>
      <c r="L131" s="34" t="s">
        <v>4</v>
      </c>
      <c r="M131" s="29"/>
      <c r="N131" s="34" t="s">
        <v>17</v>
      </c>
      <c r="O131" s="34" t="s">
        <v>4</v>
      </c>
    </row>
    <row r="132" spans="1:15" ht="15.75">
      <c r="A132" s="13" t="s">
        <v>5</v>
      </c>
      <c r="B132" s="30">
        <f>(3.9914-J$3)*100/J$3</f>
        <v>1.0022550739162013E-2</v>
      </c>
      <c r="C132" s="31">
        <f>383172-K$3</f>
        <v>36</v>
      </c>
      <c r="D132" s="20"/>
      <c r="E132" s="30">
        <f>(1.93-J$3)*100/J$3</f>
        <v>-51.641192683537959</v>
      </c>
      <c r="F132" s="31">
        <f>185280-K$3</f>
        <v>-197856</v>
      </c>
      <c r="G132" s="20"/>
      <c r="H132" s="30">
        <f>(3.9739-J$3)*100/J$3</f>
        <v>-0.42846404409922612</v>
      </c>
      <c r="I132" s="31">
        <f>381494-K$3</f>
        <v>-1642</v>
      </c>
      <c r="J132" s="58"/>
      <c r="K132" s="27">
        <f>(3.8396-J$3)*100/J$3</f>
        <v>-3.7935354547732447</v>
      </c>
      <c r="L132" s="28">
        <f>368601-K$3</f>
        <v>-14535</v>
      </c>
      <c r="M132" s="29"/>
      <c r="N132" s="27">
        <f>(3.8396-J$3)*100/J$3</f>
        <v>-3.7935354547732447</v>
      </c>
      <c r="O132" s="28">
        <f>368601-K$3</f>
        <v>-14535</v>
      </c>
    </row>
    <row r="133" spans="1:15" ht="15.75">
      <c r="A133" s="13" t="s">
        <v>0</v>
      </c>
      <c r="B133" s="30">
        <f>(4.2464-L$3)*100/L$3</f>
        <v>0.53030303030303494</v>
      </c>
      <c r="C133" s="31">
        <f>407654-M$3</f>
        <v>2150</v>
      </c>
      <c r="D133" s="20"/>
      <c r="E133" s="30">
        <f>(4.89-L$3)*100/L$3</f>
        <v>15.767045454545443</v>
      </c>
      <c r="F133" s="31">
        <f>469440-M$3</f>
        <v>63936</v>
      </c>
      <c r="G133" s="20"/>
      <c r="H133" s="30">
        <f>(4.2384-L$3)*100/L$3</f>
        <v>0.34090909090909538</v>
      </c>
      <c r="I133" s="31">
        <f>406883-M$3</f>
        <v>1379</v>
      </c>
      <c r="J133" s="58"/>
      <c r="K133" s="27">
        <f>(3.903-L$3)*100/L$3</f>
        <v>-7.5994318181818219</v>
      </c>
      <c r="L133" s="28">
        <f>374686-M$3</f>
        <v>-30818</v>
      </c>
      <c r="M133" s="29"/>
      <c r="N133" s="27">
        <f>(3.903-L$3)*100/L$3</f>
        <v>-7.5994318181818219</v>
      </c>
      <c r="O133" s="28">
        <f>374686-M$3</f>
        <v>-30818</v>
      </c>
    </row>
    <row r="134" spans="1:15">
      <c r="A134" s="3"/>
      <c r="B134" s="16"/>
      <c r="C134" s="18"/>
      <c r="D134" s="17"/>
      <c r="E134" s="17"/>
      <c r="F134" s="18"/>
      <c r="G134" s="16"/>
      <c r="H134" s="17"/>
      <c r="I134" s="17"/>
      <c r="J134" s="58"/>
      <c r="K134" s="29"/>
      <c r="L134" s="29"/>
      <c r="M134" s="29"/>
      <c r="N134" s="29"/>
      <c r="O134" s="29"/>
    </row>
    <row r="135" spans="1:15" ht="15.75">
      <c r="A135" s="13" t="s">
        <v>24</v>
      </c>
      <c r="B135" s="36" t="s">
        <v>1</v>
      </c>
      <c r="C135" s="36"/>
      <c r="D135" s="14"/>
      <c r="E135" s="36" t="s">
        <v>2</v>
      </c>
      <c r="F135" s="36"/>
      <c r="G135" s="14"/>
      <c r="H135" s="36" t="s">
        <v>3</v>
      </c>
      <c r="I135" s="36"/>
      <c r="J135" s="58"/>
      <c r="K135" s="35" t="s">
        <v>26</v>
      </c>
      <c r="L135" s="35"/>
      <c r="M135" s="29"/>
      <c r="N135" s="35" t="s">
        <v>27</v>
      </c>
      <c r="O135" s="35"/>
    </row>
    <row r="136" spans="1:15" ht="15.75">
      <c r="A136" s="12"/>
      <c r="B136" s="15" t="s">
        <v>15</v>
      </c>
      <c r="C136" s="15" t="s">
        <v>4</v>
      </c>
      <c r="D136" s="5"/>
      <c r="E136" s="15" t="s">
        <v>16</v>
      </c>
      <c r="F136" s="15" t="s">
        <v>4</v>
      </c>
      <c r="G136" s="5"/>
      <c r="H136" s="15" t="s">
        <v>17</v>
      </c>
      <c r="I136" s="15" t="s">
        <v>4</v>
      </c>
      <c r="J136" s="58"/>
      <c r="K136" s="34" t="s">
        <v>17</v>
      </c>
      <c r="L136" s="34" t="s">
        <v>4</v>
      </c>
      <c r="M136" s="29"/>
      <c r="N136" s="34" t="s">
        <v>17</v>
      </c>
      <c r="O136" s="34" t="s">
        <v>4</v>
      </c>
    </row>
    <row r="137" spans="1:15" ht="15.75">
      <c r="A137" s="13" t="s">
        <v>5</v>
      </c>
      <c r="B137" s="30">
        <f>(-6.6827-N$3)*100/N$3</f>
        <v>-0.3325876211782316</v>
      </c>
      <c r="C137" s="31">
        <f>-641540-O$3</f>
        <v>2140</v>
      </c>
      <c r="D137" s="20"/>
      <c r="E137" s="30">
        <f>(-4.15-N$3)*100/N$3</f>
        <v>-38.105891126025348</v>
      </c>
      <c r="F137" s="31">
        <f>-398400-O$3</f>
        <v>245280</v>
      </c>
      <c r="G137" s="20"/>
      <c r="H137" s="30">
        <f>(-6.6827-N$3)*100/N$3</f>
        <v>-0.3325876211782316</v>
      </c>
      <c r="I137" s="31">
        <f>-641541-O$3</f>
        <v>2139</v>
      </c>
      <c r="J137" s="58"/>
      <c r="K137" s="27">
        <f>(3.8396-N$3)*100/N$3</f>
        <v>-157.26472781506337</v>
      </c>
      <c r="L137" s="28">
        <f>368601-O$3</f>
        <v>1012281</v>
      </c>
      <c r="M137" s="29"/>
      <c r="N137" s="27">
        <f>(3.8396-N$3)*100/N$3</f>
        <v>-157.26472781506337</v>
      </c>
      <c r="O137" s="28">
        <f>368601-O$3</f>
        <v>1012281</v>
      </c>
    </row>
    <row r="138" spans="1:15" ht="15.75">
      <c r="A138" s="13" t="s">
        <v>0</v>
      </c>
      <c r="B138" s="30">
        <f>(-6.5916-P$3)*100/P$3</f>
        <v>0.16106974623916237</v>
      </c>
      <c r="C138" s="31">
        <f>-632789-Q$3</f>
        <v>-1013</v>
      </c>
      <c r="D138" s="20"/>
      <c r="E138" s="30">
        <f>(-4.96-P$3)*100/P$3</f>
        <v>-24.631514967330201</v>
      </c>
      <c r="F138" s="31">
        <f>-476160-Q$3</f>
        <v>155616</v>
      </c>
      <c r="G138" s="20"/>
      <c r="H138" s="30">
        <f>(-6.5828-P$3)*100/P$3</f>
        <v>2.7351466342491377E-2</v>
      </c>
      <c r="I138" s="31">
        <f>-631947-Q$3</f>
        <v>-171</v>
      </c>
      <c r="J138" s="58"/>
      <c r="K138" s="27">
        <f>(3.903-P$3)*100/P$3</f>
        <v>-159.30709618598996</v>
      </c>
      <c r="L138" s="28">
        <f>374686-Q$3</f>
        <v>1006462</v>
      </c>
      <c r="M138" s="29"/>
      <c r="N138" s="27">
        <f>(3.903-P$3)*100/P$3</f>
        <v>-159.30709618598996</v>
      </c>
      <c r="O138" s="28">
        <f>374686-Q$3</f>
        <v>1006462</v>
      </c>
    </row>
    <row r="139" spans="1:15">
      <c r="J139" s="58"/>
    </row>
    <row r="140" spans="1:15">
      <c r="J140" s="58"/>
    </row>
  </sheetData>
  <mergeCells count="151">
    <mergeCell ref="J1:M1"/>
    <mergeCell ref="J2:K2"/>
    <mergeCell ref="L2:M2"/>
    <mergeCell ref="N1:Q1"/>
    <mergeCell ref="N2:O2"/>
    <mergeCell ref="P2:Q2"/>
    <mergeCell ref="A72:I72"/>
    <mergeCell ref="A73:I73"/>
    <mergeCell ref="B102:C102"/>
    <mergeCell ref="E102:F102"/>
    <mergeCell ref="H102:I102"/>
    <mergeCell ref="A95:I95"/>
    <mergeCell ref="A96:I96"/>
    <mergeCell ref="B97:C97"/>
    <mergeCell ref="E97:F97"/>
    <mergeCell ref="H97:I97"/>
    <mergeCell ref="H2:I2"/>
    <mergeCell ref="A5:I5"/>
    <mergeCell ref="A1:A3"/>
    <mergeCell ref="E7:F7"/>
    <mergeCell ref="A6:I6"/>
    <mergeCell ref="B7:C7"/>
    <mergeCell ref="H7:I7"/>
    <mergeCell ref="B2:C2"/>
    <mergeCell ref="D2:E2"/>
    <mergeCell ref="B1:E1"/>
    <mergeCell ref="F1:I1"/>
    <mergeCell ref="F2:G2"/>
    <mergeCell ref="B79:C79"/>
    <mergeCell ref="E79:F79"/>
    <mergeCell ref="H79:I79"/>
    <mergeCell ref="B81:C82"/>
    <mergeCell ref="E81:F82"/>
    <mergeCell ref="H81:I82"/>
    <mergeCell ref="B12:C12"/>
    <mergeCell ref="E12:F12"/>
    <mergeCell ref="H12:I12"/>
    <mergeCell ref="A28:I28"/>
    <mergeCell ref="A29:I29"/>
    <mergeCell ref="B76:C77"/>
    <mergeCell ref="E76:F77"/>
    <mergeCell ref="H76:I77"/>
    <mergeCell ref="B30:C30"/>
    <mergeCell ref="E30:F30"/>
    <mergeCell ref="H30:I30"/>
    <mergeCell ref="B74:C74"/>
    <mergeCell ref="E74:F74"/>
    <mergeCell ref="H74:I74"/>
    <mergeCell ref="A50:I50"/>
    <mergeCell ref="A51:I51"/>
    <mergeCell ref="B35:C35"/>
    <mergeCell ref="E35:F35"/>
    <mergeCell ref="N7:O7"/>
    <mergeCell ref="N12:O12"/>
    <mergeCell ref="N17:O17"/>
    <mergeCell ref="N22:O22"/>
    <mergeCell ref="B125:C125"/>
    <mergeCell ref="E125:F125"/>
    <mergeCell ref="H125:I125"/>
    <mergeCell ref="B17:C17"/>
    <mergeCell ref="E17:F17"/>
    <mergeCell ref="H17:I17"/>
    <mergeCell ref="B22:C22"/>
    <mergeCell ref="E22:F22"/>
    <mergeCell ref="H22:I22"/>
    <mergeCell ref="B40:C40"/>
    <mergeCell ref="E40:F40"/>
    <mergeCell ref="H40:I40"/>
    <mergeCell ref="B45:C45"/>
    <mergeCell ref="E45:F45"/>
    <mergeCell ref="H45:I45"/>
    <mergeCell ref="B62:C62"/>
    <mergeCell ref="A118:I118"/>
    <mergeCell ref="A119:I119"/>
    <mergeCell ref="B120:C120"/>
    <mergeCell ref="E120:F120"/>
    <mergeCell ref="E62:F62"/>
    <mergeCell ref="H62:I62"/>
    <mergeCell ref="B67:C67"/>
    <mergeCell ref="E67:F67"/>
    <mergeCell ref="H67:I67"/>
    <mergeCell ref="K7:L7"/>
    <mergeCell ref="K12:L12"/>
    <mergeCell ref="K17:L17"/>
    <mergeCell ref="K22:L22"/>
    <mergeCell ref="B52:C52"/>
    <mergeCell ref="E52:F52"/>
    <mergeCell ref="H52:I52"/>
    <mergeCell ref="B57:C57"/>
    <mergeCell ref="E57:F57"/>
    <mergeCell ref="H57:I57"/>
    <mergeCell ref="H35:I35"/>
    <mergeCell ref="B89:C89"/>
    <mergeCell ref="E89:F89"/>
    <mergeCell ref="H89:I89"/>
    <mergeCell ref="B84:C84"/>
    <mergeCell ref="E84:F84"/>
    <mergeCell ref="H84:I84"/>
    <mergeCell ref="B130:C130"/>
    <mergeCell ref="E130:F130"/>
    <mergeCell ref="H130:I130"/>
    <mergeCell ref="B135:C135"/>
    <mergeCell ref="E135:F135"/>
    <mergeCell ref="H135:I135"/>
    <mergeCell ref="B107:C107"/>
    <mergeCell ref="E107:F107"/>
    <mergeCell ref="H107:I107"/>
    <mergeCell ref="B112:C112"/>
    <mergeCell ref="E112:F112"/>
    <mergeCell ref="H112:I112"/>
    <mergeCell ref="H120:I120"/>
    <mergeCell ref="K45:L45"/>
    <mergeCell ref="N45:O45"/>
    <mergeCell ref="K52:L52"/>
    <mergeCell ref="N52:O52"/>
    <mergeCell ref="K57:L57"/>
    <mergeCell ref="N57:O57"/>
    <mergeCell ref="K30:L30"/>
    <mergeCell ref="N30:O30"/>
    <mergeCell ref="K35:L35"/>
    <mergeCell ref="N35:O35"/>
    <mergeCell ref="K40:L40"/>
    <mergeCell ref="N40:O40"/>
    <mergeCell ref="K79:L79"/>
    <mergeCell ref="N79:O79"/>
    <mergeCell ref="K84:L84"/>
    <mergeCell ref="N84:O84"/>
    <mergeCell ref="K89:L89"/>
    <mergeCell ref="N89:O89"/>
    <mergeCell ref="K62:L62"/>
    <mergeCell ref="N62:O62"/>
    <mergeCell ref="K67:L67"/>
    <mergeCell ref="N67:O67"/>
    <mergeCell ref="K74:L74"/>
    <mergeCell ref="N74:O74"/>
    <mergeCell ref="K135:L135"/>
    <mergeCell ref="N135:O135"/>
    <mergeCell ref="K120:L120"/>
    <mergeCell ref="N120:O120"/>
    <mergeCell ref="K125:L125"/>
    <mergeCell ref="N125:O125"/>
    <mergeCell ref="K130:L130"/>
    <mergeCell ref="N130:O130"/>
    <mergeCell ref="K97:L97"/>
    <mergeCell ref="N97:O97"/>
    <mergeCell ref="K102:L102"/>
    <mergeCell ref="N102:O102"/>
    <mergeCell ref="K107:L107"/>
    <mergeCell ref="N107:O107"/>
    <mergeCell ref="K112:L112"/>
    <mergeCell ref="N112:O112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Hernando Portero</dc:creator>
  <cp:lastModifiedBy>Dani Hernando Portero</cp:lastModifiedBy>
  <dcterms:created xsi:type="dcterms:W3CDTF">2013-11-27T20:06:16Z</dcterms:created>
  <dcterms:modified xsi:type="dcterms:W3CDTF">2013-12-04T12:57:56Z</dcterms:modified>
</cp:coreProperties>
</file>