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Hoja1!$A$1:$I$56</definedName>
  </definedNames>
  <calcPr calcId="124519"/>
</workbook>
</file>

<file path=xl/calcChain.xml><?xml version="1.0" encoding="utf-8"?>
<calcChain xmlns="http://schemas.openxmlformats.org/spreadsheetml/2006/main">
  <c r="B41" i="1"/>
  <c r="C41"/>
  <c r="F41"/>
  <c r="E41"/>
  <c r="I41"/>
  <c r="H41"/>
  <c r="F40"/>
  <c r="E40"/>
  <c r="I40"/>
  <c r="C40"/>
  <c r="H40"/>
  <c r="B40"/>
  <c r="I36"/>
  <c r="H36"/>
  <c r="C36"/>
  <c r="B36"/>
  <c r="E36"/>
  <c r="F36"/>
  <c r="E35"/>
  <c r="F35"/>
  <c r="I35"/>
  <c r="C35"/>
  <c r="H35"/>
  <c r="B35"/>
  <c r="E49"/>
  <c r="F49"/>
  <c r="I49"/>
  <c r="C49"/>
  <c r="H49"/>
  <c r="B49"/>
  <c r="E48"/>
  <c r="F48"/>
  <c r="I48"/>
  <c r="C48"/>
  <c r="H48"/>
  <c r="B48"/>
  <c r="I28"/>
  <c r="H28"/>
  <c r="I27"/>
  <c r="H27"/>
  <c r="F28"/>
  <c r="E28"/>
  <c r="B28"/>
  <c r="C28"/>
  <c r="C27"/>
  <c r="B27"/>
  <c r="I23"/>
  <c r="H23"/>
  <c r="I22"/>
  <c r="H22"/>
  <c r="C23"/>
  <c r="C22"/>
  <c r="B23"/>
  <c r="B22"/>
  <c r="I15"/>
  <c r="H15"/>
  <c r="F15"/>
  <c r="E15"/>
  <c r="B15"/>
  <c r="C15"/>
  <c r="I14"/>
  <c r="F14"/>
  <c r="C14"/>
  <c r="H14"/>
  <c r="E14"/>
  <c r="B14"/>
  <c r="C9"/>
  <c r="B9"/>
  <c r="H10"/>
  <c r="F10"/>
  <c r="E10"/>
  <c r="C10"/>
  <c r="B10"/>
  <c r="I10"/>
  <c r="I9"/>
  <c r="H9"/>
  <c r="E9"/>
  <c r="F9"/>
</calcChain>
</file>

<file path=xl/sharedStrings.xml><?xml version="1.0" encoding="utf-8"?>
<sst xmlns="http://schemas.openxmlformats.org/spreadsheetml/2006/main" count="110" uniqueCount="22">
  <si>
    <t xml:space="preserve">2nd Event:    </t>
  </si>
  <si>
    <t>Xcorr</t>
  </si>
  <si>
    <t xml:space="preserve">  gccphat</t>
  </si>
  <si>
    <t>gccscot</t>
  </si>
  <si>
    <t>Err.sam</t>
  </si>
  <si>
    <t>1r event:</t>
  </si>
  <si>
    <t>True delay</t>
  </si>
  <si>
    <t>1r evento 1-2</t>
  </si>
  <si>
    <t>2nd evento 1-2</t>
  </si>
  <si>
    <t>Sensors 1-2</t>
  </si>
  <si>
    <t>Sensors 1-3</t>
  </si>
  <si>
    <t>1r evento 1-3</t>
  </si>
  <si>
    <t>2nd evento 1-3</t>
  </si>
  <si>
    <t>Time Gain Normalization</t>
  </si>
  <si>
    <t xml:space="preserve">Sensors 1-2 </t>
  </si>
  <si>
    <t xml:space="preserve"> Err.rel (%)</t>
  </si>
  <si>
    <t>Err.rel (%)</t>
  </si>
  <si>
    <t xml:space="preserve"> Err.rel (%) </t>
  </si>
  <si>
    <t>Time Gain Normalization + Filter</t>
  </si>
  <si>
    <t>IGUAL SIN FILTRO</t>
  </si>
  <si>
    <t>Percentile Noise Removal + Filter</t>
  </si>
  <si>
    <t>Percentile Noise Removal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</si>
</sst>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3" fontId="0" fillId="0" borderId="0" xfId="0" applyNumberFormat="1" applyBorder="1"/>
    <xf numFmtId="0" fontId="1" fillId="0" borderId="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3" fillId="0" borderId="1" xfId="0" applyFont="1" applyFill="1" applyBorder="1"/>
    <xf numFmtId="0" fontId="1" fillId="4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1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2" fontId="1" fillId="0" borderId="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2" fontId="1" fillId="7" borderId="0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Border="1" applyAlignment="1">
      <alignment horizontal="center" vertical="center"/>
    </xf>
    <xf numFmtId="2" fontId="1" fillId="7" borderId="0" xfId="0" applyNumberFormat="1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2" fontId="1" fillId="7" borderId="3" xfId="0" applyNumberFormat="1" applyFont="1" applyFill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1"/>
  <sheetViews>
    <sheetView tabSelected="1" showWhiteSpace="0" workbookViewId="0">
      <selection activeCell="E34" sqref="E34"/>
    </sheetView>
  </sheetViews>
  <sheetFormatPr baseColWidth="10" defaultRowHeight="15"/>
  <cols>
    <col min="1" max="1" width="17.85546875" customWidth="1"/>
    <col min="3" max="3" width="12.28515625" customWidth="1"/>
    <col min="5" max="5" width="10.42578125" customWidth="1"/>
    <col min="7" max="7" width="10.42578125" customWidth="1"/>
  </cols>
  <sheetData>
    <row r="1" spans="1:10" ht="15.75" thickBot="1">
      <c r="A1" s="20" t="s">
        <v>6</v>
      </c>
      <c r="B1" s="7" t="s">
        <v>9</v>
      </c>
      <c r="C1" s="7"/>
      <c r="D1" s="7"/>
      <c r="E1" s="7"/>
      <c r="F1" s="8" t="s">
        <v>10</v>
      </c>
      <c r="G1" s="7"/>
      <c r="H1" s="7"/>
      <c r="I1" s="9"/>
    </row>
    <row r="2" spans="1:10" ht="15.75" thickBot="1">
      <c r="A2" s="21"/>
      <c r="B2" s="16" t="s">
        <v>7</v>
      </c>
      <c r="C2" s="16"/>
      <c r="D2" s="16" t="s">
        <v>8</v>
      </c>
      <c r="E2" s="16"/>
      <c r="F2" s="17" t="s">
        <v>11</v>
      </c>
      <c r="G2" s="18"/>
      <c r="H2" s="17" t="s">
        <v>12</v>
      </c>
      <c r="I2" s="19"/>
    </row>
    <row r="3" spans="1:10" ht="16.5" thickBot="1">
      <c r="A3" s="22"/>
      <c r="B3" s="13">
        <v>3.835</v>
      </c>
      <c r="C3" s="10">
        <v>367200</v>
      </c>
      <c r="D3" s="11">
        <v>3.9119999999999999</v>
      </c>
      <c r="E3" s="12">
        <v>375552</v>
      </c>
      <c r="F3" s="14">
        <v>5.5640000000000001</v>
      </c>
      <c r="G3" s="12">
        <v>534144</v>
      </c>
      <c r="H3" s="10">
        <v>5.782</v>
      </c>
      <c r="I3" s="15">
        <v>555072</v>
      </c>
    </row>
    <row r="4" spans="1:10" ht="15.75">
      <c r="A4" s="6"/>
      <c r="B4" s="2"/>
      <c r="C4" s="2"/>
      <c r="D4" s="1"/>
      <c r="E4" s="5"/>
      <c r="F4" s="2"/>
      <c r="G4" s="2"/>
    </row>
    <row r="5" spans="1:10" ht="15.75" customHeight="1">
      <c r="A5" s="40" t="s">
        <v>13</v>
      </c>
      <c r="B5" s="40"/>
      <c r="C5" s="40"/>
      <c r="D5" s="40"/>
      <c r="E5" s="40"/>
      <c r="F5" s="40"/>
      <c r="G5" s="40"/>
      <c r="H5" s="40"/>
      <c r="I5" s="40"/>
    </row>
    <row r="6" spans="1:10">
      <c r="A6" s="4"/>
      <c r="B6" s="4"/>
      <c r="C6" s="4"/>
      <c r="D6" s="4"/>
      <c r="E6" s="4"/>
      <c r="F6" s="4"/>
      <c r="G6" s="4"/>
      <c r="H6" s="4"/>
      <c r="I6" s="4"/>
    </row>
    <row r="7" spans="1:10" ht="15.75">
      <c r="A7" s="24" t="s">
        <v>14</v>
      </c>
      <c r="B7" s="26" t="s">
        <v>1</v>
      </c>
      <c r="C7" s="26"/>
      <c r="D7" s="27"/>
      <c r="E7" s="26" t="s">
        <v>2</v>
      </c>
      <c r="F7" s="26"/>
      <c r="G7" s="27"/>
      <c r="H7" s="26" t="s">
        <v>3</v>
      </c>
      <c r="I7" s="26"/>
    </row>
    <row r="8" spans="1:10" ht="15.75">
      <c r="A8" s="23"/>
      <c r="B8" s="28" t="s">
        <v>15</v>
      </c>
      <c r="C8" s="28" t="s">
        <v>4</v>
      </c>
      <c r="D8" s="6"/>
      <c r="E8" s="28" t="s">
        <v>16</v>
      </c>
      <c r="F8" s="28" t="s">
        <v>4</v>
      </c>
      <c r="G8" s="6"/>
      <c r="H8" s="28" t="s">
        <v>17</v>
      </c>
      <c r="I8" s="28" t="s">
        <v>4</v>
      </c>
    </row>
    <row r="9" spans="1:10" ht="15.75">
      <c r="A9" s="24" t="s">
        <v>5</v>
      </c>
      <c r="B9" s="36">
        <f>(3.884-B$3)*100/B$3</f>
        <v>1.277705345501954</v>
      </c>
      <c r="C9" s="37">
        <f>372866-C$3</f>
        <v>5666</v>
      </c>
      <c r="D9" s="35"/>
      <c r="E9" s="36">
        <f>(3.8395-B$3)*100/B$3</f>
        <v>0.1173402868318167</v>
      </c>
      <c r="F9" s="37">
        <f>368600-C$3</f>
        <v>1400</v>
      </c>
      <c r="G9" s="35"/>
      <c r="H9" s="36">
        <f>(3.7711-B$3)*100/B$3</f>
        <v>-1.6662320730117299</v>
      </c>
      <c r="I9" s="37">
        <f>362029-C$3</f>
        <v>-5171</v>
      </c>
      <c r="J9" s="32"/>
    </row>
    <row r="10" spans="1:10" ht="15.75">
      <c r="A10" s="24" t="s">
        <v>0</v>
      </c>
      <c r="B10" s="36">
        <f>(8.902-D$3)*100/D$3</f>
        <v>127.55623721881389</v>
      </c>
      <c r="C10" s="37">
        <f>854685-E$3</f>
        <v>479133</v>
      </c>
      <c r="D10" s="35"/>
      <c r="E10" s="36">
        <f>(8.916-D$3)*100/D$3</f>
        <v>127.91411042944786</v>
      </c>
      <c r="F10" s="37">
        <f>856019-E$3</f>
        <v>480467</v>
      </c>
      <c r="G10" s="35"/>
      <c r="H10" s="36">
        <f>(8.108-D$3)*100/D$3</f>
        <v>107.25971370143152</v>
      </c>
      <c r="I10" s="37">
        <f>778456-E$3</f>
        <v>402904</v>
      </c>
      <c r="J10" s="32"/>
    </row>
    <row r="11" spans="1:10">
      <c r="A11" s="3"/>
      <c r="B11" s="30"/>
      <c r="C11" s="32"/>
      <c r="D11" s="31"/>
      <c r="E11" s="31"/>
      <c r="F11" s="32"/>
      <c r="G11" s="30"/>
      <c r="H11" s="31"/>
      <c r="I11" s="31"/>
    </row>
    <row r="12" spans="1:10" ht="15.75">
      <c r="A12" s="24" t="s">
        <v>10</v>
      </c>
      <c r="B12" s="26" t="s">
        <v>1</v>
      </c>
      <c r="C12" s="26"/>
      <c r="D12" s="27"/>
      <c r="E12" s="26" t="s">
        <v>2</v>
      </c>
      <c r="F12" s="26"/>
      <c r="G12" s="27"/>
      <c r="H12" s="26" t="s">
        <v>3</v>
      </c>
      <c r="I12" s="26"/>
    </row>
    <row r="13" spans="1:10" ht="15.75">
      <c r="A13" s="23"/>
      <c r="B13" s="28" t="s">
        <v>15</v>
      </c>
      <c r="C13" s="28" t="s">
        <v>4</v>
      </c>
      <c r="D13" s="6"/>
      <c r="E13" s="28" t="s">
        <v>16</v>
      </c>
      <c r="F13" s="28" t="s">
        <v>4</v>
      </c>
      <c r="G13" s="6"/>
      <c r="H13" s="28" t="s">
        <v>17</v>
      </c>
      <c r="I13" s="28" t="s">
        <v>4</v>
      </c>
    </row>
    <row r="14" spans="1:10" ht="15.75">
      <c r="A14" s="24" t="s">
        <v>5</v>
      </c>
      <c r="B14" s="36">
        <f>(5.618-F$3)*100/F$3</f>
        <v>0.97052480230050808</v>
      </c>
      <c r="C14" s="37">
        <f>539331-G$3</f>
        <v>5187</v>
      </c>
      <c r="D14" s="35"/>
      <c r="E14" s="36">
        <f>(5.618-F$3)*100/F$3</f>
        <v>0.97052480230050808</v>
      </c>
      <c r="F14" s="37">
        <f>539331-G$3</f>
        <v>5187</v>
      </c>
      <c r="G14" s="35"/>
      <c r="H14" s="36">
        <f>(5.241-F$3)*100/F$3</f>
        <v>-5.8051761322789428</v>
      </c>
      <c r="I14" s="37">
        <f>503412-G$3</f>
        <v>-30732</v>
      </c>
    </row>
    <row r="15" spans="1:10" ht="15.75">
      <c r="A15" s="24" t="s">
        <v>0</v>
      </c>
      <c r="B15" s="36">
        <f>(10.76-H$3)*100/H$3</f>
        <v>86.094776893808358</v>
      </c>
      <c r="C15" s="37">
        <f>1033350-I$3</f>
        <v>478278</v>
      </c>
      <c r="D15" s="35"/>
      <c r="E15" s="36">
        <f>(10.601-H$3)*100/H$3</f>
        <v>83.344863369076464</v>
      </c>
      <c r="F15" s="37">
        <f>1017704-I$3</f>
        <v>462632</v>
      </c>
      <c r="G15" s="35"/>
      <c r="H15" s="36">
        <f>(10.77-H$3)*100/H$3</f>
        <v>86.267727429955031</v>
      </c>
      <c r="I15" s="37">
        <f>1034272-I$3</f>
        <v>479200</v>
      </c>
    </row>
    <row r="16" spans="1:10">
      <c r="B16" s="30"/>
      <c r="C16" s="32"/>
      <c r="D16" s="31"/>
      <c r="E16" s="31"/>
      <c r="F16" s="33"/>
      <c r="G16" s="31"/>
      <c r="H16" s="31"/>
      <c r="I16" s="31"/>
    </row>
    <row r="17" spans="1:9">
      <c r="B17" s="30"/>
      <c r="C17" s="32"/>
      <c r="D17" s="31"/>
      <c r="E17" s="31"/>
      <c r="F17" s="33"/>
      <c r="G17" s="31"/>
      <c r="H17" s="31"/>
      <c r="I17" s="31"/>
    </row>
    <row r="18" spans="1:9">
      <c r="A18" s="25" t="s">
        <v>18</v>
      </c>
      <c r="B18" s="25"/>
      <c r="C18" s="25"/>
      <c r="D18" s="25"/>
      <c r="E18" s="25"/>
      <c r="F18" s="25"/>
      <c r="G18" s="25"/>
      <c r="H18" s="25"/>
      <c r="I18" s="25"/>
    </row>
    <row r="19" spans="1:9">
      <c r="A19" s="4"/>
      <c r="B19" s="4"/>
      <c r="C19" s="4"/>
      <c r="D19" s="4"/>
      <c r="E19" s="4"/>
      <c r="F19" s="4"/>
      <c r="G19" s="4"/>
      <c r="H19" s="4"/>
      <c r="I19" s="4"/>
    </row>
    <row r="20" spans="1:9" ht="15.75">
      <c r="A20" s="24" t="s">
        <v>14</v>
      </c>
      <c r="B20" s="26" t="s">
        <v>1</v>
      </c>
      <c r="C20" s="26"/>
      <c r="D20" s="27"/>
      <c r="E20" s="26" t="s">
        <v>2</v>
      </c>
      <c r="F20" s="26"/>
      <c r="G20" s="27"/>
      <c r="H20" s="26" t="s">
        <v>3</v>
      </c>
      <c r="I20" s="26"/>
    </row>
    <row r="21" spans="1:9" ht="15.75">
      <c r="A21" s="23"/>
      <c r="B21" s="28" t="s">
        <v>15</v>
      </c>
      <c r="C21" s="28" t="s">
        <v>4</v>
      </c>
      <c r="D21" s="6"/>
      <c r="E21" s="28" t="s">
        <v>16</v>
      </c>
      <c r="F21" s="28" t="s">
        <v>4</v>
      </c>
      <c r="G21" s="6"/>
      <c r="H21" s="28" t="s">
        <v>17</v>
      </c>
      <c r="I21" s="28" t="s">
        <v>4</v>
      </c>
    </row>
    <row r="22" spans="1:9" ht="15.75">
      <c r="A22" s="24" t="s">
        <v>5</v>
      </c>
      <c r="B22" s="42">
        <f>(3.8745-B$3)*100/B$3</f>
        <v>1.0299869621903486</v>
      </c>
      <c r="C22" s="43">
        <f>371957-C$3</f>
        <v>4757</v>
      </c>
      <c r="D22" s="35"/>
      <c r="E22" s="42"/>
      <c r="F22" s="43"/>
      <c r="G22" s="35"/>
      <c r="H22" s="42">
        <f>(3.8745-B$3)*100/B$3</f>
        <v>1.0299869621903486</v>
      </c>
      <c r="I22" s="43">
        <f>371957-C$3</f>
        <v>4757</v>
      </c>
    </row>
    <row r="23" spans="1:9" ht="15.75">
      <c r="A23" s="24" t="s">
        <v>0</v>
      </c>
      <c r="B23" s="42">
        <f>(4-D$3)*100/D$3</f>
        <v>2.2494887525562395</v>
      </c>
      <c r="C23" s="43">
        <f>383698-E$3</f>
        <v>8146</v>
      </c>
      <c r="D23" s="35"/>
      <c r="E23" s="42"/>
      <c r="F23" s="43"/>
      <c r="G23" s="35"/>
      <c r="H23" s="42">
        <f>(3.989-D$3)*100/D$3</f>
        <v>1.9683026584867065</v>
      </c>
      <c r="I23" s="43">
        <f>383002-E$3</f>
        <v>7450</v>
      </c>
    </row>
    <row r="24" spans="1:9">
      <c r="A24" s="3"/>
      <c r="B24" s="30"/>
      <c r="C24" s="32"/>
      <c r="D24" s="31"/>
      <c r="E24" s="31"/>
      <c r="F24" s="32"/>
      <c r="G24" s="30"/>
      <c r="H24" s="31"/>
      <c r="I24" s="31"/>
    </row>
    <row r="25" spans="1:9" ht="15.75">
      <c r="A25" s="24" t="s">
        <v>10</v>
      </c>
      <c r="B25" s="26" t="s">
        <v>1</v>
      </c>
      <c r="C25" s="26"/>
      <c r="D25" s="27"/>
      <c r="E25" s="26" t="s">
        <v>2</v>
      </c>
      <c r="F25" s="26"/>
      <c r="G25" s="27"/>
      <c r="H25" s="26" t="s">
        <v>3</v>
      </c>
      <c r="I25" s="26"/>
    </row>
    <row r="26" spans="1:9" ht="15.75">
      <c r="A26" s="23"/>
      <c r="B26" s="28" t="s">
        <v>15</v>
      </c>
      <c r="C26" s="28" t="s">
        <v>4</v>
      </c>
      <c r="D26" s="6"/>
      <c r="E26" s="28" t="s">
        <v>16</v>
      </c>
      <c r="F26" s="28" t="s">
        <v>4</v>
      </c>
      <c r="G26" s="6"/>
      <c r="H26" s="28" t="s">
        <v>17</v>
      </c>
      <c r="I26" s="28" t="s">
        <v>4</v>
      </c>
    </row>
    <row r="27" spans="1:9" ht="15.75">
      <c r="A27" s="24" t="s">
        <v>5</v>
      </c>
      <c r="B27" s="42">
        <f>(5.574-F$3)*100/F$3</f>
        <v>0.17972681524083009</v>
      </c>
      <c r="C27" s="43">
        <f>535141-G$3</f>
        <v>997</v>
      </c>
      <c r="D27" s="35"/>
      <c r="E27" s="42"/>
      <c r="F27" s="43"/>
      <c r="G27" s="35"/>
      <c r="H27" s="42">
        <f>(5.548-F$3)*100/F$3</f>
        <v>-0.28756290438533455</v>
      </c>
      <c r="I27" s="43">
        <f>532634-G$3</f>
        <v>-1510</v>
      </c>
    </row>
    <row r="28" spans="1:9" ht="15.75">
      <c r="A28" s="24" t="s">
        <v>0</v>
      </c>
      <c r="B28" s="42">
        <f>(4.999-H$3)*100/H$3</f>
        <v>-13.542026980283646</v>
      </c>
      <c r="C28" s="43">
        <f>479999-I$3</f>
        <v>-75073</v>
      </c>
      <c r="D28" s="35"/>
      <c r="E28" s="42">
        <f>(4.999-H$3)*100/H$3</f>
        <v>-13.542026980283646</v>
      </c>
      <c r="F28" s="43">
        <f>479999-I$3</f>
        <v>-75073</v>
      </c>
      <c r="G28" s="35"/>
      <c r="H28" s="42">
        <f>(10.866-H$3)*100/H$3</f>
        <v>87.928052576962983</v>
      </c>
      <c r="I28" s="43">
        <f>1043223-I$3</f>
        <v>488151</v>
      </c>
    </row>
    <row r="29" spans="1:9">
      <c r="B29" s="30"/>
      <c r="C29" s="32"/>
      <c r="D29" s="31"/>
      <c r="E29" s="31"/>
      <c r="F29" s="33"/>
      <c r="G29" s="31"/>
      <c r="H29" s="31"/>
      <c r="I29" s="31"/>
    </row>
    <row r="30" spans="1:9">
      <c r="B30" s="30"/>
      <c r="C30" s="32"/>
      <c r="D30" s="31"/>
      <c r="E30" s="31"/>
      <c r="F30" s="33"/>
      <c r="G30" s="31"/>
      <c r="H30" s="31"/>
      <c r="I30" s="31"/>
    </row>
    <row r="31" spans="1:9">
      <c r="A31" s="44" t="s">
        <v>21</v>
      </c>
      <c r="B31" s="44"/>
      <c r="C31" s="44"/>
      <c r="D31" s="44"/>
      <c r="E31" s="44"/>
      <c r="F31" s="44"/>
      <c r="G31" s="44"/>
      <c r="H31" s="44"/>
      <c r="I31" s="4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 ht="15.75">
      <c r="A33" s="24" t="s">
        <v>14</v>
      </c>
      <c r="B33" s="26" t="s">
        <v>1</v>
      </c>
      <c r="C33" s="26"/>
      <c r="D33" s="27"/>
      <c r="E33" s="26" t="s">
        <v>2</v>
      </c>
      <c r="F33" s="26"/>
      <c r="G33" s="27"/>
      <c r="H33" s="26" t="s">
        <v>3</v>
      </c>
      <c r="I33" s="26"/>
    </row>
    <row r="34" spans="1:9" ht="15.75">
      <c r="A34" s="23"/>
      <c r="B34" s="28" t="s">
        <v>15</v>
      </c>
      <c r="C34" s="28" t="s">
        <v>4</v>
      </c>
      <c r="D34" s="6"/>
      <c r="E34" s="28" t="s">
        <v>16</v>
      </c>
      <c r="F34" s="28" t="s">
        <v>4</v>
      </c>
      <c r="G34" s="6"/>
      <c r="H34" s="28" t="s">
        <v>17</v>
      </c>
      <c r="I34" s="28" t="s">
        <v>4</v>
      </c>
    </row>
    <row r="35" spans="1:9" ht="15.75">
      <c r="A35" s="24" t="s">
        <v>5</v>
      </c>
      <c r="B35" s="38">
        <f>(3.766-B$3)*100/B$3</f>
        <v>-1.79921773142112</v>
      </c>
      <c r="C35" s="39">
        <f>361611-C$3</f>
        <v>-5589</v>
      </c>
      <c r="D35" s="35"/>
      <c r="E35" s="38">
        <f>(2.475-B$3)*100/B$3</f>
        <v>-35.462842242503257</v>
      </c>
      <c r="F35" s="39">
        <f>237600-C$3</f>
        <v>-129600</v>
      </c>
      <c r="G35" s="35"/>
      <c r="H35" s="38">
        <f>(3.766-B$3)*100/B$3</f>
        <v>-1.79921773142112</v>
      </c>
      <c r="I35" s="39">
        <f>361616-C$3</f>
        <v>-5584</v>
      </c>
    </row>
    <row r="36" spans="1:9" ht="15.75">
      <c r="A36" s="24" t="s">
        <v>0</v>
      </c>
      <c r="B36" s="38">
        <f>(3.9044-D$3)*100/D$3</f>
        <v>-0.19427402862985815</v>
      </c>
      <c r="C36" s="39">
        <f>374823 -E$3</f>
        <v>-729</v>
      </c>
      <c r="D36" s="35"/>
      <c r="E36" s="38">
        <f>((172800/96000)-D$3)*100/D$3</f>
        <v>-53.987730061349701</v>
      </c>
      <c r="F36" s="39">
        <f>172800-E$3</f>
        <v>-202752</v>
      </c>
      <c r="G36" s="35"/>
      <c r="H36" s="38">
        <f>(3.9132-D$3)*100/D$3</f>
        <v>3.0674846625763492E-2</v>
      </c>
      <c r="I36" s="39">
        <f>375671-E$3</f>
        <v>119</v>
      </c>
    </row>
    <row r="37" spans="1:9">
      <c r="A37" s="3"/>
      <c r="B37" s="30"/>
      <c r="C37" s="32"/>
      <c r="D37" s="31"/>
      <c r="E37" s="31"/>
      <c r="F37" s="32"/>
      <c r="G37" s="30"/>
      <c r="H37" s="31"/>
      <c r="I37" s="31"/>
    </row>
    <row r="38" spans="1:9" ht="15.75">
      <c r="A38" s="24" t="s">
        <v>10</v>
      </c>
      <c r="B38" s="26" t="s">
        <v>1</v>
      </c>
      <c r="C38" s="26"/>
      <c r="D38" s="27"/>
      <c r="E38" s="26" t="s">
        <v>2</v>
      </c>
      <c r="F38" s="26"/>
      <c r="G38" s="27"/>
      <c r="H38" s="26" t="s">
        <v>3</v>
      </c>
      <c r="I38" s="26"/>
    </row>
    <row r="39" spans="1:9" ht="15.75">
      <c r="A39" s="23"/>
      <c r="B39" s="28" t="s">
        <v>15</v>
      </c>
      <c r="C39" s="28" t="s">
        <v>4</v>
      </c>
      <c r="D39" s="6"/>
      <c r="E39" s="28" t="s">
        <v>16</v>
      </c>
      <c r="F39" s="28" t="s">
        <v>4</v>
      </c>
      <c r="G39" s="6"/>
      <c r="H39" s="28" t="s">
        <v>17</v>
      </c>
      <c r="I39" s="28" t="s">
        <v>4</v>
      </c>
    </row>
    <row r="40" spans="1:9" ht="15.75">
      <c r="A40" s="24" t="s">
        <v>5</v>
      </c>
      <c r="B40" s="38">
        <f>(4.174-F$3)*100/F$3</f>
        <v>-24.982027318475911</v>
      </c>
      <c r="C40" s="39">
        <f>400733-G$3</f>
        <v>-133411</v>
      </c>
      <c r="D40" s="35"/>
      <c r="E40" s="38">
        <f>(3.825-F$3)*100/F$3</f>
        <v>-31.254493170381018</v>
      </c>
      <c r="F40" s="39">
        <f>367200-G$3</f>
        <v>-166944</v>
      </c>
      <c r="G40" s="35"/>
      <c r="H40" s="38">
        <f>(4.174-F$3)*100/F$3</f>
        <v>-24.982027318475911</v>
      </c>
      <c r="I40" s="39">
        <f>400754-G$3</f>
        <v>-133390</v>
      </c>
    </row>
    <row r="41" spans="1:9" ht="15.75">
      <c r="A41" s="24" t="s">
        <v>0</v>
      </c>
      <c r="B41" s="38">
        <f>(5.791-H$3)*100/H$3</f>
        <v>0.15565548253200176</v>
      </c>
      <c r="C41" s="39">
        <f>555915-I$3</f>
        <v>843</v>
      </c>
      <c r="D41" s="35"/>
      <c r="E41" s="38">
        <f>(3.525-H$3)*100/H$3</f>
        <v>-39.034936008301628</v>
      </c>
      <c r="F41" s="39">
        <f>338400-I$3</f>
        <v>-216672</v>
      </c>
      <c r="G41" s="35"/>
      <c r="H41" s="38">
        <f>(5.801-H$3)*100/H$3</f>
        <v>0.32860601867866013</v>
      </c>
      <c r="I41" s="39">
        <f>556947-I$3</f>
        <v>1875</v>
      </c>
    </row>
    <row r="42" spans="1:9">
      <c r="B42" s="30"/>
      <c r="C42" s="32"/>
      <c r="D42" s="31"/>
      <c r="E42" s="31"/>
      <c r="F42" s="33"/>
      <c r="G42" s="31"/>
      <c r="H42" s="31"/>
      <c r="I42" s="31"/>
    </row>
    <row r="43" spans="1:9">
      <c r="B43" s="30"/>
      <c r="C43" s="32"/>
      <c r="D43" s="31"/>
      <c r="E43" s="31"/>
      <c r="F43" s="33"/>
      <c r="G43" s="31"/>
      <c r="H43" s="31"/>
      <c r="I43" s="31"/>
    </row>
    <row r="44" spans="1:9">
      <c r="A44" s="41" t="s">
        <v>20</v>
      </c>
      <c r="B44" s="41"/>
      <c r="C44" s="41"/>
      <c r="D44" s="41"/>
      <c r="E44" s="41"/>
      <c r="F44" s="41"/>
      <c r="G44" s="41"/>
      <c r="H44" s="41"/>
      <c r="I44" s="41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5.75">
      <c r="A46" s="24" t="s">
        <v>14</v>
      </c>
      <c r="B46" s="26" t="s">
        <v>1</v>
      </c>
      <c r="C46" s="26"/>
      <c r="D46" s="27"/>
      <c r="E46" s="26" t="s">
        <v>2</v>
      </c>
      <c r="F46" s="26"/>
      <c r="G46" s="27"/>
      <c r="H46" s="26" t="s">
        <v>3</v>
      </c>
      <c r="I46" s="26"/>
    </row>
    <row r="47" spans="1:9" ht="15.75">
      <c r="A47" s="23"/>
      <c r="B47" s="28" t="s">
        <v>15</v>
      </c>
      <c r="C47" s="28" t="s">
        <v>4</v>
      </c>
      <c r="D47" s="6"/>
      <c r="E47" s="28" t="s">
        <v>16</v>
      </c>
      <c r="F47" s="28" t="s">
        <v>4</v>
      </c>
      <c r="G47" s="6"/>
      <c r="H47" s="28" t="s">
        <v>17</v>
      </c>
      <c r="I47" s="28" t="s">
        <v>4</v>
      </c>
    </row>
    <row r="48" spans="1:9" ht="15.75">
      <c r="A48" s="24" t="s">
        <v>5</v>
      </c>
      <c r="B48" s="45">
        <f>(3.77-B$3)*100/B$3</f>
        <v>-1.6949152542372867</v>
      </c>
      <c r="C48" s="46">
        <f>361925-C$3</f>
        <v>-5275</v>
      </c>
      <c r="D48" s="35"/>
      <c r="E48" s="45">
        <f>((223200/96000)-B$3)*100/B$3</f>
        <v>-39.374185136896998</v>
      </c>
      <c r="F48" s="46">
        <f>223200-C$3</f>
        <v>-144000</v>
      </c>
      <c r="G48" s="35"/>
      <c r="H48" s="45">
        <f>(3.77-B$3)*100/B$3</f>
        <v>-1.6949152542372867</v>
      </c>
      <c r="I48" s="46">
        <f>361925-C$3</f>
        <v>-5275</v>
      </c>
    </row>
    <row r="49" spans="1:9" ht="15.75">
      <c r="A49" s="24" t="s">
        <v>0</v>
      </c>
      <c r="B49" s="45">
        <f>(3.802-D$3)*100/D$3</f>
        <v>-2.8118609406952935</v>
      </c>
      <c r="C49" s="46">
        <f>365041-E$3</f>
        <v>-10511</v>
      </c>
      <c r="D49" s="35"/>
      <c r="E49" s="45">
        <f>((129600/96000)-D$3)*100/D$3</f>
        <v>-65.490797546012274</v>
      </c>
      <c r="F49" s="46">
        <f>129600-E$3</f>
        <v>-245952</v>
      </c>
      <c r="G49" s="35"/>
      <c r="H49" s="45">
        <f>(3.802-D$3)*100/D$3</f>
        <v>-2.8118609406952935</v>
      </c>
      <c r="I49" s="46">
        <f>365041-E$3</f>
        <v>-10511</v>
      </c>
    </row>
    <row r="50" spans="1:9">
      <c r="A50" s="3"/>
      <c r="B50" s="30"/>
      <c r="C50" s="32"/>
      <c r="D50" s="31"/>
      <c r="E50" s="31"/>
      <c r="F50" s="32"/>
      <c r="G50" s="30"/>
      <c r="H50" s="31"/>
      <c r="I50" s="31"/>
    </row>
    <row r="51" spans="1:9" ht="15.75">
      <c r="A51" s="24" t="s">
        <v>10</v>
      </c>
      <c r="B51" s="26" t="s">
        <v>1</v>
      </c>
      <c r="C51" s="26"/>
      <c r="D51" s="27"/>
      <c r="E51" s="26" t="s">
        <v>2</v>
      </c>
      <c r="F51" s="26"/>
      <c r="G51" s="27"/>
      <c r="H51" s="26" t="s">
        <v>3</v>
      </c>
      <c r="I51" s="26"/>
    </row>
    <row r="52" spans="1:9" ht="15.75">
      <c r="A52" s="23"/>
      <c r="B52" s="28" t="s">
        <v>15</v>
      </c>
      <c r="C52" s="28" t="s">
        <v>4</v>
      </c>
      <c r="D52" s="6"/>
      <c r="E52" s="28" t="s">
        <v>16</v>
      </c>
      <c r="F52" s="28" t="s">
        <v>4</v>
      </c>
      <c r="G52" s="6"/>
      <c r="H52" s="28" t="s">
        <v>17</v>
      </c>
      <c r="I52" s="28" t="s">
        <v>4</v>
      </c>
    </row>
    <row r="53" spans="1:9" ht="15.75">
      <c r="A53" s="24" t="s">
        <v>5</v>
      </c>
      <c r="B53" s="48" t="s">
        <v>19</v>
      </c>
      <c r="C53" s="49"/>
      <c r="D53" s="35"/>
      <c r="E53" s="48" t="s">
        <v>19</v>
      </c>
      <c r="F53" s="49"/>
      <c r="G53" s="35"/>
      <c r="H53" s="48" t="s">
        <v>19</v>
      </c>
      <c r="I53" s="49"/>
    </row>
    <row r="54" spans="1:9" ht="15.75">
      <c r="A54" s="24" t="s">
        <v>0</v>
      </c>
      <c r="B54" s="50"/>
      <c r="C54" s="47"/>
      <c r="D54" s="35"/>
      <c r="E54" s="50"/>
      <c r="F54" s="47"/>
      <c r="G54" s="35"/>
      <c r="H54" s="50"/>
      <c r="I54" s="47"/>
    </row>
    <row r="55" spans="1:9">
      <c r="B55" s="31"/>
      <c r="C55" s="33"/>
      <c r="D55" s="31"/>
      <c r="E55" s="31"/>
      <c r="F55" s="31"/>
      <c r="G55" s="31"/>
      <c r="H55" s="31"/>
      <c r="I55" s="31"/>
    </row>
    <row r="56" spans="1:9">
      <c r="B56" s="31"/>
      <c r="C56" s="33"/>
      <c r="D56" s="31"/>
      <c r="E56" s="31"/>
      <c r="F56" s="31"/>
      <c r="G56" s="31"/>
      <c r="H56" s="31"/>
      <c r="I56" s="31"/>
    </row>
    <row r="57" spans="1:9">
      <c r="B57" s="31"/>
      <c r="C57" s="33"/>
      <c r="D57" s="31"/>
      <c r="E57" s="31"/>
      <c r="F57" s="31"/>
      <c r="G57" s="31"/>
      <c r="H57" s="31"/>
      <c r="I57" s="31"/>
    </row>
    <row r="58" spans="1:9">
      <c r="B58" s="29"/>
      <c r="C58" s="34"/>
      <c r="D58" s="29"/>
      <c r="E58" s="29"/>
      <c r="F58" s="29"/>
      <c r="G58" s="29"/>
      <c r="H58" s="29"/>
      <c r="I58" s="29"/>
    </row>
    <row r="59" spans="1:9">
      <c r="B59" s="29"/>
      <c r="C59" s="34"/>
      <c r="D59" s="29"/>
      <c r="E59" s="29"/>
      <c r="F59" s="29"/>
      <c r="G59" s="29"/>
      <c r="H59" s="29"/>
      <c r="I59" s="29"/>
    </row>
    <row r="60" spans="1:9">
      <c r="B60" s="29"/>
      <c r="C60" s="29"/>
      <c r="D60" s="29"/>
      <c r="E60" s="29"/>
      <c r="F60" s="29"/>
      <c r="G60" s="29"/>
      <c r="H60" s="29"/>
      <c r="I60" s="29"/>
    </row>
    <row r="61" spans="1:9">
      <c r="B61" s="29"/>
      <c r="C61" s="29"/>
      <c r="D61" s="29"/>
      <c r="E61" s="29"/>
      <c r="F61" s="29"/>
      <c r="G61" s="29"/>
      <c r="H61" s="29"/>
      <c r="I61" s="29"/>
    </row>
  </sheetData>
  <mergeCells count="42">
    <mergeCell ref="B33:C33"/>
    <mergeCell ref="E33:F33"/>
    <mergeCell ref="H33:I33"/>
    <mergeCell ref="B38:C38"/>
    <mergeCell ref="E38:F38"/>
    <mergeCell ref="H38:I38"/>
    <mergeCell ref="B51:C51"/>
    <mergeCell ref="E51:F51"/>
    <mergeCell ref="H51:I51"/>
    <mergeCell ref="B53:C54"/>
    <mergeCell ref="E53:F54"/>
    <mergeCell ref="H53:I54"/>
    <mergeCell ref="B25:C25"/>
    <mergeCell ref="E25:F25"/>
    <mergeCell ref="H25:I25"/>
    <mergeCell ref="A44:I44"/>
    <mergeCell ref="A45:I45"/>
    <mergeCell ref="B46:C46"/>
    <mergeCell ref="E46:F46"/>
    <mergeCell ref="H46:I46"/>
    <mergeCell ref="A31:I31"/>
    <mergeCell ref="A32:I32"/>
    <mergeCell ref="B12:C12"/>
    <mergeCell ref="E12:F12"/>
    <mergeCell ref="H12:I12"/>
    <mergeCell ref="A18:I18"/>
    <mergeCell ref="A19:I19"/>
    <mergeCell ref="B20:C20"/>
    <mergeCell ref="E20:F20"/>
    <mergeCell ref="H20:I20"/>
    <mergeCell ref="H2:I2"/>
    <mergeCell ref="A5:I5"/>
    <mergeCell ref="A1:A3"/>
    <mergeCell ref="E7:F7"/>
    <mergeCell ref="A6:I6"/>
    <mergeCell ref="B7:C7"/>
    <mergeCell ref="H7:I7"/>
    <mergeCell ref="B2:C2"/>
    <mergeCell ref="D2:E2"/>
    <mergeCell ref="B1:E1"/>
    <mergeCell ref="F1:I1"/>
    <mergeCell ref="F2:G2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Hernando Portero</dc:creator>
  <cp:lastModifiedBy>Dani Hernando Portero</cp:lastModifiedBy>
  <dcterms:created xsi:type="dcterms:W3CDTF">2013-11-27T20:06:16Z</dcterms:created>
  <dcterms:modified xsi:type="dcterms:W3CDTF">2013-11-27T21:38:40Z</dcterms:modified>
</cp:coreProperties>
</file>