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5"/>
  </bookViews>
  <sheets>
    <sheet name="Calib1" sheetId="6" r:id="rId1"/>
    <sheet name="Calib2" sheetId="7" r:id="rId2"/>
    <sheet name="Calibration" sheetId="1" r:id="rId3"/>
    <sheet name="ln-ln Resolution" sheetId="8" r:id="rId4"/>
    <sheet name="Resolution" sheetId="2" r:id="rId5"/>
    <sheet name="Efficiency" sheetId="3" r:id="rId6"/>
    <sheet name="Sheet1" sheetId="4" r:id="rId7"/>
  </sheets>
  <calcPr calcId="145621"/>
</workbook>
</file>

<file path=xl/calcChain.xml><?xml version="1.0" encoding="utf-8"?>
<calcChain xmlns="http://schemas.openxmlformats.org/spreadsheetml/2006/main">
  <c r="B13" i="3" l="1"/>
  <c r="J5" i="2" l="1"/>
  <c r="J6" i="2"/>
  <c r="J7" i="2"/>
  <c r="J8" i="2"/>
  <c r="J9" i="2"/>
  <c r="J10" i="2"/>
  <c r="J11" i="2"/>
  <c r="J12" i="2"/>
  <c r="G6" i="2"/>
  <c r="G7" i="2"/>
  <c r="G8" i="2"/>
  <c r="G9" i="2"/>
  <c r="G10" i="2"/>
  <c r="G11" i="2"/>
  <c r="G12" i="2"/>
  <c r="G5" i="2"/>
  <c r="F5" i="2"/>
  <c r="H6" i="2" l="1"/>
  <c r="H7" i="2"/>
  <c r="H8" i="2"/>
  <c r="H9" i="2"/>
  <c r="H10" i="2"/>
  <c r="H11" i="2"/>
  <c r="H12" i="2"/>
  <c r="H5" i="2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I5" i="2"/>
  <c r="H31" i="1"/>
  <c r="H30" i="1"/>
  <c r="H29" i="1"/>
  <c r="H28" i="1"/>
  <c r="C30" i="1"/>
  <c r="C31" i="1"/>
  <c r="F18" i="1" l="1"/>
  <c r="F20" i="1"/>
  <c r="F21" i="1"/>
  <c r="F17" i="1"/>
  <c r="F15" i="1"/>
  <c r="F19" i="1"/>
  <c r="F14" i="1"/>
  <c r="F16" i="1"/>
  <c r="A17" i="1"/>
  <c r="A15" i="1"/>
  <c r="A16" i="1"/>
  <c r="C28" i="1"/>
  <c r="A18" i="1" s="1"/>
  <c r="C29" i="1"/>
  <c r="A19" i="1" s="1"/>
  <c r="A21" i="1" l="1"/>
  <c r="A20" i="1"/>
  <c r="A14" i="1"/>
  <c r="N6" i="1" l="1"/>
  <c r="M6" i="1"/>
  <c r="O6" i="1" s="1"/>
  <c r="N5" i="1"/>
  <c r="M5" i="1"/>
  <c r="N4" i="1"/>
  <c r="M4" i="1"/>
  <c r="N3" i="1"/>
  <c r="M3" i="1"/>
  <c r="N2" i="1"/>
  <c r="M2" i="1"/>
  <c r="P6" i="1" l="1"/>
  <c r="O5" i="1"/>
  <c r="P5" i="1"/>
</calcChain>
</file>

<file path=xl/sharedStrings.xml><?xml version="1.0" encoding="utf-8"?>
<sst xmlns="http://schemas.openxmlformats.org/spreadsheetml/2006/main" count="66" uniqueCount="28">
  <si>
    <t>Channel</t>
  </si>
  <si>
    <t>Error on Chn</t>
  </si>
  <si>
    <t>Energy</t>
  </si>
  <si>
    <t>Error on Energy</t>
  </si>
  <si>
    <t>Differences</t>
  </si>
  <si>
    <t>Error on Differences</t>
  </si>
  <si>
    <t>Error on Channel</t>
  </si>
  <si>
    <t>Gradient</t>
  </si>
  <si>
    <t>Intercept</t>
  </si>
  <si>
    <t>cs</t>
  </si>
  <si>
    <t>na</t>
  </si>
  <si>
    <t>ti</t>
  </si>
  <si>
    <t>co</t>
  </si>
  <si>
    <t>Error on Gradient</t>
  </si>
  <si>
    <t>Error on Intercept</t>
  </si>
  <si>
    <t>FWHM</t>
  </si>
  <si>
    <t>Error on FWHM</t>
  </si>
  <si>
    <t>Resolution</t>
  </si>
  <si>
    <t>lnR</t>
  </si>
  <si>
    <t>lnE</t>
  </si>
  <si>
    <t>Error on lnR</t>
  </si>
  <si>
    <t>Error on R</t>
  </si>
  <si>
    <t>N</t>
  </si>
  <si>
    <t>t</t>
  </si>
  <si>
    <t>I</t>
  </si>
  <si>
    <t>Solid Angle</t>
  </si>
  <si>
    <t>A</t>
  </si>
  <si>
    <t>Error 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</si>
</sst>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Calibration!$A$2:$A$9</c:f>
              <c:numCache>
                <c:formatCode>General</c:formatCode>
                <c:ptCount val="8"/>
                <c:pt idx="0">
                  <c:v>261.27</c:v>
                </c:pt>
                <c:pt idx="1">
                  <c:v>203.06</c:v>
                </c:pt>
                <c:pt idx="2">
                  <c:v>492.75</c:v>
                </c:pt>
                <c:pt idx="3">
                  <c:v>202.65100000000001</c:v>
                </c:pt>
                <c:pt idx="4">
                  <c:v>446.07</c:v>
                </c:pt>
                <c:pt idx="5">
                  <c:v>994</c:v>
                </c:pt>
                <c:pt idx="6">
                  <c:v>514.4</c:v>
                </c:pt>
                <c:pt idx="7">
                  <c:v>453.6</c:v>
                </c:pt>
              </c:numCache>
            </c:numRef>
          </c:xVal>
          <c:yVal>
            <c:numRef>
              <c:f>Calibration!$C$2:$C$9</c:f>
              <c:numCache>
                <c:formatCode>General</c:formatCode>
                <c:ptCount val="8"/>
                <c:pt idx="0">
                  <c:v>661.65700000000004</c:v>
                </c:pt>
                <c:pt idx="1">
                  <c:v>511</c:v>
                </c:pt>
                <c:pt idx="2">
                  <c:v>1274.537</c:v>
                </c:pt>
                <c:pt idx="3">
                  <c:v>511</c:v>
                </c:pt>
                <c:pt idx="4">
                  <c:v>1157.02</c:v>
                </c:pt>
                <c:pt idx="5">
                  <c:v>2656.48</c:v>
                </c:pt>
                <c:pt idx="6">
                  <c:v>1332.492</c:v>
                </c:pt>
                <c:pt idx="7">
                  <c:v>1173.2280000000001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2576"/>
        <c:axId val="166394496"/>
      </c:scatterChart>
      <c:valAx>
        <c:axId val="1663925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394496"/>
        <c:crosses val="autoZero"/>
        <c:crossBetween val="midCat"/>
      </c:valAx>
      <c:valAx>
        <c:axId val="16639449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Energy/keV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39257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(Calibration!$A$2:$A$6,Calibration!$A$8:$A$9)</c:f>
              <c:numCache>
                <c:formatCode>General</c:formatCode>
                <c:ptCount val="7"/>
                <c:pt idx="0">
                  <c:v>261.27</c:v>
                </c:pt>
                <c:pt idx="1">
                  <c:v>203.06</c:v>
                </c:pt>
                <c:pt idx="2">
                  <c:v>492.75</c:v>
                </c:pt>
                <c:pt idx="3">
                  <c:v>202.65100000000001</c:v>
                </c:pt>
                <c:pt idx="4">
                  <c:v>446.07</c:v>
                </c:pt>
                <c:pt idx="5">
                  <c:v>514.4</c:v>
                </c:pt>
                <c:pt idx="6">
                  <c:v>453.6</c:v>
                </c:pt>
              </c:numCache>
            </c:numRef>
          </c:xVal>
          <c:yVal>
            <c:numRef>
              <c:f>(Calibration!$C$2:$C$6,Calibration!$C$8:$C$9)</c:f>
              <c:numCache>
                <c:formatCode>General</c:formatCode>
                <c:ptCount val="7"/>
                <c:pt idx="0">
                  <c:v>661.65700000000004</c:v>
                </c:pt>
                <c:pt idx="1">
                  <c:v>511</c:v>
                </c:pt>
                <c:pt idx="2">
                  <c:v>1274.537</c:v>
                </c:pt>
                <c:pt idx="3">
                  <c:v>511</c:v>
                </c:pt>
                <c:pt idx="4">
                  <c:v>1157.02</c:v>
                </c:pt>
                <c:pt idx="5">
                  <c:v>1332.492</c:v>
                </c:pt>
                <c:pt idx="6">
                  <c:v>1173.2280000000001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55008"/>
        <c:axId val="166573568"/>
      </c:scatterChart>
      <c:valAx>
        <c:axId val="1665550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573568"/>
        <c:crosses val="autoZero"/>
        <c:crossBetween val="midCat"/>
      </c:valAx>
      <c:valAx>
        <c:axId val="16657356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Energy/keV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55500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Resolution!$I$4</c:f>
              <c:strCache>
                <c:ptCount val="1"/>
                <c:pt idx="0">
                  <c:v>lnR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2897456438966975"/>
                  <c:y val="-0.90285155532029082"/>
                </c:manualLayout>
              </c:layout>
              <c:numFmt formatCode="General" sourceLinked="0"/>
            </c:trendlineLbl>
          </c:trendline>
          <c:xVal>
            <c:numRef>
              <c:f>Resolution!#REF!</c:f>
            </c:numRef>
          </c:xVal>
          <c:yVal>
            <c:numRef>
              <c:f>Resolution!$I$5:$I$12</c:f>
              <c:numCache>
                <c:formatCode>General</c:formatCode>
                <c:ptCount val="8"/>
                <c:pt idx="0">
                  <c:v>-2.1853967659798692</c:v>
                </c:pt>
                <c:pt idx="1">
                  <c:v>-2.0437272605713637</c:v>
                </c:pt>
                <c:pt idx="2">
                  <c:v>-2.5432480354242522</c:v>
                </c:pt>
                <c:pt idx="3">
                  <c:v>-2.0269940217591711</c:v>
                </c:pt>
                <c:pt idx="4">
                  <c:v>-2.4360069636434512</c:v>
                </c:pt>
                <c:pt idx="5">
                  <c:v>-2.9402499785731835</c:v>
                </c:pt>
                <c:pt idx="6">
                  <c:v>-2.6230592346857176</c:v>
                </c:pt>
                <c:pt idx="7">
                  <c:v>-2.5608567735019458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81216"/>
        <c:axId val="166687104"/>
      </c:scatterChart>
      <c:valAx>
        <c:axId val="166681216"/>
        <c:scaling>
          <c:orientation val="minMax"/>
          <c:max val="8"/>
          <c:min val="6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66687104"/>
        <c:crosses val="autoZero"/>
        <c:crossBetween val="midCat"/>
      </c:valAx>
      <c:valAx>
        <c:axId val="166687104"/>
        <c:scaling>
          <c:orientation val="minMax"/>
          <c:max val="-2"/>
          <c:min val="-3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66681216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Resolution!$H$5:$H$12</c:f>
              <c:numCache>
                <c:formatCode>General</c:formatCode>
                <c:ptCount val="8"/>
                <c:pt idx="0">
                  <c:v>6.4947472947746716</c:v>
                </c:pt>
                <c:pt idx="1">
                  <c:v>6.2363695902037044</c:v>
                </c:pt>
                <c:pt idx="2">
                  <c:v>7.1503382543873251</c:v>
                </c:pt>
                <c:pt idx="3">
                  <c:v>6.2363695902037044</c:v>
                </c:pt>
                <c:pt idx="4">
                  <c:v>7.053603013128976</c:v>
                </c:pt>
                <c:pt idx="5">
                  <c:v>7.8847572171594766</c:v>
                </c:pt>
                <c:pt idx="6">
                  <c:v>7.1948061522696314</c:v>
                </c:pt>
                <c:pt idx="7">
                  <c:v>7.0675142031669482</c:v>
                </c:pt>
              </c:numCache>
            </c:numRef>
          </c:xVal>
          <c:yVal>
            <c:numRef>
              <c:f>Resolution!$I$5:$I$12</c:f>
              <c:numCache>
                <c:formatCode>General</c:formatCode>
                <c:ptCount val="8"/>
                <c:pt idx="0">
                  <c:v>-2.1853967659798692</c:v>
                </c:pt>
                <c:pt idx="1">
                  <c:v>-2.0437272605713637</c:v>
                </c:pt>
                <c:pt idx="2">
                  <c:v>-2.5432480354242522</c:v>
                </c:pt>
                <c:pt idx="3">
                  <c:v>-2.0269940217591711</c:v>
                </c:pt>
                <c:pt idx="4">
                  <c:v>-2.4360069636434512</c:v>
                </c:pt>
                <c:pt idx="5">
                  <c:v>-2.9402499785731835</c:v>
                </c:pt>
                <c:pt idx="6">
                  <c:v>-2.6230592346857176</c:v>
                </c:pt>
                <c:pt idx="7">
                  <c:v>-2.5608567735019458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6624"/>
        <c:axId val="167148160"/>
      </c:scatterChart>
      <c:valAx>
        <c:axId val="16714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148160"/>
        <c:crosses val="autoZero"/>
        <c:crossBetween val="midCat"/>
      </c:valAx>
      <c:valAx>
        <c:axId val="16714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14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17</xdr:row>
      <xdr:rowOff>142875</xdr:rowOff>
    </xdr:from>
    <xdr:to>
      <xdr:col>16</xdr:col>
      <xdr:colOff>142875</xdr:colOff>
      <xdr:row>32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3" displayName="Table13" ref="K1:P6" totalsRowShown="0" headerRowDxfId="5">
  <autoFilter ref="K1:P6"/>
  <tableColumns count="6">
    <tableColumn id="1" name="Channel"/>
    <tableColumn id="2" name="Error on Chn" dataDxfId="4"/>
    <tableColumn id="3" name="Energy" dataDxfId="3">
      <calculatedColumnFormula>(K2*3.035)-54</calculatedColumnFormula>
    </tableColumn>
    <tableColumn id="4" name="Error on Energy" dataDxfId="2">
      <calculatedColumnFormula>SQRT((L2*3.035)^2+(0.05*K2)^2+(30)^2)</calculatedColumnFormula>
    </tableColumn>
    <tableColumn id="6" name="Differences" dataDxfId="1">
      <calculatedColumnFormula>M2-M1</calculatedColumnFormula>
    </tableColumn>
    <tableColumn id="7" name="Error on Differences" dataDxfId="0">
      <calculatedColumnFormula>(N2^2+N1^2)^0.5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D9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11.5703125" bestFit="1" customWidth="1"/>
    <col min="4" max="4" width="19.140625" bestFit="1" customWidth="1"/>
    <col min="5" max="5" width="19.140625" customWidth="1"/>
    <col min="6" max="6" width="15.85546875" bestFit="1" customWidth="1"/>
    <col min="7" max="7" width="9" bestFit="1" customWidth="1"/>
    <col min="9" max="9" width="15.85546875" bestFit="1" customWidth="1"/>
  </cols>
  <sheetData>
    <row r="1" spans="1:16" x14ac:dyDescent="0.25">
      <c r="A1" s="1" t="s">
        <v>0</v>
      </c>
      <c r="B1" s="1" t="s">
        <v>6</v>
      </c>
      <c r="C1" s="1" t="s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A2">
        <v>261.27</v>
      </c>
      <c r="B2">
        <v>0.03</v>
      </c>
      <c r="C2" s="4">
        <v>661.65700000000004</v>
      </c>
      <c r="D2" t="s">
        <v>9</v>
      </c>
      <c r="K2" s="2">
        <v>181.20400000000001</v>
      </c>
      <c r="L2" s="2">
        <v>7.0000000000000007E-2</v>
      </c>
      <c r="M2" s="3">
        <f>(K2*3.035)-54</f>
        <v>495.95414000000005</v>
      </c>
      <c r="N2" s="3">
        <f>SQRT((L2*3.035)^2+(0.05*K2)^2+(30)^2)</f>
        <v>31.338991034213272</v>
      </c>
    </row>
    <row r="3" spans="1:16" x14ac:dyDescent="0.25">
      <c r="A3">
        <v>203.06</v>
      </c>
      <c r="B3">
        <v>0.03</v>
      </c>
      <c r="C3">
        <v>511</v>
      </c>
      <c r="D3" t="s">
        <v>10</v>
      </c>
      <c r="K3" s="2">
        <v>232.45</v>
      </c>
      <c r="L3" s="2">
        <v>0.02</v>
      </c>
      <c r="M3" s="3">
        <f t="shared" ref="M3:M6" si="0">(K3*3.035)-54</f>
        <v>651.48575000000005</v>
      </c>
      <c r="N3" s="3">
        <f t="shared" ref="N3:N6" si="1">SQRT((L3*3.035)^2+(0.05*K3)^2+(30)^2)</f>
        <v>32.172755411061701</v>
      </c>
    </row>
    <row r="4" spans="1:16" x14ac:dyDescent="0.25">
      <c r="A4">
        <v>492.75</v>
      </c>
      <c r="B4">
        <v>0.13</v>
      </c>
      <c r="C4">
        <v>1274.537</v>
      </c>
      <c r="D4" t="s">
        <v>10</v>
      </c>
      <c r="K4">
        <v>403.33</v>
      </c>
      <c r="L4" s="2">
        <v>0.15</v>
      </c>
      <c r="M4" s="3">
        <f t="shared" si="0"/>
        <v>1170.10655</v>
      </c>
      <c r="N4" s="3">
        <f t="shared" si="1"/>
        <v>36.151002403979064</v>
      </c>
    </row>
    <row r="5" spans="1:16" x14ac:dyDescent="0.25">
      <c r="A5">
        <v>202.65100000000001</v>
      </c>
      <c r="B5">
        <v>1.2999999999999999E-2</v>
      </c>
      <c r="C5">
        <v>511</v>
      </c>
      <c r="D5" t="s">
        <v>11</v>
      </c>
      <c r="K5">
        <v>617.29999999999995</v>
      </c>
      <c r="L5" s="2">
        <v>0.56000000000000005</v>
      </c>
      <c r="M5" s="3">
        <f t="shared" si="0"/>
        <v>1819.5055</v>
      </c>
      <c r="N5" s="3">
        <f t="shared" si="1"/>
        <v>43.075942997919384</v>
      </c>
      <c r="O5" s="3" t="e">
        <f>M5-#REF!</f>
        <v>#REF!</v>
      </c>
      <c r="P5" s="3" t="e">
        <f>(N5^2+#REF!^2)^0.5</f>
        <v>#REF!</v>
      </c>
    </row>
    <row r="6" spans="1:16" x14ac:dyDescent="0.25">
      <c r="A6">
        <v>446.07</v>
      </c>
      <c r="B6">
        <v>0.05</v>
      </c>
      <c r="C6">
        <v>1157.02</v>
      </c>
      <c r="D6" t="s">
        <v>11</v>
      </c>
      <c r="K6">
        <v>1168.5</v>
      </c>
      <c r="L6" s="2">
        <v>1.3</v>
      </c>
      <c r="M6" s="3">
        <f t="shared" si="0"/>
        <v>3492.3975</v>
      </c>
      <c r="N6" s="3">
        <f t="shared" si="1"/>
        <v>65.795498290156601</v>
      </c>
      <c r="O6" s="3" t="e">
        <f>M6-#REF!</f>
        <v>#REF!</v>
      </c>
      <c r="P6" s="3" t="e">
        <f>(N6^2+#REF!^2)^0.5</f>
        <v>#REF!</v>
      </c>
    </row>
    <row r="7" spans="1:16" x14ac:dyDescent="0.25">
      <c r="A7">
        <v>994</v>
      </c>
      <c r="B7">
        <v>2</v>
      </c>
      <c r="C7">
        <v>2656.48</v>
      </c>
      <c r="D7" t="s">
        <v>11</v>
      </c>
    </row>
    <row r="8" spans="1:16" x14ac:dyDescent="0.25">
      <c r="A8">
        <v>514.4</v>
      </c>
      <c r="B8">
        <v>0.11</v>
      </c>
      <c r="C8">
        <v>1332.492</v>
      </c>
      <c r="D8" t="s">
        <v>12</v>
      </c>
    </row>
    <row r="9" spans="1:16" x14ac:dyDescent="0.25">
      <c r="A9">
        <v>453.6</v>
      </c>
      <c r="B9">
        <v>0.1</v>
      </c>
      <c r="C9">
        <v>1173.2280000000001</v>
      </c>
      <c r="D9" t="s">
        <v>12</v>
      </c>
    </row>
    <row r="13" spans="1:16" x14ac:dyDescent="0.25">
      <c r="B13" s="1" t="s">
        <v>2</v>
      </c>
      <c r="C13" s="1" t="s">
        <v>0</v>
      </c>
      <c r="D13" s="1" t="s">
        <v>6</v>
      </c>
      <c r="E13" s="1"/>
      <c r="F13" s="1"/>
      <c r="G13" s="1" t="s">
        <v>2</v>
      </c>
      <c r="H13" s="1" t="s">
        <v>0</v>
      </c>
      <c r="I13" s="1" t="s">
        <v>6</v>
      </c>
    </row>
    <row r="14" spans="1:16" x14ac:dyDescent="0.25">
      <c r="A14" s="5">
        <f t="shared" ref="A14:A21" si="2">C14*$C$28-$C$29</f>
        <v>510.39094215155626</v>
      </c>
      <c r="B14">
        <v>511</v>
      </c>
      <c r="C14">
        <v>202.65100000000001</v>
      </c>
      <c r="D14">
        <v>1.2999999999999999E-2</v>
      </c>
      <c r="F14" s="5">
        <f t="shared" ref="F14:F21" si="3">H14*$C$28-$C$29</f>
        <v>511.47190037212454</v>
      </c>
      <c r="G14">
        <v>511</v>
      </c>
      <c r="H14">
        <v>203.06</v>
      </c>
      <c r="I14">
        <v>0.03</v>
      </c>
    </row>
    <row r="15" spans="1:16" x14ac:dyDescent="0.25">
      <c r="A15" s="5">
        <f t="shared" si="2"/>
        <v>511.47190037212454</v>
      </c>
      <c r="B15">
        <v>511</v>
      </c>
      <c r="C15">
        <v>203.06</v>
      </c>
      <c r="D15">
        <v>0.03</v>
      </c>
      <c r="F15" s="5">
        <f t="shared" si="3"/>
        <v>510.39094215155626</v>
      </c>
      <c r="G15">
        <v>511</v>
      </c>
      <c r="H15">
        <v>202.65100000000001</v>
      </c>
      <c r="I15">
        <v>1.2999999999999999E-2</v>
      </c>
    </row>
    <row r="16" spans="1:16" x14ac:dyDescent="0.25">
      <c r="A16" s="5">
        <f t="shared" si="2"/>
        <v>665.31683440460085</v>
      </c>
      <c r="B16" s="4">
        <v>661.65700000000004</v>
      </c>
      <c r="C16">
        <v>261.27</v>
      </c>
      <c r="D16">
        <v>0.03</v>
      </c>
      <c r="F16" s="5">
        <f t="shared" si="3"/>
        <v>665.31683440460085</v>
      </c>
      <c r="G16" s="4">
        <v>661.65700000000004</v>
      </c>
      <c r="H16">
        <v>261.27</v>
      </c>
      <c r="I16">
        <v>0.03</v>
      </c>
    </row>
    <row r="17" spans="1:9" x14ac:dyDescent="0.25">
      <c r="A17" s="5">
        <f t="shared" si="2"/>
        <v>1153.7302308863329</v>
      </c>
      <c r="B17">
        <v>1157.02</v>
      </c>
      <c r="C17">
        <v>446.07</v>
      </c>
      <c r="D17">
        <v>0.05</v>
      </c>
      <c r="F17" s="5">
        <f t="shared" si="3"/>
        <v>1153.7302308863329</v>
      </c>
      <c r="G17">
        <v>1157.02</v>
      </c>
      <c r="H17">
        <v>446.07</v>
      </c>
      <c r="I17">
        <v>0.05</v>
      </c>
    </row>
    <row r="18" spans="1:9" x14ac:dyDescent="0.25">
      <c r="A18" s="5">
        <f t="shared" si="2"/>
        <v>1173.6314910351828</v>
      </c>
      <c r="B18">
        <v>1173.2280000000001</v>
      </c>
      <c r="C18">
        <v>453.6</v>
      </c>
      <c r="D18">
        <v>0.1</v>
      </c>
      <c r="F18" s="5">
        <f t="shared" si="3"/>
        <v>1173.6314910351828</v>
      </c>
      <c r="G18">
        <v>1173.2280000000001</v>
      </c>
      <c r="H18">
        <v>453.6</v>
      </c>
      <c r="I18">
        <v>0.1</v>
      </c>
    </row>
    <row r="19" spans="1:9" x14ac:dyDescent="0.25">
      <c r="A19" s="5">
        <f t="shared" si="2"/>
        <v>1277.1021862313939</v>
      </c>
      <c r="B19">
        <v>1274.537</v>
      </c>
      <c r="C19">
        <v>492.75</v>
      </c>
      <c r="D19">
        <v>0.13</v>
      </c>
      <c r="F19" s="5">
        <f t="shared" si="3"/>
        <v>1277.1021862313939</v>
      </c>
      <c r="G19">
        <v>1274.537</v>
      </c>
      <c r="H19">
        <v>492.75</v>
      </c>
      <c r="I19">
        <v>0.13</v>
      </c>
    </row>
    <row r="20" spans="1:9" x14ac:dyDescent="0.25">
      <c r="A20" s="5">
        <f t="shared" si="2"/>
        <v>1334.3216128213803</v>
      </c>
      <c r="B20">
        <v>1332.492</v>
      </c>
      <c r="C20">
        <v>514.4</v>
      </c>
      <c r="D20">
        <v>0.11</v>
      </c>
      <c r="F20" s="5">
        <f t="shared" si="3"/>
        <v>1334.3216128213803</v>
      </c>
      <c r="G20">
        <v>1332.492</v>
      </c>
      <c r="H20">
        <v>514.4</v>
      </c>
      <c r="I20">
        <v>0.11</v>
      </c>
    </row>
    <row r="21" spans="1:9" x14ac:dyDescent="0.25">
      <c r="A21" s="5">
        <f t="shared" si="2"/>
        <v>2601.8706655953993</v>
      </c>
      <c r="B21">
        <v>2656.48</v>
      </c>
      <c r="C21">
        <v>994</v>
      </c>
      <c r="D21">
        <v>2</v>
      </c>
      <c r="F21" s="5">
        <f t="shared" si="3"/>
        <v>2601.8706655953993</v>
      </c>
      <c r="G21">
        <v>2656.48</v>
      </c>
      <c r="H21">
        <v>994</v>
      </c>
      <c r="I21">
        <v>2</v>
      </c>
    </row>
    <row r="28" spans="1:9" x14ac:dyDescent="0.25">
      <c r="A28" t="s">
        <v>7</v>
      </c>
      <c r="B28">
        <v>0.37836799999999998</v>
      </c>
      <c r="C28">
        <f>1/B28</f>
        <v>2.6429296346414075</v>
      </c>
      <c r="F28" t="s">
        <v>7</v>
      </c>
      <c r="G28">
        <v>0.37840600000000002</v>
      </c>
      <c r="H28">
        <f>1/G28</f>
        <v>2.642664228368472</v>
      </c>
    </row>
    <row r="29" spans="1:9" x14ac:dyDescent="0.25">
      <c r="A29" t="s">
        <v>8</v>
      </c>
      <c r="B29">
        <v>9.5353999999999992</v>
      </c>
      <c r="C29">
        <f>B29/B28</f>
        <v>25.201391238159676</v>
      </c>
      <c r="F29" t="s">
        <v>8</v>
      </c>
      <c r="G29">
        <v>9.5141299999999998</v>
      </c>
      <c r="H29">
        <f>G29/G28</f>
        <v>25.142651015047328</v>
      </c>
    </row>
    <row r="30" spans="1:9" x14ac:dyDescent="0.25">
      <c r="A30" t="s">
        <v>13</v>
      </c>
      <c r="B30" s="6">
        <v>5.9166300000000003E-5</v>
      </c>
      <c r="C30">
        <f>(1/B28^2)*B31</f>
        <v>0.25101223646200604</v>
      </c>
      <c r="F30" t="s">
        <v>13</v>
      </c>
      <c r="G30" s="6">
        <v>5.9278199999999998E-5</v>
      </c>
      <c r="H30">
        <f>(1/G28^2)*G31</f>
        <v>0.2513717667498413</v>
      </c>
    </row>
    <row r="31" spans="1:9" x14ac:dyDescent="0.25">
      <c r="A31" t="s">
        <v>14</v>
      </c>
      <c r="B31">
        <v>3.5935500000000002E-2</v>
      </c>
      <c r="C31">
        <f>B31/B28</f>
        <v>9.4974997885656304E-2</v>
      </c>
      <c r="F31" t="s">
        <v>14</v>
      </c>
      <c r="G31">
        <v>3.5994199999999997E-2</v>
      </c>
      <c r="H31">
        <f>G31/G28</f>
        <v>9.512058476874044E-2</v>
      </c>
    </row>
  </sheetData>
  <sortState ref="A14:D21">
    <sortCondition ref="A14:A2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3"/>
  <sheetViews>
    <sheetView topLeftCell="A4" workbookViewId="0">
      <selection activeCell="L4" activeCellId="1" sqref="A4:C12 L4:L12"/>
    </sheetView>
  </sheetViews>
  <sheetFormatPr defaultRowHeight="15" x14ac:dyDescent="0.25"/>
  <cols>
    <col min="2" max="2" width="8.28515625" bestFit="1" customWidth="1"/>
    <col min="3" max="3" width="15.85546875" bestFit="1" customWidth="1"/>
    <col min="4" max="4" width="9" bestFit="1" customWidth="1"/>
    <col min="5" max="5" width="14.7109375" bestFit="1" customWidth="1"/>
    <col min="6" max="6" width="10.5703125" bestFit="1" customWidth="1"/>
    <col min="7" max="7" width="15.85546875" customWidth="1"/>
    <col min="10" max="10" width="11.28515625" bestFit="1" customWidth="1"/>
  </cols>
  <sheetData>
    <row r="4" spans="1:12" x14ac:dyDescent="0.25">
      <c r="B4" s="1" t="s">
        <v>0</v>
      </c>
      <c r="C4" s="1" t="s">
        <v>6</v>
      </c>
      <c r="D4" s="7" t="s">
        <v>15</v>
      </c>
      <c r="E4" s="7" t="s">
        <v>16</v>
      </c>
      <c r="F4" s="7" t="s">
        <v>17</v>
      </c>
      <c r="G4" s="7" t="s">
        <v>21</v>
      </c>
      <c r="H4" s="7" t="s">
        <v>19</v>
      </c>
      <c r="I4" s="7" t="s">
        <v>18</v>
      </c>
      <c r="J4" s="7" t="s">
        <v>20</v>
      </c>
      <c r="L4" s="1" t="s">
        <v>2</v>
      </c>
    </row>
    <row r="5" spans="1:12" x14ac:dyDescent="0.25">
      <c r="A5" t="s">
        <v>9</v>
      </c>
      <c r="B5">
        <v>261.27</v>
      </c>
      <c r="C5">
        <v>0.03</v>
      </c>
      <c r="D5">
        <v>19.84</v>
      </c>
      <c r="E5" s="8">
        <v>0.06</v>
      </c>
      <c r="F5">
        <f>(D5*Calibration!$C$28+Calibration!$C$29)/(B5*Calibration!$C$28)</f>
        <v>0.11243311516821679</v>
      </c>
      <c r="G5" s="8">
        <f>SQRT((Calibration!$C$30*Resolution!D5/Resolution!L5)^2+(Resolution!E5*Calibration!$C$28/Resolution!L5)^2)</f>
        <v>7.5304981530636651E-3</v>
      </c>
      <c r="H5">
        <f t="shared" ref="H5:H12" si="0">LN(L5)</f>
        <v>6.4947472947746716</v>
      </c>
      <c r="I5">
        <f t="shared" ref="I5:I12" si="1">LN(F5)</f>
        <v>-2.1853967659798692</v>
      </c>
      <c r="J5">
        <f>G5/F5</f>
        <v>6.6977581665303071E-2</v>
      </c>
      <c r="L5" s="4">
        <v>661.65700000000004</v>
      </c>
    </row>
    <row r="6" spans="1:12" x14ac:dyDescent="0.25">
      <c r="A6" t="s">
        <v>10</v>
      </c>
      <c r="B6">
        <v>203.06</v>
      </c>
      <c r="C6">
        <v>0.03</v>
      </c>
      <c r="D6">
        <v>16.77</v>
      </c>
      <c r="E6" s="8">
        <v>0.06</v>
      </c>
      <c r="F6">
        <f>(D6*Calibration!$C$28+Calibration!$C$29)/(B6*Calibration!$C$28)</f>
        <v>0.12954496208017333</v>
      </c>
      <c r="G6" s="8">
        <f>SQRT((Calibration!$C$30*Resolution!D6/Resolution!L6)^2+(Resolution!E6*Calibration!$C$28/Resolution!L6)^2)</f>
        <v>8.2435636254790372E-3</v>
      </c>
      <c r="H6">
        <f t="shared" si="0"/>
        <v>6.2363695902037044</v>
      </c>
      <c r="I6">
        <f t="shared" si="1"/>
        <v>-2.0437272605713637</v>
      </c>
      <c r="J6">
        <f t="shared" ref="J6:J12" si="2">G6/F6</f>
        <v>6.3634768138472464E-2</v>
      </c>
      <c r="L6">
        <v>511</v>
      </c>
    </row>
    <row r="7" spans="1:12" x14ac:dyDescent="0.25">
      <c r="A7" t="s">
        <v>10</v>
      </c>
      <c r="B7">
        <v>492.75</v>
      </c>
      <c r="C7">
        <v>0.13</v>
      </c>
      <c r="D7">
        <v>29.2</v>
      </c>
      <c r="E7" s="8">
        <v>0.3</v>
      </c>
      <c r="F7">
        <f>(D7*Calibration!$C$28+Calibration!$C$29)/(B7*Calibration!$C$28)</f>
        <v>7.8610654490106541E-2</v>
      </c>
      <c r="G7" s="8">
        <f>SQRT((Calibration!$C$30*Resolution!D7/Resolution!L7)^2+(Resolution!E7*Calibration!$C$28/Resolution!L7)^2)</f>
        <v>5.7843104034179769E-3</v>
      </c>
      <c r="H7">
        <f t="shared" si="0"/>
        <v>7.1503382543873251</v>
      </c>
      <c r="I7">
        <f t="shared" si="1"/>
        <v>-2.5432480354242522</v>
      </c>
      <c r="J7">
        <f t="shared" si="2"/>
        <v>7.3581761161217091E-2</v>
      </c>
      <c r="L7">
        <v>1274.537</v>
      </c>
    </row>
    <row r="8" spans="1:12" x14ac:dyDescent="0.25">
      <c r="A8" t="s">
        <v>11</v>
      </c>
      <c r="B8">
        <v>202.65100000000001</v>
      </c>
      <c r="C8">
        <v>1.2999999999999999E-2</v>
      </c>
      <c r="D8">
        <v>17.16</v>
      </c>
      <c r="E8" s="8">
        <v>0.03</v>
      </c>
      <c r="F8">
        <f>(D8*Calibration!$C$28+Calibration!$C$29)/(B8*Calibration!$C$28)</f>
        <v>0.13173090682996874</v>
      </c>
      <c r="G8" s="8">
        <f>SQRT((Calibration!$C$30*Resolution!D8/Resolution!L8)^2+(Resolution!E8*Calibration!$C$28/Resolution!L8)^2)</f>
        <v>8.430723408164302E-3</v>
      </c>
      <c r="H8">
        <f t="shared" si="0"/>
        <v>6.2363695902037044</v>
      </c>
      <c r="I8">
        <f t="shared" si="1"/>
        <v>-2.0269940217591711</v>
      </c>
      <c r="J8">
        <f t="shared" si="2"/>
        <v>6.3999585298886857E-2</v>
      </c>
      <c r="L8">
        <v>511</v>
      </c>
    </row>
    <row r="9" spans="1:12" x14ac:dyDescent="0.25">
      <c r="A9" t="s">
        <v>11</v>
      </c>
      <c r="B9">
        <v>446.07</v>
      </c>
      <c r="C9">
        <v>0.05</v>
      </c>
      <c r="D9">
        <v>29.5</v>
      </c>
      <c r="E9" s="8">
        <v>0.1</v>
      </c>
      <c r="F9">
        <f>(D9*Calibration!$C$28+Calibration!$C$29)/(B9*Calibration!$C$28)</f>
        <v>8.7509583697625931E-2</v>
      </c>
      <c r="G9" s="8">
        <f>SQRT((Calibration!$C$30*Resolution!D9/Resolution!L9)^2+(Resolution!E9*Calibration!$C$28/Resolution!L9)^2)</f>
        <v>6.4040172364231976E-3</v>
      </c>
      <c r="H9">
        <f t="shared" si="0"/>
        <v>7.053603013128976</v>
      </c>
      <c r="I9">
        <f t="shared" si="1"/>
        <v>-2.4360069636434512</v>
      </c>
      <c r="J9">
        <f t="shared" si="2"/>
        <v>7.3180753076727681E-2</v>
      </c>
      <c r="L9">
        <v>1157.02</v>
      </c>
    </row>
    <row r="10" spans="1:12" x14ac:dyDescent="0.25">
      <c r="A10" t="s">
        <v>11</v>
      </c>
      <c r="B10">
        <v>994</v>
      </c>
      <c r="C10">
        <v>2</v>
      </c>
      <c r="D10">
        <v>43</v>
      </c>
      <c r="E10" s="8">
        <v>4</v>
      </c>
      <c r="F10">
        <f>(D10*Calibration!$C$28+Calibration!$C$29)/(B10*Calibration!$C$28)</f>
        <v>5.2852515090543263E-2</v>
      </c>
      <c r="G10" s="8">
        <f>SQRT((Calibration!$C$30*Resolution!D10/Resolution!L10)^2+(Resolution!E10*Calibration!$C$28/Resolution!L10)^2)</f>
        <v>5.6873469905933229E-3</v>
      </c>
      <c r="H10">
        <f t="shared" si="0"/>
        <v>7.8847572171594766</v>
      </c>
      <c r="I10">
        <f t="shared" si="1"/>
        <v>-2.9402499785731835</v>
      </c>
      <c r="J10">
        <f t="shared" si="2"/>
        <v>0.10760787790042071</v>
      </c>
      <c r="L10">
        <v>2656.48</v>
      </c>
    </row>
    <row r="11" spans="1:12" x14ac:dyDescent="0.25">
      <c r="A11" t="s">
        <v>12</v>
      </c>
      <c r="B11">
        <v>514.4</v>
      </c>
      <c r="C11">
        <v>0.11</v>
      </c>
      <c r="D11">
        <v>27.8</v>
      </c>
      <c r="E11" s="2">
        <v>0.2</v>
      </c>
      <c r="F11">
        <f>(D11*Calibration!$C$28+Calibration!$C$29)/(B11*Calibration!$C$28)</f>
        <v>7.258048211508554E-2</v>
      </c>
      <c r="G11" s="8">
        <f>SQRT((Calibration!$C$30*Resolution!D11/Resolution!L11)^2+(Resolution!E11*Calibration!$C$28/Resolution!L11)^2)</f>
        <v>5.2519125214568318E-3</v>
      </c>
      <c r="H11">
        <f t="shared" si="0"/>
        <v>7.1948061522696314</v>
      </c>
      <c r="I11">
        <f t="shared" si="1"/>
        <v>-2.6230592346857176</v>
      </c>
      <c r="J11">
        <f t="shared" si="2"/>
        <v>7.2359846179159568E-2</v>
      </c>
      <c r="L11">
        <v>1332.492</v>
      </c>
    </row>
    <row r="12" spans="1:12" x14ac:dyDescent="0.25">
      <c r="A12" t="s">
        <v>12</v>
      </c>
      <c r="B12">
        <v>453.6</v>
      </c>
      <c r="C12">
        <v>0.1</v>
      </c>
      <c r="D12">
        <v>25.5</v>
      </c>
      <c r="E12" s="2">
        <v>0.2</v>
      </c>
      <c r="F12">
        <f>(D12*Calibration!$C$28+Calibration!$C$29)/(B12*Calibration!$C$28)</f>
        <v>7.7238536155202819E-2</v>
      </c>
      <c r="G12" s="8">
        <f>SQRT((Calibration!$C$30*Resolution!D12/Resolution!L12)^2+(Resolution!E12*Calibration!$C$28/Resolution!L12)^2)</f>
        <v>5.4742987228822973E-3</v>
      </c>
      <c r="H12">
        <f t="shared" si="0"/>
        <v>7.0675142031669482</v>
      </c>
      <c r="I12">
        <f t="shared" si="1"/>
        <v>-2.5608567735019458</v>
      </c>
      <c r="J12">
        <f t="shared" si="2"/>
        <v>7.0875226219749454E-2</v>
      </c>
      <c r="L12">
        <v>1173.2280000000001</v>
      </c>
    </row>
    <row r="13" spans="1:12" x14ac:dyDescent="0.25">
      <c r="E1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8.28515625" bestFit="1" customWidth="1"/>
    <col min="3" max="3" width="15.85546875" bestFit="1" customWidth="1"/>
  </cols>
  <sheetData>
    <row r="1" spans="1:12" x14ac:dyDescent="0.25">
      <c r="B1" s="1" t="s">
        <v>0</v>
      </c>
      <c r="C1" s="1" t="s">
        <v>6</v>
      </c>
      <c r="D1" t="s">
        <v>22</v>
      </c>
      <c r="E1" t="s">
        <v>27</v>
      </c>
      <c r="F1" t="s">
        <v>23</v>
      </c>
      <c r="G1" t="s">
        <v>24</v>
      </c>
      <c r="H1" t="s">
        <v>26</v>
      </c>
      <c r="L1" s="1" t="s">
        <v>2</v>
      </c>
    </row>
    <row r="2" spans="1:12" x14ac:dyDescent="0.25">
      <c r="A2" t="s">
        <v>9</v>
      </c>
      <c r="B2">
        <v>261.27</v>
      </c>
      <c r="C2">
        <v>0.03</v>
      </c>
      <c r="F2">
        <v>360</v>
      </c>
      <c r="G2">
        <v>0.85099999999999998</v>
      </c>
      <c r="L2" s="4">
        <v>661.65700000000004</v>
      </c>
    </row>
    <row r="3" spans="1:12" x14ac:dyDescent="0.25">
      <c r="A3" t="s">
        <v>10</v>
      </c>
      <c r="B3">
        <v>203.06</v>
      </c>
      <c r="C3">
        <v>0.03</v>
      </c>
      <c r="F3">
        <v>360</v>
      </c>
      <c r="L3">
        <v>511</v>
      </c>
    </row>
    <row r="4" spans="1:12" x14ac:dyDescent="0.25">
      <c r="A4" t="s">
        <v>10</v>
      </c>
      <c r="B4">
        <v>492.75</v>
      </c>
      <c r="C4">
        <v>0.13</v>
      </c>
      <c r="F4">
        <v>360</v>
      </c>
      <c r="L4">
        <v>1274.537</v>
      </c>
    </row>
    <row r="5" spans="1:12" x14ac:dyDescent="0.25">
      <c r="A5" t="s">
        <v>11</v>
      </c>
      <c r="B5">
        <v>202.65100000000001</v>
      </c>
      <c r="C5">
        <v>1.2999999999999999E-2</v>
      </c>
      <c r="F5">
        <v>720</v>
      </c>
      <c r="L5">
        <v>511</v>
      </c>
    </row>
    <row r="6" spans="1:12" x14ac:dyDescent="0.25">
      <c r="A6" t="s">
        <v>11</v>
      </c>
      <c r="B6">
        <v>446.07</v>
      </c>
      <c r="C6">
        <v>0.05</v>
      </c>
      <c r="F6">
        <v>720</v>
      </c>
      <c r="L6">
        <v>1157.02</v>
      </c>
    </row>
    <row r="7" spans="1:12" x14ac:dyDescent="0.25">
      <c r="A7" t="s">
        <v>11</v>
      </c>
      <c r="B7">
        <v>994</v>
      </c>
      <c r="C7">
        <v>2</v>
      </c>
      <c r="F7">
        <v>720</v>
      </c>
      <c r="L7">
        <v>2656.48</v>
      </c>
    </row>
    <row r="8" spans="1:12" x14ac:dyDescent="0.25">
      <c r="A8" t="s">
        <v>12</v>
      </c>
      <c r="B8">
        <v>514.4</v>
      </c>
      <c r="C8">
        <v>0.11</v>
      </c>
      <c r="F8">
        <v>360</v>
      </c>
      <c r="G8">
        <v>0.99849999999999994</v>
      </c>
      <c r="L8">
        <v>1332.492</v>
      </c>
    </row>
    <row r="9" spans="1:12" x14ac:dyDescent="0.25">
      <c r="A9" t="s">
        <v>12</v>
      </c>
      <c r="B9">
        <v>453.6</v>
      </c>
      <c r="C9">
        <v>0.1</v>
      </c>
      <c r="F9">
        <v>360</v>
      </c>
      <c r="G9">
        <v>0.99980000000000002</v>
      </c>
      <c r="L9">
        <v>1173.2280000000001</v>
      </c>
    </row>
    <row r="13" spans="1:12" x14ac:dyDescent="0.25">
      <c r="A13" t="s">
        <v>25</v>
      </c>
      <c r="B13">
        <f>2*PI()*(1-(0.057)*(SQRT(0.057^2+7.62^2)))</f>
        <v>3.5540702500941332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6.4947472947746716</v>
      </c>
      <c r="B1">
        <v>-2.1853967659798692</v>
      </c>
    </row>
    <row r="2" spans="1:2" x14ac:dyDescent="0.25">
      <c r="A2">
        <v>6.2363695902037044</v>
      </c>
      <c r="B2">
        <v>-2.0437272605713637</v>
      </c>
    </row>
    <row r="3" spans="1:2" x14ac:dyDescent="0.25">
      <c r="A3" s="4">
        <v>7.1503382543873251</v>
      </c>
      <c r="B3">
        <v>-2.5432480354242522</v>
      </c>
    </row>
    <row r="4" spans="1:2" x14ac:dyDescent="0.25">
      <c r="A4">
        <v>6.2363695902037044</v>
      </c>
      <c r="B4">
        <v>-2.0269940217591711</v>
      </c>
    </row>
    <row r="5" spans="1:2" x14ac:dyDescent="0.25">
      <c r="A5">
        <v>7.053603013128976</v>
      </c>
      <c r="B5">
        <v>-2.4360069636434512</v>
      </c>
    </row>
    <row r="6" spans="1:2" x14ac:dyDescent="0.25">
      <c r="A6">
        <v>7.8847572171594766</v>
      </c>
      <c r="B6">
        <v>-2.9402499785731835</v>
      </c>
    </row>
    <row r="7" spans="1:2" x14ac:dyDescent="0.25">
      <c r="A7">
        <v>7.1948061522696314</v>
      </c>
      <c r="B7">
        <v>-2.6230592346857176</v>
      </c>
    </row>
    <row r="8" spans="1:2" x14ac:dyDescent="0.25">
      <c r="A8">
        <v>7.0675142031669482</v>
      </c>
      <c r="B8">
        <v>-2.5608567735019458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Calibration</vt:lpstr>
      <vt:lpstr>Resolution</vt:lpstr>
      <vt:lpstr>Efficiency</vt:lpstr>
      <vt:lpstr>Sheet1</vt:lpstr>
      <vt:lpstr>Calib1</vt:lpstr>
      <vt:lpstr>Calib2</vt:lpstr>
      <vt:lpstr>ln-ln Resolution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2013-01-01T19:05:41Z</cp:lastPrinted>
  <dcterms:created xsi:type="dcterms:W3CDTF">2012-12-23T14:11:21Z</dcterms:created>
  <dcterms:modified xsi:type="dcterms:W3CDTF">2013-01-05T19:09:56Z</dcterms:modified>
</cp:coreProperties>
</file>