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8"/>
  </bookViews>
  <sheets>
    <sheet name="Chart1" sheetId="4" r:id="rId1"/>
    <sheet name="Chn-Energy" sheetId="1" r:id="rId2"/>
    <sheet name="lnlnRes" sheetId="7" r:id="rId3"/>
    <sheet name="Resolution" sheetId="6" r:id="rId4"/>
    <sheet name="EfficiancyNaI" sheetId="9" r:id="rId5"/>
    <sheet name="Efficiency NaI" sheetId="3" r:id="rId6"/>
    <sheet name="Sheet4" sheetId="5" r:id="rId7"/>
    <sheet name="Chart2" sheetId="10" r:id="rId8"/>
    <sheet name="Efficiency BF3" sheetId="8" r:id="rId9"/>
  </sheets>
  <calcPr calcId="145621"/>
</workbook>
</file>

<file path=xl/calcChain.xml><?xml version="1.0" encoding="utf-8"?>
<calcChain xmlns="http://schemas.openxmlformats.org/spreadsheetml/2006/main">
  <c r="H25" i="8" l="1"/>
  <c r="H24" i="8"/>
  <c r="H22" i="8"/>
  <c r="H21" i="8"/>
  <c r="H20" i="8"/>
  <c r="H19" i="8"/>
  <c r="H18" i="8"/>
  <c r="H17" i="8"/>
  <c r="H16" i="8"/>
  <c r="H15" i="8"/>
  <c r="F15" i="8"/>
  <c r="F16" i="8"/>
  <c r="F17" i="8"/>
  <c r="F18" i="8"/>
  <c r="F19" i="8"/>
  <c r="F20" i="8"/>
  <c r="F21" i="8"/>
  <c r="F22" i="8"/>
  <c r="F23" i="8"/>
  <c r="H23" i="8" s="1"/>
  <c r="F24" i="8"/>
  <c r="F25" i="8"/>
  <c r="K4" i="8"/>
  <c r="K5" i="8"/>
  <c r="K6" i="8"/>
  <c r="K7" i="8"/>
  <c r="K8" i="8"/>
  <c r="K9" i="8"/>
  <c r="K10" i="8"/>
  <c r="K11" i="8"/>
  <c r="K12" i="8"/>
  <c r="K13" i="8"/>
  <c r="K3" i="8"/>
  <c r="I4" i="8"/>
  <c r="I5" i="8"/>
  <c r="I6" i="8"/>
  <c r="J6" i="8" s="1"/>
  <c r="I7" i="8"/>
  <c r="I8" i="8"/>
  <c r="I9" i="8"/>
  <c r="I10" i="8"/>
  <c r="J10" i="8" s="1"/>
  <c r="I11" i="8"/>
  <c r="I12" i="8"/>
  <c r="I13" i="8"/>
  <c r="I3" i="8"/>
  <c r="J3" i="8" s="1"/>
  <c r="J4" i="8"/>
  <c r="J5" i="8"/>
  <c r="J7" i="8"/>
  <c r="J8" i="8"/>
  <c r="J9" i="8"/>
  <c r="J11" i="8"/>
  <c r="J12" i="8"/>
  <c r="J13" i="8"/>
  <c r="F4" i="8"/>
  <c r="F5" i="8"/>
  <c r="H5" i="8" s="1"/>
  <c r="F6" i="8"/>
  <c r="H6" i="8" s="1"/>
  <c r="F7" i="8"/>
  <c r="H7" i="8" s="1"/>
  <c r="F8" i="8"/>
  <c r="H8" i="8" s="1"/>
  <c r="F9" i="8"/>
  <c r="H9" i="8" s="1"/>
  <c r="F10" i="8"/>
  <c r="H10" i="8" s="1"/>
  <c r="F11" i="8"/>
  <c r="H11" i="8" s="1"/>
  <c r="F12" i="8"/>
  <c r="H12" i="8" s="1"/>
  <c r="F13" i="8"/>
  <c r="H13" i="8" s="1"/>
  <c r="H4" i="8"/>
  <c r="F3" i="8"/>
  <c r="H3" i="8" s="1"/>
  <c r="E20" i="3"/>
  <c r="F20" i="3" s="1"/>
  <c r="H20" i="3"/>
  <c r="I20" i="3"/>
  <c r="K20" i="3" s="1"/>
  <c r="E21" i="3"/>
  <c r="F21" i="3" s="1"/>
  <c r="L21" i="3" s="1"/>
  <c r="H21" i="3"/>
  <c r="I21" i="3"/>
  <c r="K21" i="3"/>
  <c r="E22" i="3"/>
  <c r="F22" i="3" s="1"/>
  <c r="H22" i="3"/>
  <c r="I22" i="3"/>
  <c r="K22" i="3" s="1"/>
  <c r="E23" i="3"/>
  <c r="F23" i="3"/>
  <c r="L23" i="3" s="1"/>
  <c r="H23" i="3"/>
  <c r="I23" i="3"/>
  <c r="K23" i="3"/>
  <c r="E24" i="3"/>
  <c r="F24" i="3" s="1"/>
  <c r="H24" i="3"/>
  <c r="I24" i="3"/>
  <c r="K24" i="3" s="1"/>
  <c r="E25" i="3"/>
  <c r="F25" i="3"/>
  <c r="L25" i="3" s="1"/>
  <c r="H25" i="3"/>
  <c r="I25" i="3"/>
  <c r="K25" i="3"/>
  <c r="E26" i="3"/>
  <c r="F26" i="3" s="1"/>
  <c r="H26" i="3"/>
  <c r="I26" i="3"/>
  <c r="K26" i="3" s="1"/>
  <c r="L26" i="3" l="1"/>
  <c r="L22" i="3"/>
  <c r="L20" i="3"/>
  <c r="L24" i="3"/>
  <c r="K5" i="3" l="1"/>
  <c r="K6" i="3"/>
  <c r="K7" i="3"/>
  <c r="K8" i="3"/>
  <c r="K9" i="3"/>
  <c r="K10" i="3"/>
  <c r="K11" i="3"/>
  <c r="K12" i="3"/>
  <c r="K13" i="3"/>
  <c r="K4" i="3"/>
  <c r="R3" i="6"/>
  <c r="R4" i="6"/>
  <c r="R5" i="6"/>
  <c r="R6" i="6"/>
  <c r="R7" i="6"/>
  <c r="R8" i="6"/>
  <c r="R9" i="6"/>
  <c r="R10" i="6"/>
  <c r="R11" i="6"/>
  <c r="R2" i="6"/>
  <c r="N2" i="6"/>
  <c r="Q3" i="6"/>
  <c r="Q4" i="6"/>
  <c r="Q5" i="6"/>
  <c r="Q6" i="6"/>
  <c r="Q7" i="6"/>
  <c r="Q8" i="6"/>
  <c r="Q9" i="6"/>
  <c r="Q10" i="6"/>
  <c r="Q11" i="6"/>
  <c r="Q2" i="6"/>
  <c r="M2" i="6"/>
  <c r="N3" i="6"/>
  <c r="N4" i="6"/>
  <c r="N5" i="6"/>
  <c r="N6" i="6"/>
  <c r="N7" i="6"/>
  <c r="N8" i="6"/>
  <c r="N9" i="6"/>
  <c r="N10" i="6"/>
  <c r="N11" i="6"/>
  <c r="M3" i="6"/>
  <c r="M4" i="6"/>
  <c r="M5" i="6"/>
  <c r="M6" i="6"/>
  <c r="M7" i="6"/>
  <c r="M8" i="6"/>
  <c r="M9" i="6"/>
  <c r="M10" i="6"/>
  <c r="M11" i="6"/>
  <c r="J3" i="6"/>
  <c r="J4" i="6"/>
  <c r="J5" i="6"/>
  <c r="J6" i="6"/>
  <c r="J7" i="6"/>
  <c r="J8" i="6"/>
  <c r="J9" i="6"/>
  <c r="J10" i="6"/>
  <c r="J11" i="6"/>
  <c r="J2" i="6"/>
  <c r="H3" i="6"/>
  <c r="H4" i="6"/>
  <c r="H5" i="6"/>
  <c r="H6" i="6"/>
  <c r="H7" i="6"/>
  <c r="H8" i="6"/>
  <c r="H9" i="6"/>
  <c r="H10" i="6"/>
  <c r="H11" i="6"/>
  <c r="H2" i="6"/>
  <c r="S14" i="5"/>
  <c r="E12" i="5"/>
  <c r="H11" i="5"/>
  <c r="E11" i="5"/>
  <c r="H10" i="5"/>
  <c r="E10" i="5"/>
  <c r="H9" i="5"/>
  <c r="E9" i="5"/>
  <c r="H8" i="5"/>
  <c r="E8" i="5"/>
  <c r="H7" i="5"/>
  <c r="E7" i="5"/>
  <c r="S6" i="5"/>
  <c r="F12" i="5" s="1"/>
  <c r="H6" i="5"/>
  <c r="E6" i="5"/>
  <c r="H5" i="5"/>
  <c r="E5" i="5"/>
  <c r="F5" i="5" s="1"/>
  <c r="K5" i="5" s="1"/>
  <c r="H4" i="5"/>
  <c r="E4" i="5"/>
  <c r="F4" i="5" s="1"/>
  <c r="K4" i="5" s="1"/>
  <c r="H3" i="5"/>
  <c r="E3" i="5"/>
  <c r="F3" i="5" s="1"/>
  <c r="K3" i="5" s="1"/>
  <c r="H2" i="5"/>
  <c r="E2" i="5"/>
  <c r="F2" i="5" s="1"/>
  <c r="K2" i="5" s="1"/>
  <c r="K5" i="6" l="1"/>
  <c r="K8" i="6"/>
  <c r="K6" i="6"/>
  <c r="K11" i="6"/>
  <c r="K10" i="6"/>
  <c r="K7" i="6"/>
  <c r="K4" i="6"/>
  <c r="K2" i="6"/>
  <c r="K3" i="6"/>
  <c r="K9" i="6"/>
  <c r="F6" i="5"/>
  <c r="K6" i="5" s="1"/>
  <c r="F7" i="5"/>
  <c r="K7" i="5" s="1"/>
  <c r="F8" i="5"/>
  <c r="K8" i="5" s="1"/>
  <c r="F9" i="5"/>
  <c r="K9" i="5" s="1"/>
  <c r="F10" i="5"/>
  <c r="K10" i="5" s="1"/>
  <c r="F11" i="5"/>
  <c r="K11" i="5" s="1"/>
  <c r="L10" i="3"/>
  <c r="L11" i="3"/>
  <c r="H5" i="3"/>
  <c r="H6" i="3"/>
  <c r="H7" i="3"/>
  <c r="H8" i="3"/>
  <c r="H9" i="3"/>
  <c r="H10" i="3"/>
  <c r="H11" i="3"/>
  <c r="H12" i="3"/>
  <c r="H13" i="3"/>
  <c r="L13" i="3" s="1"/>
  <c r="H4" i="3"/>
  <c r="E10" i="3"/>
  <c r="F10" i="3" s="1"/>
  <c r="E11" i="3"/>
  <c r="F11" i="3" s="1"/>
  <c r="E12" i="3"/>
  <c r="F12" i="3" s="1"/>
  <c r="L12" i="3" s="1"/>
  <c r="E13" i="3"/>
  <c r="F13" i="3" s="1"/>
  <c r="E7" i="3"/>
  <c r="F7" i="3"/>
  <c r="L7" i="3" s="1"/>
  <c r="E5" i="3"/>
  <c r="F5" i="3" s="1"/>
  <c r="L5" i="3" s="1"/>
  <c r="T14" i="3"/>
  <c r="T6" i="3"/>
  <c r="E14" i="3"/>
  <c r="E9" i="3"/>
  <c r="E8" i="3"/>
  <c r="E6" i="3"/>
  <c r="E4" i="3"/>
  <c r="F4" i="3" s="1"/>
  <c r="L4" i="3" s="1"/>
  <c r="F14" i="3" l="1"/>
  <c r="F9" i="3"/>
  <c r="L9" i="3" s="1"/>
  <c r="F6" i="3"/>
  <c r="L6" i="3" s="1"/>
  <c r="F8" i="3"/>
  <c r="L8" i="3" s="1"/>
</calcChain>
</file>

<file path=xl/sharedStrings.xml><?xml version="1.0" encoding="utf-8"?>
<sst xmlns="http://schemas.openxmlformats.org/spreadsheetml/2006/main" count="69" uniqueCount="31">
  <si>
    <t>Channel Number</t>
  </si>
  <si>
    <t>Energy (keV)</t>
  </si>
  <si>
    <t>FWHM</t>
  </si>
  <si>
    <t>Energy</t>
  </si>
  <si>
    <t>Resolution</t>
  </si>
  <si>
    <t>1st September 2012</t>
  </si>
  <si>
    <t>Activity Then</t>
  </si>
  <si>
    <t>Half Life</t>
  </si>
  <si>
    <t>Half Life(Seconds)</t>
  </si>
  <si>
    <t>Activity Now</t>
  </si>
  <si>
    <t>time since then</t>
  </si>
  <si>
    <t>Solid angle</t>
  </si>
  <si>
    <t>Co</t>
  </si>
  <si>
    <t>Ba</t>
  </si>
  <si>
    <t>Cs</t>
  </si>
  <si>
    <t>Eu</t>
  </si>
  <si>
    <t>Am</t>
  </si>
  <si>
    <t>Intensity</t>
  </si>
  <si>
    <t>Time of Run</t>
  </si>
  <si>
    <t>CPS</t>
  </si>
  <si>
    <t>Counts</t>
  </si>
  <si>
    <t>Intensity/100</t>
  </si>
  <si>
    <t>Ti</t>
  </si>
  <si>
    <t>Solid Angle</t>
  </si>
  <si>
    <t>Efficiency the second</t>
  </si>
  <si>
    <t>Efficiency the First</t>
  </si>
  <si>
    <t>Min Chn</t>
  </si>
  <si>
    <t>Max Chn</t>
  </si>
  <si>
    <t>Est Backgnd</t>
  </si>
  <si>
    <t>Overall Backgnd</t>
  </si>
  <si>
    <t>Counts-Backgnd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</si>
</sst>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1" fillId="0" borderId="0" xfId="0" applyNumberFormat="1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8875421084175503E-2"/>
                  <c:y val="-1.6759596881857745E-2"/>
                </c:manualLayout>
              </c:layout>
              <c:numFmt formatCode="General" sourceLinked="0"/>
            </c:trendlineLbl>
          </c:trendline>
          <c:xVal>
            <c:numRef>
              <c:f>'Chn-Energy'!$A$2:$A$11</c:f>
              <c:numCache>
                <c:formatCode>General</c:formatCode>
                <c:ptCount val="10"/>
                <c:pt idx="0">
                  <c:v>369.6</c:v>
                </c:pt>
                <c:pt idx="1">
                  <c:v>326.10000000000002</c:v>
                </c:pt>
                <c:pt idx="2">
                  <c:v>104.2</c:v>
                </c:pt>
                <c:pt idx="3">
                  <c:v>86.78</c:v>
                </c:pt>
                <c:pt idx="4">
                  <c:v>191</c:v>
                </c:pt>
                <c:pt idx="5">
                  <c:v>100.9</c:v>
                </c:pt>
                <c:pt idx="6">
                  <c:v>223.5</c:v>
                </c:pt>
                <c:pt idx="7">
                  <c:v>272.89999999999998</c:v>
                </c:pt>
                <c:pt idx="8">
                  <c:v>310.7</c:v>
                </c:pt>
                <c:pt idx="9">
                  <c:v>395.9</c:v>
                </c:pt>
              </c:numCache>
            </c:numRef>
          </c:xVal>
          <c:yVal>
            <c:numRef>
              <c:f>'Chn-Energy'!$B$2:$B$11</c:f>
              <c:numCache>
                <c:formatCode>General</c:formatCode>
                <c:ptCount val="10"/>
                <c:pt idx="0">
                  <c:v>1332</c:v>
                </c:pt>
                <c:pt idx="1">
                  <c:v>1173</c:v>
                </c:pt>
                <c:pt idx="2">
                  <c:v>356</c:v>
                </c:pt>
                <c:pt idx="3">
                  <c:v>302.89999999999998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17504"/>
        <c:axId val="98824192"/>
      </c:scatterChart>
      <c:valAx>
        <c:axId val="98117504"/>
        <c:scaling>
          <c:orientation val="minMax"/>
          <c:max val="400"/>
          <c:min val="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Channel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824192"/>
        <c:crosses val="autoZero"/>
        <c:crossBetween val="midCat"/>
      </c:valAx>
      <c:valAx>
        <c:axId val="98824192"/>
        <c:scaling>
          <c:orientation val="minMax"/>
          <c:max val="15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Energy (KeV)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175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907067342930586E-2"/>
          <c:y val="2.108778396978659E-2"/>
          <c:w val="0.8776895674812013"/>
          <c:h val="0.922124997493501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6384052208413897"/>
                  <c:y val="-0.41370052656300216"/>
                </c:manualLayout>
              </c:layout>
              <c:numFmt formatCode="General" sourceLinked="0"/>
            </c:trendlineLbl>
          </c:trendline>
          <c:xVal>
            <c:numRef>
              <c:f>Resolution!$M$2:$M$11</c:f>
              <c:numCache>
                <c:formatCode>General</c:formatCode>
                <c:ptCount val="10"/>
                <c:pt idx="0">
                  <c:v>5.6737126071763955</c:v>
                </c:pt>
                <c:pt idx="1">
                  <c:v>5.8364660913535769</c:v>
                </c:pt>
                <c:pt idx="2">
                  <c:v>5.8709672687252388</c:v>
                </c:pt>
                <c:pt idx="3">
                  <c:v>6.508606679662944</c:v>
                </c:pt>
                <c:pt idx="4">
                  <c:v>6.6711730822137154</c:v>
                </c:pt>
                <c:pt idx="5">
                  <c:v>6.8766098567244738</c:v>
                </c:pt>
                <c:pt idx="6">
                  <c:v>7.0094792102752441</c:v>
                </c:pt>
                <c:pt idx="7">
                  <c:v>7.0589261521634574</c:v>
                </c:pt>
                <c:pt idx="8">
                  <c:v>7.1866811777911304</c:v>
                </c:pt>
                <c:pt idx="9">
                  <c:v>7.2566829098410848</c:v>
                </c:pt>
              </c:numCache>
            </c:numRef>
          </c:xVal>
          <c:yVal>
            <c:numRef>
              <c:f>Resolution!$N$2:$N$11</c:f>
              <c:numCache>
                <c:formatCode>General</c:formatCode>
                <c:ptCount val="10"/>
                <c:pt idx="0">
                  <c:v>-2.240564464282413</c:v>
                </c:pt>
                <c:pt idx="1">
                  <c:v>-2.2407990189618197</c:v>
                </c:pt>
                <c:pt idx="2">
                  <c:v>-1.856589861475296</c:v>
                </c:pt>
                <c:pt idx="3">
                  <c:v>-2.2923631195460765</c:v>
                </c:pt>
                <c:pt idx="4">
                  <c:v>-2.2000372724680575</c:v>
                </c:pt>
                <c:pt idx="5">
                  <c:v>-2.2162320473402879</c:v>
                </c:pt>
                <c:pt idx="6">
                  <c:v>-2.5136507879392154</c:v>
                </c:pt>
                <c:pt idx="7">
                  <c:v>-2.8319873029298419</c:v>
                </c:pt>
                <c:pt idx="8">
                  <c:v>-2.9283261323241359</c:v>
                </c:pt>
                <c:pt idx="9">
                  <c:v>-2.6677640644390439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23552"/>
        <c:axId val="100432896"/>
      </c:scatterChart>
      <c:valAx>
        <c:axId val="100423552"/>
        <c:scaling>
          <c:orientation val="minMax"/>
          <c:min val="5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ln(Energy) (keV)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32896"/>
        <c:crosses val="autoZero"/>
        <c:crossBetween val="midCat"/>
      </c:valAx>
      <c:valAx>
        <c:axId val="100432896"/>
        <c:scaling>
          <c:orientation val="minMax"/>
          <c:max val="-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ln(Resolution)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42355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Resolution!$H$2:$H$11</c:f>
              <c:numCache>
                <c:formatCode>General</c:formatCode>
                <c:ptCount val="10"/>
                <c:pt idx="0">
                  <c:v>291.11331999999999</c:v>
                </c:pt>
                <c:pt idx="1">
                  <c:v>342.56660000000005</c:v>
                </c:pt>
                <c:pt idx="2">
                  <c:v>354.59180000000003</c:v>
                </c:pt>
                <c:pt idx="3">
                  <c:v>670.89100000000008</c:v>
                </c:pt>
                <c:pt idx="4">
                  <c:v>789.32100000000014</c:v>
                </c:pt>
                <c:pt idx="5">
                  <c:v>969.33459999999991</c:v>
                </c:pt>
                <c:pt idx="6">
                  <c:v>1107.0778</c:v>
                </c:pt>
                <c:pt idx="7">
                  <c:v>1163.1954000000001</c:v>
                </c:pt>
                <c:pt idx="8">
                  <c:v>1321.7094000000002</c:v>
                </c:pt>
                <c:pt idx="9">
                  <c:v>1417.5465999999999</c:v>
                </c:pt>
              </c:numCache>
            </c:numRef>
          </c:xVal>
          <c:yVal>
            <c:numRef>
              <c:f>Resolution!$K$2:$K$11</c:f>
              <c:numCache>
                <c:formatCode>General</c:formatCode>
                <c:ptCount val="10"/>
                <c:pt idx="0">
                  <c:v>0.1063984293126814</c:v>
                </c:pt>
                <c:pt idx="1">
                  <c:v>0.10637347598977831</c:v>
                </c:pt>
                <c:pt idx="2">
                  <c:v>0.15620440179383729</c:v>
                </c:pt>
                <c:pt idx="3">
                  <c:v>0.10102743962879215</c:v>
                </c:pt>
                <c:pt idx="4">
                  <c:v>0.11079902853211809</c:v>
                </c:pt>
                <c:pt idx="5">
                  <c:v>0.10901911476181704</c:v>
                </c:pt>
                <c:pt idx="6">
                  <c:v>8.0972087056573633E-2</c:v>
                </c:pt>
                <c:pt idx="7">
                  <c:v>5.8895693707179383E-2</c:v>
                </c:pt>
                <c:pt idx="8">
                  <c:v>5.3486492567882161E-2</c:v>
                </c:pt>
                <c:pt idx="9">
                  <c:v>6.9407242061742452E-2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0800"/>
        <c:axId val="95822592"/>
      </c:scatterChart>
      <c:valAx>
        <c:axId val="9582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822592"/>
        <c:crosses val="autoZero"/>
        <c:crossBetween val="midCat"/>
      </c:valAx>
      <c:valAx>
        <c:axId val="958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2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Resolution!$M$2:$M$11</c:f>
              <c:numCache>
                <c:formatCode>General</c:formatCode>
                <c:ptCount val="10"/>
                <c:pt idx="0">
                  <c:v>5.6737126071763955</c:v>
                </c:pt>
                <c:pt idx="1">
                  <c:v>5.8364660913535769</c:v>
                </c:pt>
                <c:pt idx="2">
                  <c:v>5.8709672687252388</c:v>
                </c:pt>
                <c:pt idx="3">
                  <c:v>6.508606679662944</c:v>
                </c:pt>
                <c:pt idx="4">
                  <c:v>6.6711730822137154</c:v>
                </c:pt>
                <c:pt idx="5">
                  <c:v>6.8766098567244738</c:v>
                </c:pt>
                <c:pt idx="6">
                  <c:v>7.0094792102752441</c:v>
                </c:pt>
                <c:pt idx="7">
                  <c:v>7.0589261521634574</c:v>
                </c:pt>
                <c:pt idx="8">
                  <c:v>7.1866811777911304</c:v>
                </c:pt>
                <c:pt idx="9">
                  <c:v>7.2566829098410848</c:v>
                </c:pt>
              </c:numCache>
            </c:numRef>
          </c:xVal>
          <c:yVal>
            <c:numRef>
              <c:f>Resolution!$K$2:$K$11</c:f>
              <c:numCache>
                <c:formatCode>General</c:formatCode>
                <c:ptCount val="10"/>
                <c:pt idx="0">
                  <c:v>0.1063984293126814</c:v>
                </c:pt>
                <c:pt idx="1">
                  <c:v>0.10637347598977831</c:v>
                </c:pt>
                <c:pt idx="2">
                  <c:v>0.15620440179383729</c:v>
                </c:pt>
                <c:pt idx="3">
                  <c:v>0.10102743962879215</c:v>
                </c:pt>
                <c:pt idx="4">
                  <c:v>0.11079902853211809</c:v>
                </c:pt>
                <c:pt idx="5">
                  <c:v>0.10901911476181704</c:v>
                </c:pt>
                <c:pt idx="6">
                  <c:v>8.0972087056573633E-2</c:v>
                </c:pt>
                <c:pt idx="7">
                  <c:v>5.8895693707179383E-2</c:v>
                </c:pt>
                <c:pt idx="8">
                  <c:v>5.3486492567882161E-2</c:v>
                </c:pt>
                <c:pt idx="9">
                  <c:v>6.9407242061742452E-2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8208"/>
        <c:axId val="95839744"/>
      </c:scatterChart>
      <c:valAx>
        <c:axId val="95838208"/>
        <c:scaling>
          <c:orientation val="minMax"/>
          <c:min val="5.5"/>
        </c:scaling>
        <c:delete val="0"/>
        <c:axPos val="b"/>
        <c:numFmt formatCode="General" sourceLinked="1"/>
        <c:majorTickMark val="out"/>
        <c:minorTickMark val="none"/>
        <c:tickLblPos val="nextTo"/>
        <c:crossAx val="95839744"/>
        <c:crosses val="autoZero"/>
        <c:crossBetween val="midCat"/>
      </c:valAx>
      <c:valAx>
        <c:axId val="958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3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9.9426324623175022E-2"/>
                  <c:y val="-2.7097101932532222E-3"/>
                </c:manualLayout>
              </c:layout>
              <c:numFmt formatCode="General" sourceLinked="0"/>
            </c:trendlineLbl>
          </c:trendline>
          <c:xVal>
            <c:numRef>
              <c:f>'Efficiency NaI'!$B$4:$B$13</c:f>
              <c:numCache>
                <c:formatCode>General</c:formatCode>
                <c:ptCount val="10"/>
                <c:pt idx="0">
                  <c:v>1173</c:v>
                </c:pt>
                <c:pt idx="1">
                  <c:v>1332</c:v>
                </c:pt>
                <c:pt idx="2">
                  <c:v>302.89999999999998</c:v>
                </c:pt>
                <c:pt idx="3">
                  <c:v>356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xVal>
          <c:yVal>
            <c:numRef>
              <c:f>'Efficiency NaI'!$L$4:$L$13</c:f>
              <c:numCache>
                <c:formatCode>General</c:formatCode>
                <c:ptCount val="10"/>
                <c:pt idx="0">
                  <c:v>2.1576502302921328E-2</c:v>
                </c:pt>
                <c:pt idx="1">
                  <c:v>1.9587604358900425E-2</c:v>
                </c:pt>
                <c:pt idx="2">
                  <c:v>8.9790548464661751E-2</c:v>
                </c:pt>
                <c:pt idx="3">
                  <c:v>0.11293285503056195</c:v>
                </c:pt>
                <c:pt idx="4">
                  <c:v>4.9072478142330477E-2</c:v>
                </c:pt>
                <c:pt idx="5">
                  <c:v>0.26265002959324119</c:v>
                </c:pt>
                <c:pt idx="6">
                  <c:v>5.6435050484793865E-2</c:v>
                </c:pt>
                <c:pt idx="7">
                  <c:v>4.3218479698853729E-2</c:v>
                </c:pt>
                <c:pt idx="8">
                  <c:v>7.0968508041800493E-2</c:v>
                </c:pt>
                <c:pt idx="9">
                  <c:v>2.7977463700442844E-2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7936"/>
        <c:axId val="95849856"/>
      </c:scatterChart>
      <c:valAx>
        <c:axId val="958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(keV)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49856"/>
        <c:crosses val="autoZero"/>
        <c:crossBetween val="midCat"/>
      </c:valAx>
      <c:valAx>
        <c:axId val="9584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Efficiancy (</a:t>
                </a:r>
                <a:r>
                  <a:rPr lang="el-GR"/>
                  <a:t>η</a:t>
                </a:r>
                <a:r>
                  <a:rPr lang="en-GB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47936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Sheet4!$B$2:$B$11</c:f>
              <c:numCache>
                <c:formatCode>General</c:formatCode>
                <c:ptCount val="10"/>
                <c:pt idx="0">
                  <c:v>1173</c:v>
                </c:pt>
                <c:pt idx="1">
                  <c:v>1332</c:v>
                </c:pt>
                <c:pt idx="2">
                  <c:v>302.89999999999998</c:v>
                </c:pt>
                <c:pt idx="3">
                  <c:v>356</c:v>
                </c:pt>
                <c:pt idx="4">
                  <c:v>661.7</c:v>
                </c:pt>
                <c:pt idx="5">
                  <c:v>344.3</c:v>
                </c:pt>
                <c:pt idx="6">
                  <c:v>778.9</c:v>
                </c:pt>
                <c:pt idx="7">
                  <c:v>964.1</c:v>
                </c:pt>
                <c:pt idx="8">
                  <c:v>1112</c:v>
                </c:pt>
                <c:pt idx="9">
                  <c:v>1408</c:v>
                </c:pt>
              </c:numCache>
            </c:numRef>
          </c:xVal>
          <c:yVal>
            <c:numRef>
              <c:f>Sheet4!$K$2:$K$11</c:f>
              <c:numCache>
                <c:formatCode>General</c:formatCode>
                <c:ptCount val="10"/>
                <c:pt idx="0">
                  <c:v>1.9360791666432241E-2</c:v>
                </c:pt>
                <c:pt idx="1">
                  <c:v>1.6683252322584465E-2</c:v>
                </c:pt>
                <c:pt idx="2">
                  <c:v>1.5378255296194495E-2</c:v>
                </c:pt>
                <c:pt idx="3">
                  <c:v>4.1478261327762368E-2</c:v>
                </c:pt>
                <c:pt idx="4">
                  <c:v>5.1384546824036433E-2</c:v>
                </c:pt>
                <c:pt idx="5">
                  <c:v>4.2890749832576285E-2</c:v>
                </c:pt>
                <c:pt idx="6">
                  <c:v>2.6355337039236006E-2</c:v>
                </c:pt>
                <c:pt idx="7">
                  <c:v>1.3038866295903829E-2</c:v>
                </c:pt>
                <c:pt idx="8">
                  <c:v>2.068405075842112E-2</c:v>
                </c:pt>
                <c:pt idx="9">
                  <c:v>1.7745794364483113E-2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2144"/>
        <c:axId val="98088064"/>
      </c:scatterChart>
      <c:valAx>
        <c:axId val="958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88064"/>
        <c:crosses val="autoZero"/>
        <c:crossBetween val="midCat"/>
      </c:valAx>
      <c:valAx>
        <c:axId val="980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6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BF3'!$H$2</c:f>
              <c:strCache>
                <c:ptCount val="1"/>
                <c:pt idx="0">
                  <c:v>Counts-Backgnd</c:v>
                </c:pt>
              </c:strCache>
            </c:strRef>
          </c:tx>
          <c:spPr>
            <a:ln w="28575">
              <a:noFill/>
            </a:ln>
          </c:spPr>
          <c:xVal>
            <c:numRef>
              <c:f>'Efficiency BF3'!$A$3:$A$1048576</c:f>
              <c:numCache>
                <c:formatCode>General</c:formatCode>
                <c:ptCount val="1048574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0.18</c:v>
                </c:pt>
                <c:pt idx="18">
                  <c:v>0.2</c:v>
                </c:pt>
                <c:pt idx="19">
                  <c:v>0.22</c:v>
                </c:pt>
                <c:pt idx="20">
                  <c:v>0.24</c:v>
                </c:pt>
                <c:pt idx="21">
                  <c:v>0.26</c:v>
                </c:pt>
                <c:pt idx="22">
                  <c:v>0.28000000000000003</c:v>
                </c:pt>
              </c:numCache>
            </c:numRef>
          </c:xVal>
          <c:yVal>
            <c:numRef>
              <c:f>'Efficiency BF3'!$H$3:$H$1048576</c:f>
              <c:numCache>
                <c:formatCode>0.00E+00</c:formatCode>
                <c:ptCount val="1048574"/>
                <c:pt idx="0">
                  <c:v>3476970.5</c:v>
                </c:pt>
                <c:pt idx="1">
                  <c:v>2824068</c:v>
                </c:pt>
                <c:pt idx="2">
                  <c:v>2128958</c:v>
                </c:pt>
                <c:pt idx="3">
                  <c:v>1502338.4</c:v>
                </c:pt>
                <c:pt idx="4">
                  <c:v>1058639.2</c:v>
                </c:pt>
                <c:pt idx="5">
                  <c:v>749202</c:v>
                </c:pt>
                <c:pt idx="6">
                  <c:v>527716.01500000001</c:v>
                </c:pt>
                <c:pt idx="7">
                  <c:v>363652.89</c:v>
                </c:pt>
                <c:pt idx="8">
                  <c:v>256229.14</c:v>
                </c:pt>
                <c:pt idx="9">
                  <c:v>179863.58</c:v>
                </c:pt>
                <c:pt idx="10">
                  <c:v>127430.54</c:v>
                </c:pt>
                <c:pt idx="12">
                  <c:v>3466389</c:v>
                </c:pt>
                <c:pt idx="13">
                  <c:v>2816956</c:v>
                </c:pt>
                <c:pt idx="14">
                  <c:v>994868</c:v>
                </c:pt>
                <c:pt idx="15">
                  <c:v>1485785.5</c:v>
                </c:pt>
                <c:pt idx="16">
                  <c:v>731297</c:v>
                </c:pt>
                <c:pt idx="17">
                  <c:v>525283.125</c:v>
                </c:pt>
                <c:pt idx="18">
                  <c:v>386557.5</c:v>
                </c:pt>
                <c:pt idx="19">
                  <c:v>251766.965</c:v>
                </c:pt>
                <c:pt idx="20">
                  <c:v>257180.375</c:v>
                </c:pt>
                <c:pt idx="21">
                  <c:v>0</c:v>
                </c:pt>
                <c:pt idx="22">
                  <c:v>128904.66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9024"/>
        <c:axId val="98130944"/>
      </c:scatterChart>
      <c:valAx>
        <c:axId val="9812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Radius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8130944"/>
        <c:crosses val="autoZero"/>
        <c:crossBetween val="midCat"/>
      </c:valAx>
      <c:valAx>
        <c:axId val="981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Counts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98129024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'Efficiency BF3'!$H$3:$H$13</c:f>
              <c:numCache>
                <c:formatCode>0.00E+00</c:formatCode>
                <c:ptCount val="11"/>
                <c:pt idx="0">
                  <c:v>3476970.5</c:v>
                </c:pt>
                <c:pt idx="1">
                  <c:v>2824068</c:v>
                </c:pt>
                <c:pt idx="2">
                  <c:v>2128958</c:v>
                </c:pt>
                <c:pt idx="3">
                  <c:v>1502338.4</c:v>
                </c:pt>
                <c:pt idx="4">
                  <c:v>1058639.2</c:v>
                </c:pt>
                <c:pt idx="5">
                  <c:v>749202</c:v>
                </c:pt>
                <c:pt idx="6">
                  <c:v>527716.01500000001</c:v>
                </c:pt>
                <c:pt idx="7">
                  <c:v>363652.89</c:v>
                </c:pt>
                <c:pt idx="8">
                  <c:v>256229.14</c:v>
                </c:pt>
                <c:pt idx="9">
                  <c:v>179863.58</c:v>
                </c:pt>
                <c:pt idx="10">
                  <c:v>127430.54</c:v>
                </c:pt>
              </c:numCache>
            </c:numRef>
          </c:xVal>
          <c:yVal>
            <c:numRef>
              <c:f>'Efficiency BF3'!$K$3:$K$13</c:f>
              <c:numCache>
                <c:formatCode>General</c:formatCode>
                <c:ptCount val="11"/>
                <c:pt idx="0">
                  <c:v>-6.381649804751941E-3</c:v>
                </c:pt>
                <c:pt idx="1">
                  <c:v>-7.967426697006617E-3</c:v>
                </c:pt>
                <c:pt idx="2">
                  <c:v>-9.6378732334576785E-3</c:v>
                </c:pt>
                <c:pt idx="3">
                  <c:v>-1.1422584568385434E-2</c:v>
                </c:pt>
                <c:pt idx="4">
                  <c:v>-1.3289132125043917E-2</c:v>
                </c:pt>
                <c:pt idx="5">
                  <c:v>-1.5238784784597881E-2</c:v>
                </c:pt>
                <c:pt idx="6">
                  <c:v>-1.7290753870116811E-2</c:v>
                </c:pt>
                <c:pt idx="7">
                  <c:v>-1.9486569013186138E-2</c:v>
                </c:pt>
                <c:pt idx="8">
                  <c:v>-2.1765329571749509E-2</c:v>
                </c:pt>
                <c:pt idx="9">
                  <c:v>-2.4179567949139006E-2</c:v>
                </c:pt>
                <c:pt idx="10">
                  <c:v>-2.671153941988447E-2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120"/>
        <c:axId val="3334912"/>
      </c:scatterChart>
      <c:valAx>
        <c:axId val="33331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34912"/>
        <c:crosses val="autoZero"/>
        <c:crossBetween val="midCat"/>
      </c:valAx>
      <c:valAx>
        <c:axId val="33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'Efficiency BF3'!$A$3:$A$13</c:f>
              <c:numCache>
                <c:formatCode>General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xVal>
          <c:yVal>
            <c:numRef>
              <c:f>'Efficiency BF3'!$I$3:$I$13</c:f>
              <c:numCache>
                <c:formatCode>0.00E+00</c:formatCode>
                <c:ptCount val="11"/>
                <c:pt idx="0">
                  <c:v>278157.64</c:v>
                </c:pt>
                <c:pt idx="1">
                  <c:v>282406.8</c:v>
                </c:pt>
                <c:pt idx="2">
                  <c:v>255474.96</c:v>
                </c:pt>
                <c:pt idx="3">
                  <c:v>210327.37600000002</c:v>
                </c:pt>
                <c:pt idx="4">
                  <c:v>169382.272</c:v>
                </c:pt>
                <c:pt idx="5">
                  <c:v>134856.35999999999</c:v>
                </c:pt>
                <c:pt idx="6">
                  <c:v>105543.20300000001</c:v>
                </c:pt>
                <c:pt idx="7">
                  <c:v>80003.635800000004</c:v>
                </c:pt>
                <c:pt idx="8">
                  <c:v>61494.993600000002</c:v>
                </c:pt>
                <c:pt idx="9">
                  <c:v>46764.5308</c:v>
                </c:pt>
                <c:pt idx="10">
                  <c:v>35680.551200000002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0752"/>
        <c:axId val="168892288"/>
      </c:scatterChart>
      <c:valAx>
        <c:axId val="168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92288"/>
        <c:crosses val="autoZero"/>
        <c:crossBetween val="midCat"/>
      </c:valAx>
      <c:valAx>
        <c:axId val="1688922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6889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" right="0.7" top="0.75" bottom="0.75" header="0.3" footer="0.3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2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3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72933" cy="3855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67673" cy="38430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15</xdr:row>
      <xdr:rowOff>119062</xdr:rowOff>
    </xdr:from>
    <xdr:to>
      <xdr:col>20</xdr:col>
      <xdr:colOff>66675</xdr:colOff>
      <xdr:row>30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15</xdr:row>
      <xdr:rowOff>42862</xdr:rowOff>
    </xdr:from>
    <xdr:to>
      <xdr:col>9</xdr:col>
      <xdr:colOff>371475</xdr:colOff>
      <xdr:row>29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65443" cy="38428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17</xdr:row>
      <xdr:rowOff>66675</xdr:rowOff>
    </xdr:from>
    <xdr:to>
      <xdr:col>19</xdr:col>
      <xdr:colOff>390525</xdr:colOff>
      <xdr:row>32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4</xdr:row>
      <xdr:rowOff>161925</xdr:rowOff>
    </xdr:from>
    <xdr:to>
      <xdr:col>22</xdr:col>
      <xdr:colOff>333375</xdr:colOff>
      <xdr:row>39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16</xdr:row>
      <xdr:rowOff>0</xdr:rowOff>
    </xdr:from>
    <xdr:to>
      <xdr:col>32</xdr:col>
      <xdr:colOff>342900</xdr:colOff>
      <xdr:row>39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6" sqref="E36"/>
    </sheetView>
  </sheetViews>
  <sheetFormatPr defaultRowHeight="15" x14ac:dyDescent="0.25"/>
  <cols>
    <col min="1" max="1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369.6</v>
      </c>
      <c r="B2">
        <v>1332</v>
      </c>
    </row>
    <row r="3" spans="1:2" x14ac:dyDescent="0.25">
      <c r="A3">
        <v>326.10000000000002</v>
      </c>
      <c r="B3">
        <v>1173</v>
      </c>
    </row>
    <row r="4" spans="1:2" x14ac:dyDescent="0.25">
      <c r="A4">
        <v>104.2</v>
      </c>
      <c r="B4">
        <v>356</v>
      </c>
    </row>
    <row r="5" spans="1:2" x14ac:dyDescent="0.25">
      <c r="A5">
        <v>86.78</v>
      </c>
      <c r="B5">
        <v>302.89999999999998</v>
      </c>
    </row>
    <row r="6" spans="1:2" x14ac:dyDescent="0.25">
      <c r="A6">
        <v>191</v>
      </c>
      <c r="B6">
        <v>661.7</v>
      </c>
    </row>
    <row r="7" spans="1:2" x14ac:dyDescent="0.25">
      <c r="A7">
        <v>100.9</v>
      </c>
      <c r="B7">
        <v>344.3</v>
      </c>
    </row>
    <row r="8" spans="1:2" x14ac:dyDescent="0.25">
      <c r="A8">
        <v>223.5</v>
      </c>
      <c r="B8">
        <v>778.9</v>
      </c>
    </row>
    <row r="9" spans="1:2" x14ac:dyDescent="0.25">
      <c r="A9">
        <v>272.89999999999998</v>
      </c>
      <c r="B9">
        <v>964.1</v>
      </c>
    </row>
    <row r="10" spans="1:2" x14ac:dyDescent="0.25">
      <c r="A10">
        <v>310.7</v>
      </c>
      <c r="B10">
        <v>1112</v>
      </c>
    </row>
    <row r="11" spans="1:2" x14ac:dyDescent="0.25">
      <c r="A11">
        <v>395.9</v>
      </c>
      <c r="B11">
        <v>1408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R11"/>
  <sheetViews>
    <sheetView workbookViewId="0">
      <selection activeCell="M8" sqref="M8"/>
    </sheetView>
  </sheetViews>
  <sheetFormatPr defaultRowHeight="15" x14ac:dyDescent="0.25"/>
  <cols>
    <col min="7" max="7" width="16.140625" bestFit="1" customWidth="1"/>
    <col min="8" max="8" width="16.140625" customWidth="1"/>
    <col min="9" max="9" width="9.140625" customWidth="1"/>
    <col min="11" max="11" width="12" bestFit="1" customWidth="1"/>
  </cols>
  <sheetData>
    <row r="1" spans="7:18" x14ac:dyDescent="0.25">
      <c r="G1" t="s">
        <v>0</v>
      </c>
      <c r="H1" t="s">
        <v>3</v>
      </c>
      <c r="I1" t="s">
        <v>2</v>
      </c>
      <c r="K1" t="s">
        <v>4</v>
      </c>
    </row>
    <row r="2" spans="7:18" x14ac:dyDescent="0.25">
      <c r="G2">
        <v>86.78</v>
      </c>
      <c r="H2">
        <f>G2*3.644-25.113</f>
        <v>291.11331999999999</v>
      </c>
      <c r="I2">
        <v>8.5</v>
      </c>
      <c r="J2">
        <f>I2*3.644</f>
        <v>30.974</v>
      </c>
      <c r="K2">
        <f t="shared" ref="K2:K11" si="0">J2/H2</f>
        <v>0.1063984293126814</v>
      </c>
      <c r="M2">
        <f>LN(H2)</f>
        <v>5.6737126071763955</v>
      </c>
      <c r="N2">
        <f t="shared" ref="N2:N11" si="1">LN(K2)</f>
        <v>-2.240564464282413</v>
      </c>
      <c r="Q2">
        <f>LOG(H2)</f>
        <v>2.4640620772016208</v>
      </c>
      <c r="R2">
        <f>LOG(K2)</f>
        <v>-0.97306478318636747</v>
      </c>
    </row>
    <row r="3" spans="7:18" x14ac:dyDescent="0.25">
      <c r="G3">
        <v>100.9</v>
      </c>
      <c r="H3">
        <f t="shared" ref="H3:H11" si="2">G3*3.644-25.113</f>
        <v>342.56660000000005</v>
      </c>
      <c r="I3">
        <v>10</v>
      </c>
      <c r="J3">
        <f t="shared" ref="J3:J11" si="3">I3*3.644</f>
        <v>36.44</v>
      </c>
      <c r="K3">
        <f t="shared" si="0"/>
        <v>0.10637347598977831</v>
      </c>
      <c r="M3">
        <f t="shared" ref="M3:M11" si="4">LN(H3)</f>
        <v>5.8364660913535769</v>
      </c>
      <c r="N3">
        <f t="shared" si="1"/>
        <v>-2.2407990189618197</v>
      </c>
      <c r="Q3">
        <f t="shared" ref="Q3:Q11" si="5">LOG(H3)</f>
        <v>2.534745017290299</v>
      </c>
      <c r="R3">
        <f t="shared" ref="R3:R11" si="6">LOG(K3)</f>
        <v>-0.97316664898933847</v>
      </c>
    </row>
    <row r="4" spans="7:18" x14ac:dyDescent="0.25">
      <c r="G4">
        <v>104.2</v>
      </c>
      <c r="H4">
        <f t="shared" si="2"/>
        <v>354.59180000000003</v>
      </c>
      <c r="I4">
        <v>15.2</v>
      </c>
      <c r="J4">
        <f t="shared" si="3"/>
        <v>55.388799999999996</v>
      </c>
      <c r="K4">
        <f t="shared" si="0"/>
        <v>0.15620440179383729</v>
      </c>
      <c r="M4">
        <f t="shared" si="4"/>
        <v>5.8709672687252388</v>
      </c>
      <c r="N4">
        <f t="shared" si="1"/>
        <v>-1.856589861475296</v>
      </c>
      <c r="Q4">
        <f t="shared" si="5"/>
        <v>2.5497286882419772</v>
      </c>
      <c r="R4">
        <f t="shared" si="6"/>
        <v>-0.80630673199624381</v>
      </c>
    </row>
    <row r="5" spans="7:18" x14ac:dyDescent="0.25">
      <c r="G5">
        <v>191</v>
      </c>
      <c r="H5">
        <f t="shared" si="2"/>
        <v>670.89100000000008</v>
      </c>
      <c r="I5">
        <v>18.600000000000001</v>
      </c>
      <c r="J5">
        <f t="shared" si="3"/>
        <v>67.778400000000005</v>
      </c>
      <c r="K5">
        <f t="shared" si="0"/>
        <v>0.10102743962879215</v>
      </c>
      <c r="M5">
        <f t="shared" si="4"/>
        <v>6.508606679662944</v>
      </c>
      <c r="N5">
        <f t="shared" si="1"/>
        <v>-2.2923631195460765</v>
      </c>
      <c r="Q5">
        <f t="shared" si="5"/>
        <v>2.8266519658562625</v>
      </c>
      <c r="R5">
        <f t="shared" si="6"/>
        <v>-0.99556065333738542</v>
      </c>
    </row>
    <row r="6" spans="7:18" x14ac:dyDescent="0.25">
      <c r="G6">
        <v>223.5</v>
      </c>
      <c r="H6">
        <f t="shared" si="2"/>
        <v>789.32100000000014</v>
      </c>
      <c r="I6">
        <v>24</v>
      </c>
      <c r="J6">
        <f t="shared" si="3"/>
        <v>87.456000000000003</v>
      </c>
      <c r="K6">
        <f t="shared" si="0"/>
        <v>0.11079902853211809</v>
      </c>
      <c r="M6">
        <f t="shared" si="4"/>
        <v>6.6711730822137154</v>
      </c>
      <c r="N6">
        <f t="shared" si="1"/>
        <v>-2.2000372724680575</v>
      </c>
      <c r="Q6">
        <f t="shared" si="5"/>
        <v>2.897253657426925</v>
      </c>
      <c r="R6">
        <f t="shared" si="6"/>
        <v>-0.95546404741435842</v>
      </c>
    </row>
    <row r="7" spans="7:18" x14ac:dyDescent="0.25">
      <c r="G7">
        <v>272.89999999999998</v>
      </c>
      <c r="H7">
        <f t="shared" si="2"/>
        <v>969.33459999999991</v>
      </c>
      <c r="I7">
        <v>29</v>
      </c>
      <c r="J7">
        <f t="shared" si="3"/>
        <v>105.676</v>
      </c>
      <c r="K7">
        <f t="shared" si="0"/>
        <v>0.10901911476181704</v>
      </c>
      <c r="M7">
        <f t="shared" si="4"/>
        <v>6.8766098567244738</v>
      </c>
      <c r="N7">
        <f t="shared" si="1"/>
        <v>-2.2162320473402879</v>
      </c>
      <c r="Q7">
        <f t="shared" si="5"/>
        <v>2.9864737149769502</v>
      </c>
      <c r="R7">
        <f t="shared" si="6"/>
        <v>-0.96249734877703341</v>
      </c>
    </row>
    <row r="8" spans="7:18" x14ac:dyDescent="0.25">
      <c r="G8">
        <v>310.7</v>
      </c>
      <c r="H8">
        <f t="shared" si="2"/>
        <v>1107.0778</v>
      </c>
      <c r="I8">
        <v>24.6</v>
      </c>
      <c r="J8">
        <f t="shared" si="3"/>
        <v>89.642400000000009</v>
      </c>
      <c r="K8">
        <f t="shared" si="0"/>
        <v>8.0972087056573633E-2</v>
      </c>
      <c r="M8">
        <f t="shared" si="4"/>
        <v>7.0094792102752441</v>
      </c>
      <c r="N8">
        <f t="shared" si="1"/>
        <v>-2.5136507879392154</v>
      </c>
      <c r="Q8">
        <f t="shared" si="5"/>
        <v>3.0441781420381022</v>
      </c>
      <c r="R8">
        <f t="shared" si="6"/>
        <v>-1.0916646666337624</v>
      </c>
    </row>
    <row r="9" spans="7:18" x14ac:dyDescent="0.25">
      <c r="G9">
        <v>326.10000000000002</v>
      </c>
      <c r="H9">
        <f t="shared" si="2"/>
        <v>1163.1954000000001</v>
      </c>
      <c r="I9">
        <v>18.8</v>
      </c>
      <c r="J9">
        <f t="shared" si="3"/>
        <v>68.507200000000012</v>
      </c>
      <c r="K9">
        <f t="shared" si="0"/>
        <v>5.8895693707179383E-2</v>
      </c>
      <c r="M9">
        <f t="shared" si="4"/>
        <v>7.0589261521634574</v>
      </c>
      <c r="N9">
        <f t="shared" si="1"/>
        <v>-2.8319873029298419</v>
      </c>
      <c r="Q9">
        <f t="shared" si="5"/>
        <v>3.0656526760471436</v>
      </c>
      <c r="R9">
        <f t="shared" si="6"/>
        <v>-1.2299164584825033</v>
      </c>
    </row>
    <row r="10" spans="7:18" x14ac:dyDescent="0.25">
      <c r="G10">
        <v>369.6</v>
      </c>
      <c r="H10">
        <f t="shared" si="2"/>
        <v>1321.7094000000002</v>
      </c>
      <c r="I10">
        <v>19.399999999999999</v>
      </c>
      <c r="J10">
        <f t="shared" si="3"/>
        <v>70.693600000000004</v>
      </c>
      <c r="K10">
        <f t="shared" si="0"/>
        <v>5.3486492567882161E-2</v>
      </c>
      <c r="M10">
        <f t="shared" si="4"/>
        <v>7.1866811777911304</v>
      </c>
      <c r="N10">
        <f t="shared" si="1"/>
        <v>-2.9283261323241359</v>
      </c>
      <c r="Q10">
        <f t="shared" si="5"/>
        <v>3.1211359787126507</v>
      </c>
      <c r="R10">
        <f t="shared" si="6"/>
        <v>-1.2717558804814637</v>
      </c>
    </row>
    <row r="11" spans="7:18" x14ac:dyDescent="0.25">
      <c r="G11">
        <v>395.9</v>
      </c>
      <c r="H11">
        <f t="shared" si="2"/>
        <v>1417.5465999999999</v>
      </c>
      <c r="I11">
        <v>27</v>
      </c>
      <c r="J11">
        <f t="shared" si="3"/>
        <v>98.388000000000005</v>
      </c>
      <c r="K11">
        <f t="shared" si="0"/>
        <v>6.9407242061742452E-2</v>
      </c>
      <c r="M11">
        <f t="shared" si="4"/>
        <v>7.2566829098410848</v>
      </c>
      <c r="N11">
        <f t="shared" si="1"/>
        <v>-2.6677640644390439</v>
      </c>
      <c r="Q11">
        <f t="shared" si="5"/>
        <v>3.1515373446656159</v>
      </c>
      <c r="R11">
        <f t="shared" si="6"/>
        <v>-1.158595212205668</v>
      </c>
    </row>
  </sheetData>
  <sortState ref="G2:I11">
    <sortCondition ref="G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J20" sqref="J20"/>
    </sheetView>
  </sheetViews>
  <sheetFormatPr defaultRowHeight="15" x14ac:dyDescent="0.25"/>
  <cols>
    <col min="3" max="3" width="12.5703125" bestFit="1" customWidth="1"/>
    <col min="4" max="4" width="8.42578125" bestFit="1" customWidth="1"/>
    <col min="5" max="5" width="17.28515625" bestFit="1" customWidth="1"/>
    <col min="6" max="6" width="12.28515625" bestFit="1" customWidth="1"/>
    <col min="7" max="7" width="10.42578125" bestFit="1" customWidth="1"/>
    <col min="8" max="8" width="12.7109375" bestFit="1" customWidth="1"/>
    <col min="9" max="9" width="11.5703125" bestFit="1" customWidth="1"/>
    <col min="10" max="10" width="11.5703125" customWidth="1"/>
    <col min="12" max="12" width="9.140625" customWidth="1"/>
  </cols>
  <sheetData>
    <row r="1" spans="1:20" x14ac:dyDescent="0.25">
      <c r="A1" t="s">
        <v>25</v>
      </c>
    </row>
    <row r="2" spans="1:20" x14ac:dyDescent="0.25">
      <c r="S2" t="s">
        <v>5</v>
      </c>
    </row>
    <row r="3" spans="1:20" x14ac:dyDescent="0.25">
      <c r="B3" t="s">
        <v>3</v>
      </c>
      <c r="C3" t="s">
        <v>6</v>
      </c>
      <c r="D3" t="s">
        <v>7</v>
      </c>
      <c r="E3" t="s">
        <v>8</v>
      </c>
      <c r="F3" t="s">
        <v>9</v>
      </c>
      <c r="G3" t="s">
        <v>17</v>
      </c>
      <c r="H3" t="s">
        <v>21</v>
      </c>
      <c r="I3" t="s">
        <v>18</v>
      </c>
      <c r="J3" t="s">
        <v>20</v>
      </c>
      <c r="K3" t="s">
        <v>19</v>
      </c>
    </row>
    <row r="4" spans="1:20" x14ac:dyDescent="0.25">
      <c r="A4" t="s">
        <v>12</v>
      </c>
      <c r="B4">
        <v>1173</v>
      </c>
      <c r="C4" s="1">
        <v>11940</v>
      </c>
      <c r="D4" s="2">
        <v>1925.28</v>
      </c>
      <c r="E4">
        <f>D4*60*60*24</f>
        <v>166344192</v>
      </c>
      <c r="F4">
        <f t="shared" ref="F4:F9" si="0">C4*EXP(-LN(2)*$T$6/E4)</f>
        <v>11647.044370655298</v>
      </c>
      <c r="G4">
        <v>99.85</v>
      </c>
      <c r="H4">
        <f>G4/100</f>
        <v>0.99849999999999994</v>
      </c>
      <c r="I4">
        <v>62</v>
      </c>
      <c r="J4">
        <v>4400</v>
      </c>
      <c r="K4">
        <f>J4/I4</f>
        <v>70.967741935483872</v>
      </c>
      <c r="L4">
        <f>K4/(F4*H4*$T$14/(4*PI()))</f>
        <v>2.1576502302921328E-2</v>
      </c>
    </row>
    <row r="5" spans="1:20" x14ac:dyDescent="0.25">
      <c r="A5" t="s">
        <v>12</v>
      </c>
      <c r="B5">
        <v>1332</v>
      </c>
      <c r="C5" s="1">
        <v>11941</v>
      </c>
      <c r="D5" s="2">
        <v>1926.28</v>
      </c>
      <c r="E5">
        <f>D5*60*60*24</f>
        <v>166430592</v>
      </c>
      <c r="F5">
        <f t="shared" si="0"/>
        <v>11648.170050989111</v>
      </c>
      <c r="G5">
        <v>99.98</v>
      </c>
      <c r="H5">
        <f t="shared" ref="H5:H13" si="1">G5/100</f>
        <v>0.99980000000000002</v>
      </c>
      <c r="I5">
        <v>62</v>
      </c>
      <c r="J5">
        <v>4000</v>
      </c>
      <c r="K5">
        <f t="shared" ref="K5:K13" si="2">J5/I5</f>
        <v>64.516129032258064</v>
      </c>
      <c r="L5">
        <f>K5/(F5*H5*$T$14/(4*PI()))</f>
        <v>1.9587604358900425E-2</v>
      </c>
    </row>
    <row r="6" spans="1:20" x14ac:dyDescent="0.25">
      <c r="A6" t="s">
        <v>13</v>
      </c>
      <c r="B6">
        <v>302.89999999999998</v>
      </c>
      <c r="C6" s="1">
        <v>52400</v>
      </c>
      <c r="D6">
        <v>10.551</v>
      </c>
      <c r="E6">
        <f>D6*31415900</f>
        <v>331469160.89999998</v>
      </c>
      <c r="F6">
        <f t="shared" si="0"/>
        <v>51750.809442029342</v>
      </c>
      <c r="G6">
        <v>18.34</v>
      </c>
      <c r="H6">
        <f t="shared" si="1"/>
        <v>0.18340000000000001</v>
      </c>
      <c r="I6">
        <v>39</v>
      </c>
      <c r="J6">
        <v>9400</v>
      </c>
      <c r="K6">
        <f t="shared" si="2"/>
        <v>241.02564102564102</v>
      </c>
      <c r="L6">
        <f t="shared" ref="L6:L13" si="3">K6/(F6*H6*$T$14/(4*PI()))</f>
        <v>8.9790548464661751E-2</v>
      </c>
      <c r="S6" t="s">
        <v>10</v>
      </c>
      <c r="T6">
        <f>69*60*60*24</f>
        <v>5961600</v>
      </c>
    </row>
    <row r="7" spans="1:20" x14ac:dyDescent="0.25">
      <c r="A7" t="s">
        <v>13</v>
      </c>
      <c r="B7">
        <v>356</v>
      </c>
      <c r="C7" s="1">
        <v>52400</v>
      </c>
      <c r="D7">
        <v>10.551</v>
      </c>
      <c r="E7">
        <f>D7*31415900</f>
        <v>331469160.89999998</v>
      </c>
      <c r="F7">
        <f t="shared" si="0"/>
        <v>51750.809442029342</v>
      </c>
      <c r="G7">
        <v>62.05</v>
      </c>
      <c r="H7">
        <f t="shared" si="1"/>
        <v>0.62049999999999994</v>
      </c>
      <c r="I7">
        <v>39</v>
      </c>
      <c r="J7" s="1">
        <v>40000</v>
      </c>
      <c r="K7">
        <f t="shared" si="2"/>
        <v>1025.6410256410256</v>
      </c>
      <c r="L7">
        <f>K7/(F7*H7*$T$14/(4*PI()))</f>
        <v>0.11293285503056195</v>
      </c>
    </row>
    <row r="8" spans="1:20" x14ac:dyDescent="0.25">
      <c r="A8" t="s">
        <v>14</v>
      </c>
      <c r="B8">
        <v>661.7</v>
      </c>
      <c r="C8" s="1">
        <v>201000</v>
      </c>
      <c r="D8">
        <v>30.08</v>
      </c>
      <c r="E8">
        <f>D8*31415900</f>
        <v>944990272</v>
      </c>
      <c r="F8">
        <f t="shared" si="0"/>
        <v>200122.98339628257</v>
      </c>
      <c r="G8">
        <v>85.1</v>
      </c>
      <c r="H8">
        <f t="shared" si="1"/>
        <v>0.85099999999999998</v>
      </c>
      <c r="I8">
        <v>22</v>
      </c>
      <c r="J8" s="1">
        <v>52000</v>
      </c>
      <c r="K8">
        <f t="shared" si="2"/>
        <v>2363.6363636363635</v>
      </c>
      <c r="L8">
        <f t="shared" si="3"/>
        <v>4.9072478142330477E-2</v>
      </c>
    </row>
    <row r="9" spans="1:20" x14ac:dyDescent="0.25">
      <c r="A9" t="s">
        <v>15</v>
      </c>
      <c r="B9">
        <v>344.3</v>
      </c>
      <c r="C9" s="1">
        <v>71100</v>
      </c>
      <c r="D9">
        <v>13.528</v>
      </c>
      <c r="E9">
        <f>D9*31415900</f>
        <v>424994295.19999999</v>
      </c>
      <c r="F9">
        <f t="shared" si="0"/>
        <v>70412.036877806095</v>
      </c>
      <c r="G9">
        <v>26.6</v>
      </c>
      <c r="H9">
        <f t="shared" si="1"/>
        <v>0.26600000000000001</v>
      </c>
      <c r="I9">
        <v>46</v>
      </c>
      <c r="J9" s="1">
        <v>64000</v>
      </c>
      <c r="K9">
        <f t="shared" si="2"/>
        <v>1391.304347826087</v>
      </c>
      <c r="L9">
        <f t="shared" si="3"/>
        <v>0.26265002959324119</v>
      </c>
    </row>
    <row r="10" spans="1:20" x14ac:dyDescent="0.25">
      <c r="A10" t="s">
        <v>15</v>
      </c>
      <c r="B10">
        <v>778.9</v>
      </c>
      <c r="C10" s="1">
        <v>71100</v>
      </c>
      <c r="D10">
        <v>13.528</v>
      </c>
      <c r="E10">
        <f t="shared" ref="E10:E13" si="4">D10*31415900</f>
        <v>424994295.19999999</v>
      </c>
      <c r="F10">
        <f t="shared" ref="F10:F13" si="5">C10*EXP(-LN(2)*$T$6/E10)</f>
        <v>70412.036877806095</v>
      </c>
      <c r="G10">
        <v>12.96</v>
      </c>
      <c r="H10">
        <f t="shared" si="1"/>
        <v>0.12960000000000002</v>
      </c>
      <c r="I10">
        <v>46</v>
      </c>
      <c r="J10" s="1">
        <v>6700</v>
      </c>
      <c r="K10">
        <f t="shared" si="2"/>
        <v>145.65217391304347</v>
      </c>
      <c r="L10">
        <f t="shared" si="3"/>
        <v>5.6435050484793865E-2</v>
      </c>
    </row>
    <row r="11" spans="1:20" x14ac:dyDescent="0.25">
      <c r="A11" t="s">
        <v>15</v>
      </c>
      <c r="B11">
        <v>964.1</v>
      </c>
      <c r="C11" s="1">
        <v>71100</v>
      </c>
      <c r="D11">
        <v>13.528</v>
      </c>
      <c r="E11">
        <f t="shared" si="4"/>
        <v>424994295.19999999</v>
      </c>
      <c r="F11">
        <f t="shared" si="5"/>
        <v>70412.036877806095</v>
      </c>
      <c r="G11">
        <v>14.65</v>
      </c>
      <c r="H11">
        <f t="shared" si="1"/>
        <v>0.14649999999999999</v>
      </c>
      <c r="I11">
        <v>46</v>
      </c>
      <c r="J11" s="1">
        <v>5800</v>
      </c>
      <c r="K11">
        <f t="shared" si="2"/>
        <v>126.08695652173913</v>
      </c>
      <c r="L11">
        <f t="shared" si="3"/>
        <v>4.3218479698853729E-2</v>
      </c>
    </row>
    <row r="12" spans="1:20" x14ac:dyDescent="0.25">
      <c r="A12" t="s">
        <v>15</v>
      </c>
      <c r="B12">
        <v>1112</v>
      </c>
      <c r="C12" s="1">
        <v>71100</v>
      </c>
      <c r="D12">
        <v>13.528</v>
      </c>
      <c r="E12">
        <f t="shared" si="4"/>
        <v>424994295.19999999</v>
      </c>
      <c r="F12">
        <f t="shared" si="5"/>
        <v>70412.036877806095</v>
      </c>
      <c r="G12">
        <v>13.69</v>
      </c>
      <c r="H12">
        <f t="shared" si="1"/>
        <v>0.13689999999999999</v>
      </c>
      <c r="I12">
        <v>46</v>
      </c>
      <c r="J12" s="1">
        <v>8900</v>
      </c>
      <c r="K12">
        <f t="shared" si="2"/>
        <v>193.47826086956522</v>
      </c>
      <c r="L12">
        <f t="shared" si="3"/>
        <v>7.0968508041800493E-2</v>
      </c>
    </row>
    <row r="13" spans="1:20" x14ac:dyDescent="0.25">
      <c r="A13" t="s">
        <v>15</v>
      </c>
      <c r="B13">
        <v>1408</v>
      </c>
      <c r="C13" s="1">
        <v>71100</v>
      </c>
      <c r="D13">
        <v>13.528</v>
      </c>
      <c r="E13">
        <f t="shared" si="4"/>
        <v>424994295.19999999</v>
      </c>
      <c r="F13">
        <f t="shared" si="5"/>
        <v>70412.036877806095</v>
      </c>
      <c r="G13">
        <v>21.07</v>
      </c>
      <c r="H13">
        <f t="shared" si="1"/>
        <v>0.2107</v>
      </c>
      <c r="I13">
        <v>46</v>
      </c>
      <c r="J13" s="1">
        <v>5400</v>
      </c>
      <c r="K13">
        <f t="shared" si="2"/>
        <v>117.39130434782609</v>
      </c>
      <c r="L13">
        <f t="shared" si="3"/>
        <v>2.7977463700442844E-2</v>
      </c>
    </row>
    <row r="14" spans="1:20" x14ac:dyDescent="0.25">
      <c r="A14" t="s">
        <v>16</v>
      </c>
      <c r="C14" s="1">
        <v>476000</v>
      </c>
      <c r="D14">
        <v>432.6</v>
      </c>
      <c r="E14">
        <f>D14*31415900</f>
        <v>13590518340</v>
      </c>
      <c r="F14">
        <f>C14*EXP(-LN(2)*$T$6/E14)</f>
        <v>475855.29177949985</v>
      </c>
      <c r="S14" t="s">
        <v>11</v>
      </c>
      <c r="T14">
        <f>2*PI()*(1-(0.057)*(SQRT(0.057^2+7.62^2)))</f>
        <v>3.5540702500941332</v>
      </c>
    </row>
    <row r="16" spans="1:20" x14ac:dyDescent="0.25">
      <c r="A16" t="s">
        <v>24</v>
      </c>
    </row>
    <row r="17" spans="1:19" x14ac:dyDescent="0.25">
      <c r="S17" t="s">
        <v>23</v>
      </c>
    </row>
    <row r="20" spans="1:19" x14ac:dyDescent="0.25">
      <c r="A20" t="s">
        <v>22</v>
      </c>
      <c r="B20">
        <v>511</v>
      </c>
      <c r="C20" s="1">
        <v>50000</v>
      </c>
      <c r="D20">
        <v>59.1</v>
      </c>
      <c r="E20">
        <f t="shared" ref="E20:E26" si="6">D20*365.25*24*60*60</f>
        <v>1865054160.0000002</v>
      </c>
      <c r="F20">
        <f t="shared" ref="F20:F26" si="7">C20*EXP(-LN(2)*$T$6/E20)</f>
        <v>49889.341234244792</v>
      </c>
      <c r="G20">
        <v>188.4</v>
      </c>
      <c r="H20">
        <f t="shared" ref="H20:H26" si="8">G20/100</f>
        <v>1.8840000000000001</v>
      </c>
      <c r="I20">
        <f>10*60</f>
        <v>600</v>
      </c>
      <c r="K20">
        <f t="shared" ref="K20:K26" si="9">J20/I20</f>
        <v>0</v>
      </c>
      <c r="L20">
        <f t="shared" ref="L20:L26" si="10">K20/(F20*H20*$T$14/(4*PI()))</f>
        <v>0</v>
      </c>
    </row>
    <row r="21" spans="1:19" x14ac:dyDescent="0.25">
      <c r="A21" t="s">
        <v>22</v>
      </c>
      <c r="B21">
        <v>1157</v>
      </c>
      <c r="C21" s="1">
        <v>50000</v>
      </c>
      <c r="D21">
        <v>59.1</v>
      </c>
      <c r="E21">
        <f t="shared" si="6"/>
        <v>1865054160.0000002</v>
      </c>
      <c r="F21">
        <f t="shared" si="7"/>
        <v>49889.341234244792</v>
      </c>
      <c r="G21">
        <v>99.9</v>
      </c>
      <c r="H21">
        <f t="shared" si="8"/>
        <v>0.99900000000000011</v>
      </c>
      <c r="I21">
        <f t="shared" ref="I21:I26" si="11">10*60</f>
        <v>600</v>
      </c>
      <c r="K21">
        <f t="shared" si="9"/>
        <v>0</v>
      </c>
      <c r="L21">
        <f t="shared" si="10"/>
        <v>0</v>
      </c>
    </row>
    <row r="22" spans="1:19" x14ac:dyDescent="0.25">
      <c r="A22" t="s">
        <v>22</v>
      </c>
      <c r="B22">
        <v>1449</v>
      </c>
      <c r="C22" s="1">
        <v>50000</v>
      </c>
      <c r="D22">
        <v>59.1</v>
      </c>
      <c r="E22">
        <f t="shared" si="6"/>
        <v>1865054160.0000002</v>
      </c>
      <c r="F22">
        <f t="shared" si="7"/>
        <v>49889.341234244792</v>
      </c>
      <c r="G22">
        <v>0.90800000000000003</v>
      </c>
      <c r="H22">
        <f t="shared" si="8"/>
        <v>9.0799999999999995E-3</v>
      </c>
      <c r="I22">
        <f t="shared" si="11"/>
        <v>600</v>
      </c>
      <c r="K22">
        <f t="shared" si="9"/>
        <v>0</v>
      </c>
      <c r="L22">
        <f t="shared" si="10"/>
        <v>0</v>
      </c>
    </row>
    <row r="23" spans="1:19" x14ac:dyDescent="0.25">
      <c r="A23" t="s">
        <v>22</v>
      </c>
      <c r="B23">
        <v>2656</v>
      </c>
      <c r="C23" s="1">
        <v>50000</v>
      </c>
      <c r="D23">
        <v>59.1</v>
      </c>
      <c r="E23">
        <f t="shared" si="6"/>
        <v>1865054160.0000002</v>
      </c>
      <c r="F23">
        <f t="shared" si="7"/>
        <v>49889.341234244792</v>
      </c>
      <c r="G23">
        <v>0.112</v>
      </c>
      <c r="H23">
        <f t="shared" si="8"/>
        <v>1.1200000000000001E-3</v>
      </c>
      <c r="I23">
        <f t="shared" si="11"/>
        <v>600</v>
      </c>
      <c r="K23">
        <f t="shared" si="9"/>
        <v>0</v>
      </c>
      <c r="L23">
        <f t="shared" si="10"/>
        <v>0</v>
      </c>
    </row>
    <row r="24" spans="1:19" x14ac:dyDescent="0.25">
      <c r="A24" t="s">
        <v>12</v>
      </c>
      <c r="B24">
        <v>1173</v>
      </c>
      <c r="C24" s="1">
        <v>11940</v>
      </c>
      <c r="D24" s="2">
        <v>1925.28</v>
      </c>
      <c r="E24">
        <f t="shared" si="6"/>
        <v>60757216128.000008</v>
      </c>
      <c r="F24">
        <f t="shared" si="7"/>
        <v>11939.187955206999</v>
      </c>
      <c r="G24">
        <v>99.85</v>
      </c>
      <c r="H24">
        <f t="shared" si="8"/>
        <v>0.99849999999999994</v>
      </c>
      <c r="I24">
        <f t="shared" si="11"/>
        <v>600</v>
      </c>
      <c r="K24">
        <f t="shared" si="9"/>
        <v>0</v>
      </c>
      <c r="L24">
        <f t="shared" si="10"/>
        <v>0</v>
      </c>
    </row>
    <row r="25" spans="1:19" x14ac:dyDescent="0.25">
      <c r="A25" t="s">
        <v>12</v>
      </c>
      <c r="B25">
        <v>1332</v>
      </c>
      <c r="C25" s="1">
        <v>11941</v>
      </c>
      <c r="D25" s="2">
        <v>1926.28</v>
      </c>
      <c r="E25">
        <f t="shared" si="6"/>
        <v>60788773728.000008</v>
      </c>
      <c r="F25">
        <f t="shared" si="7"/>
        <v>11940.188308778665</v>
      </c>
      <c r="G25">
        <v>99.98</v>
      </c>
      <c r="H25">
        <f t="shared" si="8"/>
        <v>0.99980000000000002</v>
      </c>
      <c r="I25">
        <f t="shared" si="11"/>
        <v>600</v>
      </c>
      <c r="K25">
        <f t="shared" si="9"/>
        <v>0</v>
      </c>
      <c r="L25">
        <f t="shared" si="10"/>
        <v>0</v>
      </c>
    </row>
    <row r="26" spans="1:19" x14ac:dyDescent="0.25">
      <c r="A26" t="s">
        <v>14</v>
      </c>
      <c r="B26">
        <v>661.7</v>
      </c>
      <c r="C26" s="1">
        <v>201000</v>
      </c>
      <c r="D26">
        <v>30.08</v>
      </c>
      <c r="E26">
        <f t="shared" si="6"/>
        <v>949252607.99999988</v>
      </c>
      <c r="F26">
        <f t="shared" si="7"/>
        <v>200126.91281285021</v>
      </c>
      <c r="G26">
        <v>85.1</v>
      </c>
      <c r="H26">
        <f t="shared" si="8"/>
        <v>0.85099999999999998</v>
      </c>
      <c r="I26">
        <f t="shared" si="11"/>
        <v>600</v>
      </c>
      <c r="K26">
        <f t="shared" si="9"/>
        <v>0</v>
      </c>
      <c r="L26">
        <f t="shared" si="1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R2" sqref="R2:S14"/>
    </sheetView>
  </sheetViews>
  <sheetFormatPr defaultRowHeight="15" x14ac:dyDescent="0.25"/>
  <cols>
    <col min="3" max="3" width="12.5703125" bestFit="1" customWidth="1"/>
    <col min="4" max="4" width="8.42578125" bestFit="1" customWidth="1"/>
    <col min="5" max="5" width="17.28515625" bestFit="1" customWidth="1"/>
    <col min="6" max="6" width="12.28515625" bestFit="1" customWidth="1"/>
    <col min="7" max="7" width="10.42578125" bestFit="1" customWidth="1"/>
    <col min="8" max="8" width="10.42578125" customWidth="1"/>
    <col min="9" max="9" width="11.5703125" bestFit="1" customWidth="1"/>
    <col min="11" max="11" width="9.140625" customWidth="1"/>
  </cols>
  <sheetData>
    <row r="1" spans="1:19" x14ac:dyDescent="0.25">
      <c r="B1" t="s">
        <v>3</v>
      </c>
      <c r="C1" t="s">
        <v>6</v>
      </c>
      <c r="D1" t="s">
        <v>7</v>
      </c>
      <c r="E1" t="s">
        <v>8</v>
      </c>
      <c r="F1" t="s">
        <v>9</v>
      </c>
      <c r="G1" t="s">
        <v>17</v>
      </c>
      <c r="I1" t="s">
        <v>18</v>
      </c>
      <c r="J1" t="s">
        <v>19</v>
      </c>
    </row>
    <row r="2" spans="1:19" x14ac:dyDescent="0.25">
      <c r="A2" t="s">
        <v>12</v>
      </c>
      <c r="B2">
        <v>1173</v>
      </c>
      <c r="C2" s="1">
        <v>11940</v>
      </c>
      <c r="D2" s="2">
        <v>1925.28</v>
      </c>
      <c r="E2">
        <f>D2*60*60*24</f>
        <v>166344192</v>
      </c>
      <c r="F2">
        <f t="shared" ref="F2:F11" si="0">C2*EXP(-LN(2)*$S$6/E2)</f>
        <v>11647.044370655298</v>
      </c>
      <c r="G2">
        <v>99.85</v>
      </c>
      <c r="H2">
        <f>G2/100</f>
        <v>0.99849999999999994</v>
      </c>
      <c r="I2">
        <v>62</v>
      </c>
      <c r="J2">
        <v>63.68</v>
      </c>
      <c r="K2">
        <f>J2/(F2*H2*$S$14/(4*PI()))</f>
        <v>1.9360791666432241E-2</v>
      </c>
      <c r="R2" t="s">
        <v>5</v>
      </c>
    </row>
    <row r="3" spans="1:19" x14ac:dyDescent="0.25">
      <c r="A3" t="s">
        <v>12</v>
      </c>
      <c r="B3">
        <v>1332</v>
      </c>
      <c r="C3" s="1">
        <v>11941</v>
      </c>
      <c r="D3" s="2">
        <v>1926.28</v>
      </c>
      <c r="E3">
        <f>D3*60*60*24</f>
        <v>166430592</v>
      </c>
      <c r="F3">
        <f t="shared" si="0"/>
        <v>11648.170050989111</v>
      </c>
      <c r="G3">
        <v>99.98</v>
      </c>
      <c r="H3">
        <f t="shared" ref="H3:H11" si="1">G3/100</f>
        <v>0.99980000000000002</v>
      </c>
      <c r="I3">
        <v>62</v>
      </c>
      <c r="J3">
        <v>54.95</v>
      </c>
      <c r="K3">
        <f>J3/(F3*H3*$S$14/(4*PI()))</f>
        <v>1.6683252322584465E-2</v>
      </c>
    </row>
    <row r="4" spans="1:19" x14ac:dyDescent="0.25">
      <c r="A4" t="s">
        <v>13</v>
      </c>
      <c r="B4">
        <v>302.89999999999998</v>
      </c>
      <c r="C4" s="1">
        <v>52400</v>
      </c>
      <c r="D4">
        <v>10.551</v>
      </c>
      <c r="E4">
        <f>D4*31415900</f>
        <v>331469160.89999998</v>
      </c>
      <c r="F4">
        <f t="shared" si="0"/>
        <v>51750.809442029342</v>
      </c>
      <c r="G4">
        <v>18.34</v>
      </c>
      <c r="H4">
        <f t="shared" si="1"/>
        <v>0.18340000000000001</v>
      </c>
      <c r="I4">
        <v>39</v>
      </c>
      <c r="J4">
        <v>41.28</v>
      </c>
      <c r="K4">
        <f t="shared" ref="K4:K11" si="2">J4/(F4*H4*$S$14/(4*PI()))</f>
        <v>1.5378255296194495E-2</v>
      </c>
    </row>
    <row r="5" spans="1:19" x14ac:dyDescent="0.25">
      <c r="A5" t="s">
        <v>13</v>
      </c>
      <c r="B5">
        <v>356</v>
      </c>
      <c r="C5" s="1">
        <v>52400</v>
      </c>
      <c r="D5">
        <v>10.551</v>
      </c>
      <c r="E5">
        <f>D5*31415900</f>
        <v>331469160.89999998</v>
      </c>
      <c r="F5">
        <f t="shared" si="0"/>
        <v>51750.809442029342</v>
      </c>
      <c r="G5">
        <v>62.05</v>
      </c>
      <c r="H5">
        <f t="shared" si="1"/>
        <v>0.62049999999999994</v>
      </c>
      <c r="I5">
        <v>39</v>
      </c>
      <c r="J5">
        <v>376.7</v>
      </c>
      <c r="K5">
        <f>J5/(F5*H5*$S$14/(4*PI()))</f>
        <v>4.1478261327762368E-2</v>
      </c>
    </row>
    <row r="6" spans="1:19" x14ac:dyDescent="0.25">
      <c r="A6" t="s">
        <v>14</v>
      </c>
      <c r="B6">
        <v>661.7</v>
      </c>
      <c r="C6" s="1">
        <v>201000</v>
      </c>
      <c r="D6">
        <v>30.08</v>
      </c>
      <c r="E6">
        <f>D6*31415900</f>
        <v>944990272</v>
      </c>
      <c r="F6">
        <f t="shared" si="0"/>
        <v>200122.98339628257</v>
      </c>
      <c r="G6">
        <v>85.1</v>
      </c>
      <c r="H6">
        <f t="shared" si="1"/>
        <v>0.85099999999999998</v>
      </c>
      <c r="I6">
        <v>22</v>
      </c>
      <c r="J6">
        <v>2475</v>
      </c>
      <c r="K6">
        <f t="shared" si="2"/>
        <v>5.1384546824036433E-2</v>
      </c>
      <c r="R6" t="s">
        <v>10</v>
      </c>
      <c r="S6">
        <f>69*60*60*24</f>
        <v>5961600</v>
      </c>
    </row>
    <row r="7" spans="1:19" x14ac:dyDescent="0.25">
      <c r="A7" t="s">
        <v>15</v>
      </c>
      <c r="B7">
        <v>344.3</v>
      </c>
      <c r="C7" s="1">
        <v>71100</v>
      </c>
      <c r="D7">
        <v>13.528</v>
      </c>
      <c r="E7">
        <f>D7*31415900</f>
        <v>424994295.19999999</v>
      </c>
      <c r="F7">
        <f t="shared" si="0"/>
        <v>70412.036877806095</v>
      </c>
      <c r="G7">
        <v>26.6</v>
      </c>
      <c r="H7">
        <f t="shared" si="1"/>
        <v>0.26600000000000001</v>
      </c>
      <c r="I7">
        <v>46</v>
      </c>
      <c r="J7">
        <v>227.2</v>
      </c>
      <c r="K7">
        <f t="shared" si="2"/>
        <v>4.2890749832576285E-2</v>
      </c>
    </row>
    <row r="8" spans="1:19" x14ac:dyDescent="0.25">
      <c r="A8" t="s">
        <v>15</v>
      </c>
      <c r="B8">
        <v>778.9</v>
      </c>
      <c r="C8" s="1">
        <v>71100</v>
      </c>
      <c r="D8">
        <v>13.528</v>
      </c>
      <c r="E8">
        <f t="shared" ref="E8:E11" si="3">D8*31415900</f>
        <v>424994295.19999999</v>
      </c>
      <c r="F8">
        <f t="shared" si="0"/>
        <v>70412.036877806095</v>
      </c>
      <c r="G8">
        <v>12.96</v>
      </c>
      <c r="H8">
        <f t="shared" si="1"/>
        <v>0.12960000000000002</v>
      </c>
      <c r="I8">
        <v>46</v>
      </c>
      <c r="J8">
        <v>68.02</v>
      </c>
      <c r="K8">
        <f t="shared" si="2"/>
        <v>2.6355337039236006E-2</v>
      </c>
    </row>
    <row r="9" spans="1:19" x14ac:dyDescent="0.25">
      <c r="A9" t="s">
        <v>15</v>
      </c>
      <c r="B9">
        <v>964.1</v>
      </c>
      <c r="C9" s="1">
        <v>71100</v>
      </c>
      <c r="D9">
        <v>13.528</v>
      </c>
      <c r="E9">
        <f t="shared" si="3"/>
        <v>424994295.19999999</v>
      </c>
      <c r="F9">
        <f t="shared" si="0"/>
        <v>70412.036877806095</v>
      </c>
      <c r="G9">
        <v>14.65</v>
      </c>
      <c r="H9">
        <f t="shared" si="1"/>
        <v>0.14649999999999999</v>
      </c>
      <c r="I9">
        <v>46</v>
      </c>
      <c r="J9">
        <v>38.04</v>
      </c>
      <c r="K9">
        <f t="shared" si="2"/>
        <v>1.3038866295903829E-2</v>
      </c>
    </row>
    <row r="10" spans="1:19" x14ac:dyDescent="0.25">
      <c r="A10" t="s">
        <v>15</v>
      </c>
      <c r="B10">
        <v>1112</v>
      </c>
      <c r="C10" s="1">
        <v>71100</v>
      </c>
      <c r="D10">
        <v>13.528</v>
      </c>
      <c r="E10">
        <f t="shared" si="3"/>
        <v>424994295.19999999</v>
      </c>
      <c r="F10">
        <f t="shared" si="0"/>
        <v>70412.036877806095</v>
      </c>
      <c r="G10">
        <v>13.69</v>
      </c>
      <c r="H10">
        <f t="shared" si="1"/>
        <v>0.13689999999999999</v>
      </c>
      <c r="I10">
        <v>46</v>
      </c>
      <c r="J10">
        <v>56.39</v>
      </c>
      <c r="K10">
        <f t="shared" si="2"/>
        <v>2.068405075842112E-2</v>
      </c>
    </row>
    <row r="11" spans="1:19" x14ac:dyDescent="0.25">
      <c r="A11" t="s">
        <v>15</v>
      </c>
      <c r="B11">
        <v>1408</v>
      </c>
      <c r="C11" s="1">
        <v>71100</v>
      </c>
      <c r="D11">
        <v>13.528</v>
      </c>
      <c r="E11">
        <f t="shared" si="3"/>
        <v>424994295.19999999</v>
      </c>
      <c r="F11">
        <f t="shared" si="0"/>
        <v>70412.036877806095</v>
      </c>
      <c r="G11">
        <v>21.07</v>
      </c>
      <c r="H11">
        <f t="shared" si="1"/>
        <v>0.2107</v>
      </c>
      <c r="I11">
        <v>46</v>
      </c>
      <c r="J11">
        <v>74.459999999999994</v>
      </c>
      <c r="K11">
        <f t="shared" si="2"/>
        <v>1.7745794364483113E-2</v>
      </c>
    </row>
    <row r="12" spans="1:19" x14ac:dyDescent="0.25">
      <c r="A12" t="s">
        <v>16</v>
      </c>
      <c r="C12" s="1">
        <v>476000</v>
      </c>
      <c r="D12">
        <v>432.6</v>
      </c>
      <c r="E12">
        <f>D12*31415900</f>
        <v>13590518340</v>
      </c>
      <c r="F12">
        <f>C12*EXP(-LN(2)*$S$6/E12)</f>
        <v>475855.29177949985</v>
      </c>
    </row>
    <row r="14" spans="1:19" x14ac:dyDescent="0.25">
      <c r="R14" t="s">
        <v>11</v>
      </c>
      <c r="S14">
        <f>2*PI()*(1-(0.057)*(SQRT(0.057^2+7.62^2)))</f>
        <v>3.5540702500941332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48576"/>
  <sheetViews>
    <sheetView tabSelected="1" workbookViewId="0">
      <selection activeCell="J42" sqref="J42"/>
    </sheetView>
  </sheetViews>
  <sheetFormatPr defaultRowHeight="15" x14ac:dyDescent="0.25"/>
  <cols>
    <col min="2" max="2" width="8.5703125" bestFit="1" customWidth="1"/>
    <col min="3" max="3" width="11.28515625" bestFit="1" customWidth="1"/>
    <col min="4" max="4" width="8.5703125" bestFit="1" customWidth="1"/>
    <col min="5" max="5" width="11.28515625" bestFit="1" customWidth="1"/>
    <col min="6" max="6" width="15.28515625" bestFit="1" customWidth="1"/>
    <col min="7" max="7" width="8.85546875" bestFit="1" customWidth="1"/>
    <col min="8" max="8" width="15.28515625" bestFit="1" customWidth="1"/>
    <col min="9" max="9" width="11.5703125" bestFit="1" customWidth="1"/>
    <col min="10" max="10" width="8.5703125" bestFit="1" customWidth="1"/>
    <col min="11" max="11" width="12" bestFit="1" customWidth="1"/>
  </cols>
  <sheetData>
    <row r="2" spans="1:11" x14ac:dyDescent="0.25">
      <c r="B2" t="s">
        <v>26</v>
      </c>
      <c r="C2" t="s">
        <v>28</v>
      </c>
      <c r="D2" t="s">
        <v>27</v>
      </c>
      <c r="E2" t="s">
        <v>28</v>
      </c>
      <c r="F2" t="s">
        <v>29</v>
      </c>
      <c r="G2" t="s">
        <v>20</v>
      </c>
      <c r="H2" t="s">
        <v>30</v>
      </c>
    </row>
    <row r="3" spans="1:11" x14ac:dyDescent="0.25">
      <c r="A3">
        <v>0.08</v>
      </c>
      <c r="B3" s="4">
        <v>407</v>
      </c>
      <c r="C3" s="1">
        <v>480</v>
      </c>
      <c r="D3" s="3">
        <v>1734</v>
      </c>
      <c r="E3">
        <v>37</v>
      </c>
      <c r="F3" s="1">
        <f>0.5*(C3+E3)*(D3-B3)</f>
        <v>343029.5</v>
      </c>
      <c r="G3" s="1">
        <v>3820000</v>
      </c>
      <c r="H3" s="1">
        <f>G3-F3</f>
        <v>3476970.5</v>
      </c>
      <c r="I3" s="1">
        <f>H3*A3</f>
        <v>278157.64</v>
      </c>
      <c r="J3">
        <f>LN(I3)</f>
        <v>12.535943282320183</v>
      </c>
      <c r="K3">
        <f>-A3/J3</f>
        <v>-6.381649804751941E-3</v>
      </c>
    </row>
    <row r="4" spans="1:11" x14ac:dyDescent="0.25">
      <c r="A4">
        <v>0.1</v>
      </c>
      <c r="B4" s="4">
        <v>400</v>
      </c>
      <c r="C4" s="1">
        <v>390</v>
      </c>
      <c r="D4" s="2">
        <v>1752</v>
      </c>
      <c r="E4">
        <v>17</v>
      </c>
      <c r="F4" s="1">
        <f t="shared" ref="F4:F25" si="0">0.5*(C4+E4)*(D4-B4)</f>
        <v>275132</v>
      </c>
      <c r="G4" s="1">
        <v>3099200</v>
      </c>
      <c r="H4" s="1">
        <f>G4-F4</f>
        <v>2824068</v>
      </c>
      <c r="I4" s="1">
        <f t="shared" ref="I4:I13" si="1">H4*A4</f>
        <v>282406.8</v>
      </c>
      <c r="J4">
        <f t="shared" ref="J4:J13" si="2">LN(I4)</f>
        <v>12.551103863631436</v>
      </c>
      <c r="K4">
        <f t="shared" ref="K4:K13" si="3">-A4/J4</f>
        <v>-7.967426697006617E-3</v>
      </c>
    </row>
    <row r="5" spans="1:11" x14ac:dyDescent="0.25">
      <c r="A5">
        <v>0.12</v>
      </c>
      <c r="B5" s="4">
        <v>399</v>
      </c>
      <c r="C5" s="1">
        <v>220</v>
      </c>
      <c r="D5">
        <v>1755</v>
      </c>
      <c r="E5">
        <v>19</v>
      </c>
      <c r="F5" s="1">
        <f t="shared" si="0"/>
        <v>162042</v>
      </c>
      <c r="G5" s="1">
        <v>2291000</v>
      </c>
      <c r="H5" s="1">
        <f>G5-F5</f>
        <v>2128958</v>
      </c>
      <c r="I5" s="1">
        <f t="shared" si="1"/>
        <v>255474.96</v>
      </c>
      <c r="J5">
        <f t="shared" si="2"/>
        <v>12.450879679909304</v>
      </c>
      <c r="K5">
        <f t="shared" si="3"/>
        <v>-9.6378732334576785E-3</v>
      </c>
    </row>
    <row r="6" spans="1:11" x14ac:dyDescent="0.25">
      <c r="A6">
        <v>0.14000000000000001</v>
      </c>
      <c r="B6" s="4">
        <v>405</v>
      </c>
      <c r="C6" s="1">
        <v>200</v>
      </c>
      <c r="D6">
        <v>1768</v>
      </c>
      <c r="E6">
        <v>6.4</v>
      </c>
      <c r="F6" s="1">
        <f t="shared" si="0"/>
        <v>140661.6</v>
      </c>
      <c r="G6" s="1">
        <v>1643000</v>
      </c>
      <c r="H6" s="1">
        <f t="shared" ref="H6:H25" si="4">G6-F6</f>
        <v>1502338.4</v>
      </c>
      <c r="I6" s="1">
        <f t="shared" si="1"/>
        <v>210327.37600000002</v>
      </c>
      <c r="J6">
        <f t="shared" si="2"/>
        <v>12.256420529157774</v>
      </c>
      <c r="K6">
        <f t="shared" si="3"/>
        <v>-1.1422584568385434E-2</v>
      </c>
    </row>
    <row r="7" spans="1:11" x14ac:dyDescent="0.25">
      <c r="A7">
        <v>0.16</v>
      </c>
      <c r="B7" s="4">
        <v>401</v>
      </c>
      <c r="C7" s="1">
        <v>140</v>
      </c>
      <c r="D7">
        <v>1757</v>
      </c>
      <c r="E7">
        <v>3.6</v>
      </c>
      <c r="F7" s="1">
        <f t="shared" si="0"/>
        <v>97360.8</v>
      </c>
      <c r="G7" s="1">
        <v>1156000</v>
      </c>
      <c r="H7" s="1">
        <f t="shared" si="4"/>
        <v>1058639.2</v>
      </c>
      <c r="I7" s="1">
        <f t="shared" si="1"/>
        <v>169382.272</v>
      </c>
      <c r="J7">
        <f t="shared" si="2"/>
        <v>12.039913404011795</v>
      </c>
      <c r="K7">
        <f t="shared" si="3"/>
        <v>-1.3289132125043917E-2</v>
      </c>
    </row>
    <row r="8" spans="1:11" x14ac:dyDescent="0.25">
      <c r="A8">
        <v>0.18</v>
      </c>
      <c r="B8" s="4">
        <v>409</v>
      </c>
      <c r="C8" s="1">
        <v>100</v>
      </c>
      <c r="D8">
        <v>1759</v>
      </c>
      <c r="E8">
        <v>1.6</v>
      </c>
      <c r="F8" s="1">
        <f t="shared" si="0"/>
        <v>68580</v>
      </c>
      <c r="G8" s="1">
        <v>817782</v>
      </c>
      <c r="H8" s="1">
        <f t="shared" si="4"/>
        <v>749202</v>
      </c>
      <c r="I8" s="1">
        <f t="shared" si="1"/>
        <v>134856.35999999999</v>
      </c>
      <c r="J8">
        <f t="shared" si="2"/>
        <v>11.81196549097073</v>
      </c>
      <c r="K8">
        <f t="shared" si="3"/>
        <v>-1.5238784784597881E-2</v>
      </c>
    </row>
    <row r="9" spans="1:11" x14ac:dyDescent="0.25">
      <c r="A9">
        <v>0.2</v>
      </c>
      <c r="B9" s="4">
        <v>398</v>
      </c>
      <c r="C9" s="1">
        <v>70</v>
      </c>
      <c r="D9">
        <v>1757</v>
      </c>
      <c r="E9">
        <v>0.83</v>
      </c>
      <c r="F9" s="1">
        <f t="shared" si="0"/>
        <v>48128.985000000001</v>
      </c>
      <c r="G9" s="1">
        <v>575845</v>
      </c>
      <c r="H9" s="1">
        <f t="shared" si="4"/>
        <v>527716.01500000001</v>
      </c>
      <c r="I9" s="1">
        <f t="shared" si="1"/>
        <v>105543.20300000001</v>
      </c>
      <c r="J9">
        <f t="shared" si="2"/>
        <v>11.566875655182111</v>
      </c>
      <c r="K9">
        <f t="shared" si="3"/>
        <v>-1.7290753870116811E-2</v>
      </c>
    </row>
    <row r="10" spans="1:11" x14ac:dyDescent="0.25">
      <c r="A10">
        <v>0.22</v>
      </c>
      <c r="B10" s="4">
        <v>402</v>
      </c>
      <c r="C10" s="1">
        <v>50</v>
      </c>
      <c r="D10" s="2">
        <v>1756</v>
      </c>
      <c r="E10">
        <v>0.43</v>
      </c>
      <c r="F10" s="1">
        <f>0.5*(C10+E10)*(D10-B10)</f>
        <v>34141.11</v>
      </c>
      <c r="G10" s="1">
        <v>397794</v>
      </c>
      <c r="H10" s="1">
        <f t="shared" si="4"/>
        <v>363652.89</v>
      </c>
      <c r="I10" s="1">
        <f t="shared" si="1"/>
        <v>80003.635800000004</v>
      </c>
      <c r="J10">
        <f t="shared" si="2"/>
        <v>11.289827360123313</v>
      </c>
      <c r="K10">
        <f t="shared" si="3"/>
        <v>-1.9486569013186138E-2</v>
      </c>
    </row>
    <row r="11" spans="1:11" x14ac:dyDescent="0.25">
      <c r="A11">
        <v>0.24</v>
      </c>
      <c r="B11" s="4">
        <v>405</v>
      </c>
      <c r="C11" s="1">
        <v>35</v>
      </c>
      <c r="D11" s="2">
        <v>1759</v>
      </c>
      <c r="E11">
        <v>0.18</v>
      </c>
      <c r="F11" s="1">
        <f t="shared" si="0"/>
        <v>23816.86</v>
      </c>
      <c r="G11" s="1">
        <v>280046</v>
      </c>
      <c r="H11" s="1">
        <f t="shared" si="4"/>
        <v>256229.14</v>
      </c>
      <c r="I11" s="1">
        <f t="shared" si="1"/>
        <v>61494.993600000002</v>
      </c>
      <c r="J11">
        <f t="shared" si="2"/>
        <v>11.026711045603003</v>
      </c>
      <c r="K11">
        <f t="shared" si="3"/>
        <v>-2.1765329571749509E-2</v>
      </c>
    </row>
    <row r="12" spans="1:11" x14ac:dyDescent="0.25">
      <c r="A12">
        <v>0.26</v>
      </c>
      <c r="B12" s="4">
        <v>403</v>
      </c>
      <c r="C12" s="1">
        <v>25</v>
      </c>
      <c r="D12">
        <v>1752</v>
      </c>
      <c r="E12">
        <v>0.16</v>
      </c>
      <c r="F12" s="1">
        <f t="shared" si="0"/>
        <v>16970.420000000002</v>
      </c>
      <c r="G12" s="1">
        <v>196834</v>
      </c>
      <c r="H12" s="1">
        <f t="shared" si="4"/>
        <v>179863.58</v>
      </c>
      <c r="I12" s="1">
        <f t="shared" si="1"/>
        <v>46764.5308</v>
      </c>
      <c r="J12">
        <f t="shared" si="2"/>
        <v>10.752880305673873</v>
      </c>
      <c r="K12">
        <f t="shared" si="3"/>
        <v>-2.4179567949139006E-2</v>
      </c>
    </row>
    <row r="13" spans="1:11" x14ac:dyDescent="0.25">
      <c r="A13">
        <v>0.28000000000000003</v>
      </c>
      <c r="B13" s="4">
        <v>408</v>
      </c>
      <c r="C13" s="1">
        <v>18</v>
      </c>
      <c r="D13">
        <v>1749</v>
      </c>
      <c r="E13">
        <v>0.12</v>
      </c>
      <c r="F13" s="1">
        <f t="shared" si="0"/>
        <v>12149.460000000001</v>
      </c>
      <c r="G13" s="1">
        <v>139580</v>
      </c>
      <c r="H13" s="1">
        <f t="shared" si="4"/>
        <v>127430.54</v>
      </c>
      <c r="I13" s="1">
        <f t="shared" si="1"/>
        <v>35680.551200000002</v>
      </c>
      <c r="J13">
        <f t="shared" si="2"/>
        <v>10.482361035005113</v>
      </c>
      <c r="K13">
        <f t="shared" si="3"/>
        <v>-2.671153941988447E-2</v>
      </c>
    </row>
    <row r="14" spans="1:11" x14ac:dyDescent="0.25">
      <c r="F14" s="1"/>
      <c r="H14" s="1"/>
    </row>
    <row r="15" spans="1:11" x14ac:dyDescent="0.25">
      <c r="A15">
        <v>0.08</v>
      </c>
      <c r="B15" s="4">
        <v>403</v>
      </c>
      <c r="C15" s="1">
        <v>490</v>
      </c>
      <c r="D15">
        <v>1717</v>
      </c>
      <c r="E15">
        <v>33</v>
      </c>
      <c r="F15" s="1">
        <f t="shared" si="0"/>
        <v>343611</v>
      </c>
      <c r="G15" s="1">
        <v>3810000</v>
      </c>
      <c r="H15" s="1">
        <f t="shared" si="4"/>
        <v>3466389</v>
      </c>
    </row>
    <row r="16" spans="1:11" x14ac:dyDescent="0.25">
      <c r="A16">
        <v>0.1</v>
      </c>
      <c r="B16" s="4">
        <v>399</v>
      </c>
      <c r="C16" s="1">
        <v>390</v>
      </c>
      <c r="D16">
        <v>1773</v>
      </c>
      <c r="E16">
        <v>22</v>
      </c>
      <c r="F16" s="1">
        <f t="shared" si="0"/>
        <v>283044</v>
      </c>
      <c r="G16" s="1">
        <v>3100000</v>
      </c>
      <c r="H16" s="1">
        <f t="shared" si="4"/>
        <v>2816956</v>
      </c>
    </row>
    <row r="17" spans="1:8" x14ac:dyDescent="0.25">
      <c r="A17">
        <v>0.12</v>
      </c>
      <c r="B17" s="4">
        <v>389</v>
      </c>
      <c r="C17" s="1">
        <v>290</v>
      </c>
      <c r="D17">
        <v>1677</v>
      </c>
      <c r="E17">
        <v>13</v>
      </c>
      <c r="F17" s="1">
        <f t="shared" si="0"/>
        <v>195132</v>
      </c>
      <c r="G17" s="1">
        <v>1190000</v>
      </c>
      <c r="H17" s="1">
        <f t="shared" si="4"/>
        <v>994868</v>
      </c>
    </row>
    <row r="18" spans="1:8" x14ac:dyDescent="0.25">
      <c r="A18">
        <v>0.14000000000000001</v>
      </c>
      <c r="B18" s="4">
        <v>399</v>
      </c>
      <c r="C18" s="1">
        <v>210</v>
      </c>
      <c r="D18">
        <v>1636</v>
      </c>
      <c r="E18">
        <v>7</v>
      </c>
      <c r="F18" s="1">
        <f t="shared" si="0"/>
        <v>134214.5</v>
      </c>
      <c r="G18" s="1">
        <v>1620000</v>
      </c>
      <c r="H18" s="1">
        <f t="shared" si="4"/>
        <v>1485785.5</v>
      </c>
    </row>
    <row r="19" spans="1:8" x14ac:dyDescent="0.25">
      <c r="A19">
        <v>0.16</v>
      </c>
      <c r="B19" s="4">
        <v>391</v>
      </c>
      <c r="C19" s="1">
        <v>110</v>
      </c>
      <c r="D19">
        <v>1676</v>
      </c>
      <c r="E19">
        <v>1.6</v>
      </c>
      <c r="F19" s="1">
        <f t="shared" si="0"/>
        <v>71703</v>
      </c>
      <c r="G19" s="1">
        <v>803000</v>
      </c>
      <c r="H19" s="1">
        <f t="shared" si="4"/>
        <v>731297</v>
      </c>
    </row>
    <row r="20" spans="1:8" x14ac:dyDescent="0.25">
      <c r="A20">
        <v>0.18</v>
      </c>
      <c r="B20" s="4">
        <v>397</v>
      </c>
      <c r="C20" s="1">
        <v>74</v>
      </c>
      <c r="D20">
        <v>1672</v>
      </c>
      <c r="E20">
        <v>0.85</v>
      </c>
      <c r="F20" s="1">
        <f t="shared" si="0"/>
        <v>47716.875</v>
      </c>
      <c r="G20" s="1">
        <v>573000</v>
      </c>
      <c r="H20" s="1">
        <f t="shared" si="4"/>
        <v>525283.125</v>
      </c>
    </row>
    <row r="21" spans="1:8" x14ac:dyDescent="0.25">
      <c r="A21">
        <v>0.2</v>
      </c>
      <c r="B21" s="4">
        <v>388</v>
      </c>
      <c r="C21" s="1">
        <v>56</v>
      </c>
      <c r="D21">
        <v>1678</v>
      </c>
      <c r="E21">
        <v>0.5</v>
      </c>
      <c r="F21" s="1">
        <f t="shared" si="0"/>
        <v>36442.5</v>
      </c>
      <c r="G21" s="1">
        <v>423000</v>
      </c>
      <c r="H21" s="1">
        <f t="shared" si="4"/>
        <v>386557.5</v>
      </c>
    </row>
    <row r="22" spans="1:8" x14ac:dyDescent="0.25">
      <c r="A22">
        <v>0.22</v>
      </c>
      <c r="B22" s="4">
        <v>389</v>
      </c>
      <c r="C22" s="1">
        <v>36</v>
      </c>
      <c r="D22">
        <v>1668</v>
      </c>
      <c r="E22">
        <v>0.33</v>
      </c>
      <c r="F22" s="1">
        <f t="shared" si="0"/>
        <v>23233.035</v>
      </c>
      <c r="G22" s="1">
        <v>275000</v>
      </c>
      <c r="H22" s="1">
        <f t="shared" si="4"/>
        <v>251766.965</v>
      </c>
    </row>
    <row r="23" spans="1:8" x14ac:dyDescent="0.25">
      <c r="A23">
        <v>0.24</v>
      </c>
      <c r="B23" s="4">
        <v>396</v>
      </c>
      <c r="C23" s="1">
        <v>35</v>
      </c>
      <c r="D23">
        <v>1677</v>
      </c>
      <c r="E23">
        <v>0.25</v>
      </c>
      <c r="F23" s="1">
        <f t="shared" si="0"/>
        <v>22577.625</v>
      </c>
      <c r="G23" s="1">
        <v>279758</v>
      </c>
      <c r="H23" s="1">
        <f t="shared" si="4"/>
        <v>257180.375</v>
      </c>
    </row>
    <row r="24" spans="1:8" x14ac:dyDescent="0.25">
      <c r="A24">
        <v>0.26</v>
      </c>
      <c r="F24" s="1">
        <f t="shared" si="0"/>
        <v>0</v>
      </c>
      <c r="H24" s="1">
        <f t="shared" si="4"/>
        <v>0</v>
      </c>
    </row>
    <row r="25" spans="1:8" x14ac:dyDescent="0.25">
      <c r="A25">
        <v>0.28000000000000003</v>
      </c>
      <c r="B25" s="4">
        <v>397</v>
      </c>
      <c r="C25" s="1">
        <v>18</v>
      </c>
      <c r="D25">
        <v>1659</v>
      </c>
      <c r="E25">
        <v>0.14000000000000001</v>
      </c>
      <c r="F25" s="1">
        <f t="shared" si="0"/>
        <v>11446.34</v>
      </c>
      <c r="G25" s="1">
        <v>140351</v>
      </c>
      <c r="H25" s="1">
        <f t="shared" si="4"/>
        <v>128904.66</v>
      </c>
    </row>
    <row r="1048576" spans="8:8" x14ac:dyDescent="0.25">
      <c r="H10485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Chn-Energy</vt:lpstr>
      <vt:lpstr>Resolution</vt:lpstr>
      <vt:lpstr>Efficiency NaI</vt:lpstr>
      <vt:lpstr>Sheet4</vt:lpstr>
      <vt:lpstr>Efficiency BF3</vt:lpstr>
      <vt:lpstr>Chart1</vt:lpstr>
      <vt:lpstr>lnlnRes</vt:lpstr>
      <vt:lpstr>EfficiancyNaI</vt:lpstr>
      <vt:lpstr>Chart2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Wainwright</dc:creator>
  <cp:lastModifiedBy>Joshua Wainwright</cp:lastModifiedBy>
  <cp:lastPrinted>2012-11-22T14:46:41Z</cp:lastPrinted>
  <dcterms:created xsi:type="dcterms:W3CDTF">2012-11-08T15:02:26Z</dcterms:created>
  <dcterms:modified xsi:type="dcterms:W3CDTF">2012-11-29T14:57:46Z</dcterms:modified>
</cp:coreProperties>
</file>