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Z:\UKY\Projects\TCRP A-43\TNC Revenue\"/>
    </mc:Choice>
  </mc:AlternateContent>
  <xr:revisionPtr revIDLastSave="0" documentId="13_ncr:1_{70CBAA7E-5C64-4F4D-BF94-79EACC22150F}" xr6:coauthVersionLast="45" xr6:coauthVersionMax="45" xr10:uidLastSave="{00000000-0000-0000-0000-000000000000}"/>
  <bookViews>
    <workbookView xWindow="-110" yWindow="-110" windowWidth="19420" windowHeight="10420" activeTab="2" xr2:uid="{00000000-000D-0000-FFFF-FFFF00000000}"/>
  </bookViews>
  <sheets>
    <sheet name="Uber" sheetId="1" r:id="rId1"/>
    <sheet name="Lyft" sheetId="2" r:id="rId2"/>
    <sheet name="Uber+Lyft" sheetId="3" r:id="rId3"/>
    <sheet name="Chart2"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7" i="3" l="1"/>
  <c r="M28" i="3"/>
  <c r="M29" i="3"/>
  <c r="M30" i="3"/>
  <c r="M31" i="3"/>
  <c r="M32" i="3"/>
  <c r="M33" i="3"/>
  <c r="L27" i="3"/>
  <c r="L28" i="3"/>
  <c r="L29" i="3"/>
  <c r="L30" i="3"/>
  <c r="L31" i="3"/>
  <c r="L32" i="3"/>
  <c r="L33" i="3"/>
  <c r="K27" i="3"/>
  <c r="K28" i="3"/>
  <c r="K29" i="3"/>
  <c r="K30" i="3"/>
  <c r="K31" i="3"/>
  <c r="K32" i="3"/>
  <c r="K33" i="3"/>
  <c r="U29" i="3"/>
  <c r="P28" i="3" l="1"/>
  <c r="Q28" i="3"/>
  <c r="S28" i="3"/>
  <c r="P29" i="3"/>
  <c r="Q29" i="3"/>
  <c r="S29" i="3"/>
  <c r="P30" i="3"/>
  <c r="Q30" i="3"/>
  <c r="R30" i="3"/>
  <c r="S30" i="3"/>
  <c r="P31" i="3"/>
  <c r="Q31" i="3"/>
  <c r="R31" i="3"/>
  <c r="S31" i="3"/>
  <c r="P32" i="3"/>
  <c r="Q32" i="3"/>
  <c r="R32" i="3"/>
  <c r="S32" i="3"/>
  <c r="P33" i="3"/>
  <c r="Q33" i="3"/>
  <c r="R33" i="3"/>
  <c r="S33" i="3"/>
  <c r="S27" i="3"/>
  <c r="P27" i="3"/>
  <c r="AA16" i="3"/>
  <c r="R16" i="3"/>
  <c r="R17" i="3"/>
  <c r="R18" i="3"/>
  <c r="M16" i="3"/>
  <c r="J22" i="3"/>
  <c r="J21" i="3"/>
  <c r="J20" i="3"/>
  <c r="J19" i="3"/>
  <c r="G16" i="3"/>
  <c r="B22" i="3"/>
  <c r="G5" i="3"/>
  <c r="G17" i="3" s="1"/>
  <c r="G6" i="3"/>
  <c r="G18" i="3" s="1"/>
  <c r="G7" i="3"/>
  <c r="G19" i="3" s="1"/>
  <c r="G8" i="3"/>
  <c r="G20" i="3" s="1"/>
  <c r="G9" i="3"/>
  <c r="G21" i="3" s="1"/>
  <c r="G10" i="3"/>
  <c r="G22" i="3" s="1"/>
  <c r="F8" i="3"/>
  <c r="F20" i="3" s="1"/>
  <c r="F9" i="3"/>
  <c r="F21" i="3" s="1"/>
  <c r="F10" i="3"/>
  <c r="Z10" i="3" s="1"/>
  <c r="Z22" i="3" s="1"/>
  <c r="C8" i="3"/>
  <c r="C20" i="3" s="1"/>
  <c r="C9" i="3"/>
  <c r="C21" i="3" s="1"/>
  <c r="C10" i="3"/>
  <c r="C22" i="3" s="1"/>
  <c r="W22" i="3" s="1"/>
  <c r="B5" i="3"/>
  <c r="B17" i="3" s="1"/>
  <c r="B6" i="3"/>
  <c r="B18" i="3" s="1"/>
  <c r="B7" i="3"/>
  <c r="B19" i="3" s="1"/>
  <c r="B8" i="3"/>
  <c r="B20" i="3" s="1"/>
  <c r="B9" i="3"/>
  <c r="B21" i="3" s="1"/>
  <c r="B10" i="3"/>
  <c r="B4" i="3"/>
  <c r="B16" i="3" s="1"/>
  <c r="P16" i="3" s="1"/>
  <c r="AA5" i="3"/>
  <c r="AA17" i="3" s="1"/>
  <c r="AA6" i="3"/>
  <c r="AA18" i="3" s="1"/>
  <c r="AA7" i="3"/>
  <c r="AA19" i="3" s="1"/>
  <c r="AA8" i="3"/>
  <c r="AA20" i="3" s="1"/>
  <c r="AA9" i="3"/>
  <c r="AA21" i="3" s="1"/>
  <c r="AA10" i="3"/>
  <c r="AA22" i="3" s="1"/>
  <c r="Q7" i="3"/>
  <c r="Q19" i="3" s="1"/>
  <c r="Q8" i="3"/>
  <c r="W8" i="3" s="1"/>
  <c r="Q9" i="3"/>
  <c r="Q21" i="3" s="1"/>
  <c r="W21" i="3" s="1"/>
  <c r="Q10" i="3"/>
  <c r="Q22" i="3" s="1"/>
  <c r="K7" i="3"/>
  <c r="K19" i="3" s="1"/>
  <c r="K8" i="3"/>
  <c r="K20" i="3" s="1"/>
  <c r="K9" i="3"/>
  <c r="K21" i="3" s="1"/>
  <c r="K10" i="3"/>
  <c r="K22" i="3" s="1"/>
  <c r="L7" i="2"/>
  <c r="L8" i="2"/>
  <c r="L9" i="2"/>
  <c r="L10" i="2"/>
  <c r="K5" i="2"/>
  <c r="K6" i="2"/>
  <c r="K7" i="2"/>
  <c r="K8" i="2"/>
  <c r="K9" i="2"/>
  <c r="K10" i="2"/>
  <c r="Q10" i="1"/>
  <c r="P12" i="1"/>
  <c r="P10" i="1"/>
  <c r="W19" i="3" l="1"/>
  <c r="C19" i="3"/>
  <c r="C18" i="3" s="1"/>
  <c r="F19" i="3"/>
  <c r="F18" i="3" s="1"/>
  <c r="F17" i="3" s="1"/>
  <c r="F16" i="3" s="1"/>
  <c r="C17" i="3"/>
  <c r="Q18" i="3"/>
  <c r="W18" i="3" s="1"/>
  <c r="K18" i="3"/>
  <c r="F22" i="3"/>
  <c r="Q20" i="3"/>
  <c r="W20" i="3" s="1"/>
  <c r="P10" i="3"/>
  <c r="W9" i="3"/>
  <c r="W10" i="3"/>
  <c r="P7" i="3"/>
  <c r="L9" i="3"/>
  <c r="L8" i="3"/>
  <c r="L20" i="3" s="1"/>
  <c r="M20" i="3" s="1"/>
  <c r="L7" i="3"/>
  <c r="P9" i="3"/>
  <c r="L10" i="3"/>
  <c r="P8" i="3"/>
  <c r="T10" i="1"/>
  <c r="M7" i="1"/>
  <c r="M8" i="1"/>
  <c r="M9" i="1"/>
  <c r="M10" i="1"/>
  <c r="R8" i="1"/>
  <c r="R9" i="1"/>
  <c r="R10" i="1"/>
  <c r="O5" i="1"/>
  <c r="O6" i="1"/>
  <c r="O7" i="1"/>
  <c r="O8" i="1"/>
  <c r="O9" i="1"/>
  <c r="O10" i="1"/>
  <c r="O4" i="1"/>
  <c r="H9" i="1"/>
  <c r="S4" i="1"/>
  <c r="S5" i="1"/>
  <c r="S6" i="1"/>
  <c r="S7" i="1"/>
  <c r="S8" i="1"/>
  <c r="S9" i="1"/>
  <c r="S10" i="1"/>
  <c r="D10" i="2"/>
  <c r="F10" i="2" s="1"/>
  <c r="B10" i="2"/>
  <c r="D9" i="2"/>
  <c r="F9" i="2" s="1"/>
  <c r="B9" i="2"/>
  <c r="D8" i="2"/>
  <c r="F8" i="2" s="1"/>
  <c r="B8" i="2"/>
  <c r="H10" i="1"/>
  <c r="H8" i="1"/>
  <c r="C4" i="1"/>
  <c r="C5" i="1"/>
  <c r="C6" i="1"/>
  <c r="C7" i="1"/>
  <c r="AB18" i="3" l="1"/>
  <c r="R9" i="3"/>
  <c r="R21" i="3" s="1"/>
  <c r="AB21" i="3" s="1"/>
  <c r="L21" i="3"/>
  <c r="M21" i="3" s="1"/>
  <c r="V9" i="3"/>
  <c r="P21" i="3"/>
  <c r="V7" i="3"/>
  <c r="P19" i="3"/>
  <c r="V19" i="3" s="1"/>
  <c r="C16" i="3"/>
  <c r="Q16" i="3" s="1"/>
  <c r="S16" i="3" s="1"/>
  <c r="Q17" i="3"/>
  <c r="R10" i="3"/>
  <c r="R22" i="3" s="1"/>
  <c r="AB22" i="3" s="1"/>
  <c r="AC22" i="3" s="1"/>
  <c r="L22" i="3"/>
  <c r="M22" i="3" s="1"/>
  <c r="V10" i="3"/>
  <c r="P22" i="3"/>
  <c r="R7" i="3"/>
  <c r="R19" i="3" s="1"/>
  <c r="AB19" i="3" s="1"/>
  <c r="L19" i="3"/>
  <c r="M19" i="3" s="1"/>
  <c r="V8" i="3"/>
  <c r="P20" i="3"/>
  <c r="J18" i="3"/>
  <c r="M6" i="3"/>
  <c r="M7" i="3"/>
  <c r="R8" i="3"/>
  <c r="R20" i="3" s="1"/>
  <c r="AB20" i="3" s="1"/>
  <c r="M8" i="3"/>
  <c r="M10" i="3"/>
  <c r="M4" i="3"/>
  <c r="M9" i="3"/>
  <c r="S9" i="3"/>
  <c r="S10" i="3"/>
  <c r="S7" i="3"/>
  <c r="E9" i="1"/>
  <c r="E10" i="1"/>
  <c r="E8" i="1"/>
  <c r="F9" i="1"/>
  <c r="F10" i="1"/>
  <c r="F8" i="1"/>
  <c r="M18" i="3" l="1"/>
  <c r="P18" i="3"/>
  <c r="S20" i="3"/>
  <c r="V20" i="3"/>
  <c r="S22" i="3"/>
  <c r="V22" i="3"/>
  <c r="W17" i="3"/>
  <c r="AB17" i="3"/>
  <c r="S21" i="3"/>
  <c r="V21" i="3"/>
  <c r="Z21" i="3"/>
  <c r="S19" i="3"/>
  <c r="M5" i="3"/>
  <c r="S8" i="3"/>
  <c r="Z20" i="3" l="1"/>
  <c r="AC21" i="3"/>
  <c r="V18" i="3"/>
  <c r="V17" i="3" s="1"/>
  <c r="P17" i="3" s="1"/>
  <c r="S17" i="3" s="1"/>
  <c r="K17" i="3" s="1"/>
  <c r="J17" i="3" s="1"/>
  <c r="M17" i="3" s="1"/>
  <c r="S18" i="3"/>
  <c r="Z19" i="3" l="1"/>
  <c r="AC20" i="3"/>
  <c r="Z18" i="3" l="1"/>
  <c r="AC19" i="3"/>
  <c r="Z17" i="3" l="1"/>
  <c r="AC18" i="3"/>
  <c r="Z16" i="3" l="1"/>
  <c r="AC16" i="3" s="1"/>
  <c r="AC17" i="3"/>
</calcChain>
</file>

<file path=xl/sharedStrings.xml><?xml version="1.0" encoding="utf-8"?>
<sst xmlns="http://schemas.openxmlformats.org/spreadsheetml/2006/main" count="153" uniqueCount="98">
  <si>
    <t>Uber</t>
  </si>
  <si>
    <t>Lyft</t>
  </si>
  <si>
    <t>https://www.sec.gov/Archives/edgar/data/1543151/000119312519103850/d647752ds1.htm</t>
  </si>
  <si>
    <t>Trips represent the number of completed consumer Ridesharing or New Mobility rides and Uber Eats meal deliveries in a given period. For example, an UberPOOL ride with three paying consumers represents three unique Trips, whereas an UberX ride with three passengers represents one Trip.</t>
  </si>
  <si>
    <t>Gross Bookings represent the total dollar value, including any applicable taxes, tolls, and fees, of Ridesharing and New Mobility rides, Uber Eats meal deliveries, and amounts paid by shippers for Uber Freight shipments, in each case without any adjustment for consumer discounts and refunds, Driver and restaurant earnings, and Driver incentives. Gross Bookings do not include tips earned by Drivers.</t>
  </si>
  <si>
    <t>Revenue ($millions)</t>
  </si>
  <si>
    <t>Bookings / Trip</t>
  </si>
  <si>
    <t>Revenue / Bookings</t>
  </si>
  <si>
    <t>SEC Report (A)</t>
  </si>
  <si>
    <t>A</t>
  </si>
  <si>
    <t>Sources:</t>
  </si>
  <si>
    <t>Notes:</t>
  </si>
  <si>
    <t>Gross Bookings ($millions) (1,2)</t>
  </si>
  <si>
    <t xml:space="preserve">Gross bookings prior to 2016 taken from graph below. </t>
  </si>
  <si>
    <t>Gross Bookings from Ridesharing</t>
  </si>
  <si>
    <t>Share of bookings in US</t>
  </si>
  <si>
    <t>B</t>
  </si>
  <si>
    <t>https://www.sec.gov/Archives/edgar/data/1759509/000119312519059849/d633517ds1.htm</t>
  </si>
  <si>
    <t>SEC filing does not list share of revenue from ride-hailing.  It appears they are less priminant in meal delivery and other revenue sources</t>
  </si>
  <si>
    <t xml:space="preserve">Gross Bookings ($millions) </t>
  </si>
  <si>
    <t>Other Sources</t>
  </si>
  <si>
    <t>Annual Trips (B)</t>
  </si>
  <si>
    <t xml:space="preserve">https://www.statista.com/statistics/916456/lyft-number-of-rides/ </t>
  </si>
  <si>
    <t>Annual Trips (millions)</t>
  </si>
  <si>
    <t>Annual Trips (millions) (3)</t>
  </si>
  <si>
    <t>Share of trips in US</t>
  </si>
  <si>
    <t xml:space="preserve">Lyft launched in Canada in 2017.  Their international presense is small. </t>
  </si>
  <si>
    <t>Other</t>
  </si>
  <si>
    <t>US Market Share</t>
  </si>
  <si>
    <t>C</t>
  </si>
  <si>
    <t xml:space="preserve">https://www.businessofapps.com/data/uber-statistics/ </t>
  </si>
  <si>
    <t>US Market Share (C)</t>
  </si>
  <si>
    <t xml:space="preserve">https://www.vox.com/2018/12/12/18134882/lyft-uber-ride-car-market-share </t>
  </si>
  <si>
    <t>Annual Trips (millions) (B)</t>
  </si>
  <si>
    <t>https://expandedramblings.com/index.php/uber-statistics/</t>
  </si>
  <si>
    <t>Derived Fields</t>
  </si>
  <si>
    <t>Share of bookings from ridesharing (4)</t>
  </si>
  <si>
    <t xml:space="preserve">2016 and 2018 values are observed.  Others are imputed. </t>
  </si>
  <si>
    <t>Estimated bookings from ridehailing</t>
  </si>
  <si>
    <t>Ridehail bookings / trip (5)</t>
  </si>
  <si>
    <t xml:space="preserve">Ridehail bookings per trip decreases in recent years.  We suspect this is due to a higher international share. </t>
  </si>
  <si>
    <t>Estimated Annual Trips (6)</t>
  </si>
  <si>
    <t xml:space="preserve">Prior to 2016, we assume trips are proportional to bookings. </t>
  </si>
  <si>
    <t>Estimated annual trips in US</t>
  </si>
  <si>
    <t>Estimated ridehail bookings in US</t>
  </si>
  <si>
    <t>Gross bookings from ridehail in US ($millions) (1,2,3)</t>
  </si>
  <si>
    <t xml:space="preserve">Based on 1 &amp; 2, we assume that all Lyft bookings and trips are in the US and for ridehailing. </t>
  </si>
  <si>
    <t>Prior to 2015, we assume that gross bookings track trips.</t>
  </si>
  <si>
    <t>Total bookings from ridehail in US for Uber + Lyft ($millions)</t>
  </si>
  <si>
    <t>Derived from market share.</t>
  </si>
  <si>
    <t>Total</t>
  </si>
  <si>
    <t>Sources and Notes</t>
  </si>
  <si>
    <t>Lyft bookings for 2016 to 2018 taken from SEC filing before IPO (https://www.sec.gov/Archives/edgar/data/1759509/000119312519059849/d633517ds1.htm)</t>
  </si>
  <si>
    <t>Lyft bookings prior to 2016 scale according to the trip estimates (https://www.statista.com/statistics/916456/lyft-number-of-rides/)</t>
  </si>
  <si>
    <t xml:space="preserve">Lyft SEC filing shows a small international presense (2 cities in Canada) and no break out of revenue beyond ridehail, so we non-US and non-ridehail revenue are negligible. </t>
  </si>
  <si>
    <t xml:space="preserve">Uber and other bookings are pivoted from Lyft bookings based on the market shares. </t>
  </si>
  <si>
    <t xml:space="preserve">Lyft trips from: https://www.statista.com/statistics/916456/lyft-number-of-rides/ </t>
  </si>
  <si>
    <t>2018 Uber trips in US taken from SEC filing of total trips * share of trips in US</t>
  </si>
  <si>
    <t xml:space="preserve">Prior to 2018, Uber trips in US are scaled proportionally to bookings. </t>
  </si>
  <si>
    <t>Global Bookings (1)</t>
  </si>
  <si>
    <t>Uber from SEC filing: https://www.sec.gov/Archives/edgar/data/1543151/000119312519103850/d647752ds1.htm</t>
  </si>
  <si>
    <t>Lyft from SEC filing: https://www.sec.gov/Archives/edgar/data/1759509/000119312519059849/d633517ds1.htm</t>
  </si>
  <si>
    <t>Uber values prior to 2016 approximated from chart in SEC filing</t>
  </si>
  <si>
    <t>Global Annual Trips (millions) (2)</t>
  </si>
  <si>
    <t>US Market Share (3)</t>
  </si>
  <si>
    <t>Bookings from Ridehail in US ($million) (4)</t>
  </si>
  <si>
    <t>Uber: https://www.sec.gov/Archives/edgar/data/1543151/000119312519103850/d647752ds1.htm</t>
  </si>
  <si>
    <t xml:space="preserve">Lyft: https://www.statista.com/statistics/916456/lyft-number-of-rides/ </t>
  </si>
  <si>
    <t>Share of global bookings from ridehail in US (5)</t>
  </si>
  <si>
    <t>Annual Trips in US (millions) (6)</t>
  </si>
  <si>
    <t>Calculated from previous columns</t>
  </si>
  <si>
    <t>Data we know</t>
  </si>
  <si>
    <t>Data with Interpolations and Assumptions (Gray numbers are interpolated)</t>
  </si>
  <si>
    <t>Global Bookings (11)</t>
  </si>
  <si>
    <t>Global Annual Trips (millions) (12)</t>
  </si>
  <si>
    <t>US Market Share (13)</t>
  </si>
  <si>
    <t>Bookings from Ridehail in US ($million) (14)</t>
  </si>
  <si>
    <t>Share of global bookings from ridehail in US (15)</t>
  </si>
  <si>
    <t>Annual Trips in US (millions) (16)</t>
  </si>
  <si>
    <t>Assume Lyft bookings track trips before 2016</t>
  </si>
  <si>
    <t>Assume 100% of Lyft bookings are in US</t>
  </si>
  <si>
    <t>Assume Uber global trips track bookings prior to 2016</t>
  </si>
  <si>
    <t>Assume Other has 0% market share prior to 2015</t>
  </si>
  <si>
    <t>Assume Uber has 100% market share in 2012</t>
  </si>
  <si>
    <t>Interolate 2013-2014</t>
  </si>
  <si>
    <t>In 2012, assume 100% of Uber bookings are in US</t>
  </si>
  <si>
    <t>In 2014, derive US Uber ridehail bookings from interpolated market share</t>
  </si>
  <si>
    <t>In 2013, derive US Uber ridehail bookings by interpolating share of US revenue</t>
  </si>
  <si>
    <t>Uber and Other trips track bookings</t>
  </si>
  <si>
    <t>-</t>
  </si>
  <si>
    <t>Checks</t>
  </si>
  <si>
    <t>US ridehail bookings per trip</t>
  </si>
  <si>
    <t>Estimated 2017 Trips from NHTS</t>
  </si>
  <si>
    <t>Estimated 2017 US trips from this method</t>
  </si>
  <si>
    <t>Jawad's estimate of Uber Revenue</t>
  </si>
  <si>
    <t>Uber bookings  relative to 2018</t>
  </si>
  <si>
    <t>Trips relative to 2018</t>
  </si>
  <si>
    <t>Uber revenue Relative to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</si>
</sst>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6" formatCode="_(* #,##0.0_);_(* \(#,##0.0\);_(* &quot;-&quot;??_);_(@_)"/>
    <numFmt numFmtId="171" formatCode="_(* #,##0.000_);_(* \(#,##0.000\);_(* &quot;-&quot;??_);_(@_)"/>
    <numFmt numFmtId="173" formatCode="0.000"/>
  </numFmts>
  <fonts count="9" x14ac:knownFonts="1">
    <font>
      <sz val="11"/>
      <color theme="1"/>
      <name val="Calibri"/>
      <family val="2"/>
      <scheme val="minor"/>
    </font>
    <font>
      <sz val="11"/>
      <color theme="1"/>
      <name val="Calibri"/>
      <family val="2"/>
      <scheme val="minor"/>
    </font>
    <font>
      <u/>
      <sz val="11"/>
      <color theme="10"/>
      <name val="Calibri"/>
      <family val="2"/>
      <scheme val="minor"/>
    </font>
    <font>
      <sz val="9"/>
      <color theme="1"/>
      <name val="Times New Roman"/>
      <family val="1"/>
    </font>
    <font>
      <b/>
      <sz val="11"/>
      <color theme="1"/>
      <name val="Calibri"/>
      <family val="2"/>
      <scheme val="minor"/>
    </font>
    <font>
      <sz val="11"/>
      <color theme="0" tint="-0.249977111117893"/>
      <name val="Calibri"/>
      <family val="2"/>
      <scheme val="minor"/>
    </font>
    <font>
      <sz val="11"/>
      <color theme="0" tint="-0.34998626667073579"/>
      <name val="Calibri"/>
      <family val="2"/>
      <scheme val="minor"/>
    </font>
    <font>
      <sz val="11"/>
      <name val="Calibri"/>
      <family val="2"/>
      <scheme val="minor"/>
    </font>
    <font>
      <sz val="11"/>
      <color rgb="FFC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57">
    <xf numFmtId="0" fontId="0" fillId="0" borderId="0" xfId="0"/>
    <xf numFmtId="0" fontId="2" fillId="0" borderId="0" xfId="2"/>
    <xf numFmtId="0" fontId="0" fillId="0" borderId="0" xfId="0" applyAlignment="1">
      <alignment wrapText="1"/>
    </xf>
    <xf numFmtId="164" fontId="0" fillId="0" borderId="0" xfId="1" applyNumberFormat="1" applyFont="1"/>
    <xf numFmtId="43" fontId="0" fillId="0" borderId="0" xfId="1" applyNumberFormat="1" applyFont="1"/>
    <xf numFmtId="0" fontId="0" fillId="0" borderId="0" xfId="0" applyAlignment="1">
      <alignment horizontal="right"/>
    </xf>
    <xf numFmtId="0" fontId="3" fillId="0" borderId="0" xfId="0" applyFont="1" applyAlignment="1">
      <alignment horizontal="right" vertical="top" wrapText="1"/>
    </xf>
    <xf numFmtId="164" fontId="5" fillId="0" borderId="0" xfId="1" applyNumberFormat="1" applyFont="1"/>
    <xf numFmtId="164" fontId="6" fillId="0" borderId="0" xfId="1" applyNumberFormat="1" applyFont="1"/>
    <xf numFmtId="166" fontId="0" fillId="0" borderId="0" xfId="1" applyNumberFormat="1"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horizontal="left" vertical="center" wrapText="1"/>
    </xf>
    <xf numFmtId="0" fontId="0" fillId="0" borderId="0" xfId="0" applyAlignment="1">
      <alignment horizontal="left"/>
    </xf>
    <xf numFmtId="171" fontId="0" fillId="0" borderId="0" xfId="1" applyNumberFormat="1" applyFont="1"/>
    <xf numFmtId="164" fontId="0" fillId="0" borderId="0" xfId="0" applyNumberFormat="1"/>
    <xf numFmtId="43" fontId="0" fillId="0" borderId="0" xfId="0" applyNumberFormat="1"/>
    <xf numFmtId="43" fontId="6" fillId="0" borderId="0" xfId="1" applyNumberFormat="1" applyFont="1"/>
    <xf numFmtId="2" fontId="0" fillId="0" borderId="0" xfId="0" applyNumberFormat="1"/>
    <xf numFmtId="0" fontId="0" fillId="0" borderId="0" xfId="0" applyNumberFormat="1"/>
    <xf numFmtId="164" fontId="6" fillId="0" borderId="0" xfId="0" applyNumberFormat="1" applyFont="1"/>
    <xf numFmtId="0" fontId="0" fillId="0" borderId="0" xfId="0" applyAlignment="1">
      <alignment horizontal="right" wrapText="1"/>
    </xf>
    <xf numFmtId="171" fontId="6" fillId="0" borderId="0" xfId="1" applyNumberFormat="1" applyFont="1"/>
    <xf numFmtId="164" fontId="1" fillId="0" borderId="0" xfId="1" applyNumberFormat="1" applyFont="1"/>
    <xf numFmtId="171" fontId="1" fillId="0" borderId="0" xfId="1" applyNumberFormat="1" applyFont="1"/>
    <xf numFmtId="171" fontId="0" fillId="0" borderId="0" xfId="0" applyNumberFormat="1"/>
    <xf numFmtId="173" fontId="6" fillId="0" borderId="0" xfId="0" applyNumberFormat="1" applyFont="1"/>
    <xf numFmtId="0" fontId="6" fillId="0" borderId="0" xfId="0" applyFont="1"/>
    <xf numFmtId="43" fontId="6" fillId="0" borderId="0" xfId="0" applyNumberFormat="1" applyFont="1"/>
    <xf numFmtId="164" fontId="5" fillId="0" borderId="0" xfId="0" applyNumberFormat="1" applyFont="1"/>
    <xf numFmtId="164" fontId="7" fillId="0" borderId="0" xfId="1" applyNumberFormat="1" applyFont="1"/>
    <xf numFmtId="43" fontId="5" fillId="0" borderId="0" xfId="1" applyNumberFormat="1" applyFont="1"/>
    <xf numFmtId="0" fontId="4" fillId="0" borderId="0" xfId="0" applyFont="1"/>
    <xf numFmtId="0" fontId="4" fillId="0" borderId="0" xfId="0" applyFont="1" applyAlignment="1">
      <alignment horizontal="left"/>
    </xf>
    <xf numFmtId="43" fontId="7" fillId="0" borderId="0" xfId="1" applyNumberFormat="1" applyFont="1"/>
    <xf numFmtId="171" fontId="5" fillId="0" borderId="0" xfId="1" applyNumberFormat="1" applyFont="1"/>
    <xf numFmtId="164" fontId="8" fillId="2" borderId="0" xfId="1" applyNumberFormat="1" applyFont="1" applyFill="1"/>
    <xf numFmtId="43" fontId="8" fillId="2" borderId="0" xfId="1" applyNumberFormat="1" applyFont="1" applyFill="1"/>
    <xf numFmtId="0" fontId="0" fillId="3" borderId="0" xfId="0" applyFill="1"/>
    <xf numFmtId="164" fontId="0" fillId="3" borderId="0" xfId="0" applyNumberFormat="1" applyFill="1"/>
    <xf numFmtId="164" fontId="0" fillId="3" borderId="0" xfId="1" applyNumberFormat="1" applyFont="1" applyFill="1"/>
    <xf numFmtId="0" fontId="0" fillId="0" borderId="0" xfId="0" applyFill="1" applyAlignment="1">
      <alignment horizontal="right"/>
    </xf>
    <xf numFmtId="164" fontId="1" fillId="0" borderId="0" xfId="1" applyNumberFormat="1" applyFont="1" applyFill="1"/>
    <xf numFmtId="0" fontId="0" fillId="0" borderId="0" xfId="0" applyFill="1"/>
    <xf numFmtId="171" fontId="1" fillId="0" borderId="0" xfId="1" applyNumberFormat="1" applyFont="1" applyFill="1"/>
    <xf numFmtId="171" fontId="0" fillId="0" borderId="0" xfId="0" applyNumberFormat="1" applyFill="1"/>
    <xf numFmtId="164" fontId="7" fillId="0" borderId="0" xfId="1" applyNumberFormat="1" applyFont="1" applyFill="1"/>
    <xf numFmtId="164" fontId="0" fillId="0" borderId="0" xfId="0" applyNumberFormat="1" applyFill="1"/>
    <xf numFmtId="43" fontId="7" fillId="0" borderId="0" xfId="1" applyNumberFormat="1" applyFont="1" applyFill="1"/>
    <xf numFmtId="164" fontId="0" fillId="0" borderId="0" xfId="1" applyNumberFormat="1" applyFont="1" applyFill="1"/>
    <xf numFmtId="0" fontId="0" fillId="0" borderId="0" xfId="0" applyFill="1" applyAlignment="1">
      <alignment horizontal="left"/>
    </xf>
    <xf numFmtId="164" fontId="0" fillId="0" borderId="0" xfId="1" applyNumberFormat="1" applyFont="1" applyFill="1" applyAlignment="1">
      <alignment horizontal="right"/>
    </xf>
    <xf numFmtId="164" fontId="0" fillId="0" borderId="0" xfId="0" applyNumberFormat="1" applyFill="1" applyAlignment="1">
      <alignment horizontal="right"/>
    </xf>
    <xf numFmtId="171" fontId="1" fillId="0" borderId="0" xfId="1" applyNumberFormat="1" applyFont="1" applyFill="1" applyAlignment="1">
      <alignment wrapText="1"/>
    </xf>
    <xf numFmtId="171" fontId="0" fillId="0" borderId="0" xfId="0" applyNumberFormat="1" applyFill="1"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7314625326385E-2"/>
          <c:y val="7.7615442843833857E-2"/>
          <c:w val="0.92021511654925392"/>
          <c:h val="0.87383929368815016"/>
        </c:manualLayout>
      </c:layout>
      <c:scatterChart>
        <c:scatterStyle val="smoothMarker"/>
        <c:varyColors val="0"/>
        <c:ser>
          <c:idx val="1"/>
          <c:order val="0"/>
          <c:tx>
            <c:strRef>
              <c:f>'Uber+Lyft'!$K$26</c:f>
              <c:strCache>
                <c:ptCount val="1"/>
                <c:pt idx="0">
                  <c:v> Uber revenue Relative to 2018 </c:v>
                </c:pt>
              </c:strCache>
            </c:strRef>
          </c:tx>
          <c:spPr>
            <a:ln w="19050" cap="rnd">
              <a:solidFill>
                <a:schemeClr val="accent2"/>
              </a:solidFill>
              <a:round/>
            </a:ln>
            <a:effectLst/>
          </c:spPr>
          <c:marker>
            <c:symbol val="none"/>
          </c:marker>
          <c:xVal>
            <c:numRef>
              <c:f>'Uber+Lyft'!$I$27:$I$33</c:f>
              <c:numCache>
                <c:formatCode>General</c:formatCode>
                <c:ptCount val="7"/>
                <c:pt idx="0">
                  <c:v>2012</c:v>
                </c:pt>
                <c:pt idx="1">
                  <c:v>2013</c:v>
                </c:pt>
                <c:pt idx="2">
                  <c:v>2014</c:v>
                </c:pt>
                <c:pt idx="3">
                  <c:v>2015</c:v>
                </c:pt>
                <c:pt idx="4">
                  <c:v>2016</c:v>
                </c:pt>
                <c:pt idx="5">
                  <c:v>2017</c:v>
                </c:pt>
                <c:pt idx="6">
                  <c:v>2018</c:v>
                </c:pt>
              </c:numCache>
            </c:numRef>
          </c:xVal>
          <c:yVal>
            <c:numRef>
              <c:f>'Uber+Lyft'!$K$27:$K$33</c:f>
              <c:numCache>
                <c:formatCode>_(* #,##0.000_);_(* \(#,##0.000\);_(* "-"??_);_(@_)</c:formatCode>
                <c:ptCount val="7"/>
                <c:pt idx="0">
                  <c:v>1.3309671694764862E-3</c:v>
                </c:pt>
                <c:pt idx="1">
                  <c:v>9.1393078970718727E-3</c:v>
                </c:pt>
                <c:pt idx="2">
                  <c:v>3.9485359361135758E-2</c:v>
                </c:pt>
                <c:pt idx="3">
                  <c:v>0.14995563442768411</c:v>
                </c:pt>
                <c:pt idx="4">
                  <c:v>0.26299911268855369</c:v>
                </c:pt>
                <c:pt idx="5">
                  <c:v>0.70381543921916589</c:v>
                </c:pt>
                <c:pt idx="6">
                  <c:v>1</c:v>
                </c:pt>
              </c:numCache>
            </c:numRef>
          </c:yVal>
          <c:smooth val="1"/>
          <c:extLst>
            <c:ext xmlns:c16="http://schemas.microsoft.com/office/drawing/2014/chart" uri="{C3380CC4-5D6E-409C-BE32-E72D297353CC}">
              <c16:uniqueId val="{00000001-3C3D-4E2B-BF7C-486354662B6D}"/>
            </c:ext>
          </c:extLst>
        </c:ser>
        <c:ser>
          <c:idx val="2"/>
          <c:order val="1"/>
          <c:tx>
            <c:strRef>
              <c:f>'Uber+Lyft'!$L$26</c:f>
              <c:strCache>
                <c:ptCount val="1"/>
                <c:pt idx="0">
                  <c:v> Uber bookings  relative to 2018 </c:v>
                </c:pt>
              </c:strCache>
            </c:strRef>
          </c:tx>
          <c:spPr>
            <a:ln w="19050" cap="rnd">
              <a:solidFill>
                <a:schemeClr val="accent3"/>
              </a:solidFill>
              <a:round/>
            </a:ln>
            <a:effectLst/>
          </c:spPr>
          <c:marker>
            <c:symbol val="none"/>
          </c:marker>
          <c:xVal>
            <c:numRef>
              <c:f>'Uber+Lyft'!$I$27:$I$33</c:f>
              <c:numCache>
                <c:formatCode>General</c:formatCode>
                <c:ptCount val="7"/>
                <c:pt idx="0">
                  <c:v>2012</c:v>
                </c:pt>
                <c:pt idx="1">
                  <c:v>2013</c:v>
                </c:pt>
                <c:pt idx="2">
                  <c:v>2014</c:v>
                </c:pt>
                <c:pt idx="3">
                  <c:v>2015</c:v>
                </c:pt>
                <c:pt idx="4">
                  <c:v>2016</c:v>
                </c:pt>
                <c:pt idx="5">
                  <c:v>2017</c:v>
                </c:pt>
                <c:pt idx="6">
                  <c:v>2018</c:v>
                </c:pt>
              </c:numCache>
            </c:numRef>
          </c:xVal>
          <c:yVal>
            <c:numRef>
              <c:f>'Uber+Lyft'!$L$27:$L$33</c:f>
              <c:numCache>
                <c:formatCode>_(* #,##0.000_);_(* \(#,##0.000\);_(* "-"??_);_(@_)</c:formatCode>
                <c:ptCount val="7"/>
                <c:pt idx="0">
                  <c:v>2.7979533944087764E-2</c:v>
                </c:pt>
                <c:pt idx="1">
                  <c:v>9.5448333563736498E-2</c:v>
                </c:pt>
                <c:pt idx="2">
                  <c:v>0.19744632837780479</c:v>
                </c:pt>
                <c:pt idx="3">
                  <c:v>0.32307325772937895</c:v>
                </c:pt>
                <c:pt idx="4">
                  <c:v>0.53057939113866182</c:v>
                </c:pt>
                <c:pt idx="5">
                  <c:v>0.74863077313813742</c:v>
                </c:pt>
                <c:pt idx="6">
                  <c:v>1</c:v>
                </c:pt>
              </c:numCache>
            </c:numRef>
          </c:yVal>
          <c:smooth val="1"/>
          <c:extLst>
            <c:ext xmlns:c16="http://schemas.microsoft.com/office/drawing/2014/chart" uri="{C3380CC4-5D6E-409C-BE32-E72D297353CC}">
              <c16:uniqueId val="{00000002-3C3D-4E2B-BF7C-486354662B6D}"/>
            </c:ext>
          </c:extLst>
        </c:ser>
        <c:ser>
          <c:idx val="3"/>
          <c:order val="2"/>
          <c:tx>
            <c:strRef>
              <c:f>'Uber+Lyft'!$M$26</c:f>
              <c:strCache>
                <c:ptCount val="1"/>
                <c:pt idx="0">
                  <c:v> Trips relative to 2018 </c:v>
                </c:pt>
              </c:strCache>
            </c:strRef>
          </c:tx>
          <c:spPr>
            <a:ln w="19050" cap="rnd">
              <a:solidFill>
                <a:schemeClr val="accent4"/>
              </a:solidFill>
              <a:round/>
            </a:ln>
            <a:effectLst/>
          </c:spPr>
          <c:marker>
            <c:symbol val="none"/>
          </c:marker>
          <c:xVal>
            <c:numRef>
              <c:f>'Uber+Lyft'!$I$27:$I$33</c:f>
              <c:numCache>
                <c:formatCode>General</c:formatCode>
                <c:ptCount val="7"/>
                <c:pt idx="0">
                  <c:v>2012</c:v>
                </c:pt>
                <c:pt idx="1">
                  <c:v>2013</c:v>
                </c:pt>
                <c:pt idx="2">
                  <c:v>2014</c:v>
                </c:pt>
                <c:pt idx="3">
                  <c:v>2015</c:v>
                </c:pt>
                <c:pt idx="4">
                  <c:v>2016</c:v>
                </c:pt>
                <c:pt idx="5">
                  <c:v>2017</c:v>
                </c:pt>
                <c:pt idx="6">
                  <c:v>2018</c:v>
                </c:pt>
              </c:numCache>
            </c:numRef>
          </c:xVal>
          <c:yVal>
            <c:numRef>
              <c:f>'Uber+Lyft'!$M$27:$M$33</c:f>
              <c:numCache>
                <c:formatCode>_(* #,##0.000_);_(* \(#,##0.000\);_(* "-"??_);_(@_)</c:formatCode>
                <c:ptCount val="7"/>
                <c:pt idx="0">
                  <c:v>1.860917299017149E-2</c:v>
                </c:pt>
                <c:pt idx="1">
                  <c:v>6.4805777526840899E-2</c:v>
                </c:pt>
                <c:pt idx="2">
                  <c:v>0.1401913999429128</c:v>
                </c:pt>
                <c:pt idx="3">
                  <c:v>0.24239464022895646</c:v>
                </c:pt>
                <c:pt idx="4">
                  <c:v>0.44363765197401261</c:v>
                </c:pt>
                <c:pt idx="5">
                  <c:v>0.70104737250276017</c:v>
                </c:pt>
                <c:pt idx="6">
                  <c:v>1</c:v>
                </c:pt>
              </c:numCache>
            </c:numRef>
          </c:yVal>
          <c:smooth val="1"/>
          <c:extLst>
            <c:ext xmlns:c16="http://schemas.microsoft.com/office/drawing/2014/chart" uri="{C3380CC4-5D6E-409C-BE32-E72D297353CC}">
              <c16:uniqueId val="{00000003-3C3D-4E2B-BF7C-486354662B6D}"/>
            </c:ext>
          </c:extLst>
        </c:ser>
        <c:dLbls>
          <c:showLegendKey val="0"/>
          <c:showVal val="0"/>
          <c:showCatName val="0"/>
          <c:showSerName val="0"/>
          <c:showPercent val="0"/>
          <c:showBubbleSize val="0"/>
        </c:dLbls>
        <c:axId val="724245464"/>
        <c:axId val="724245792"/>
      </c:scatterChart>
      <c:valAx>
        <c:axId val="724245464"/>
        <c:scaling>
          <c:orientation val="minMax"/>
          <c:max val="2018"/>
          <c:min val="201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5792"/>
        <c:crosses val="autoZero"/>
        <c:crossBetween val="midCat"/>
      </c:valAx>
      <c:valAx>
        <c:axId val="7242457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 Relative to 2018</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_);_(* \(#,##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5464"/>
        <c:crosses val="autoZero"/>
        <c:crossBetween val="midCat"/>
      </c:valAx>
      <c:spPr>
        <a:noFill/>
        <a:ln>
          <a:noFill/>
        </a:ln>
        <a:effectLst/>
      </c:spPr>
    </c:plotArea>
    <c:legend>
      <c:legendPos val="l"/>
      <c:layout>
        <c:manualLayout>
          <c:xMode val="edge"/>
          <c:yMode val="edge"/>
          <c:x val="0.33608061287540941"/>
          <c:y val="0.31110356448101095"/>
          <c:w val="0.20335706257669978"/>
          <c:h val="0.10593985698312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1DBDE5E-E331-4E93-912C-D65A467E5D6E}">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7</xdr:col>
      <xdr:colOff>533400</xdr:colOff>
      <xdr:row>60</xdr:row>
      <xdr:rowOff>82550</xdr:rowOff>
    </xdr:to>
    <xdr:pic>
      <xdr:nvPicPr>
        <xdr:cNvPr id="2" name="Picture 1" descr="LOGO">
          <a:extLst>
            <a:ext uri="{FF2B5EF4-FFF2-40B4-BE49-F238E27FC236}">
              <a16:creationId xmlns:a16="http://schemas.microsoft.com/office/drawing/2014/main" id="{55F6AB9C-9F8D-44F3-AEF0-4CEACD3E8C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051300"/>
          <a:ext cx="4705350" cy="634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95984" cy="6068934"/>
    <xdr:graphicFrame macro="">
      <xdr:nvGraphicFramePr>
        <xdr:cNvPr id="2" name="Chart 1">
          <a:extLst>
            <a:ext uri="{FF2B5EF4-FFF2-40B4-BE49-F238E27FC236}">
              <a16:creationId xmlns:a16="http://schemas.microsoft.com/office/drawing/2014/main" id="{9580B608-0CCE-4337-A3EA-95C7575C18D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ox.com/2018/12/12/18134882/lyft-uber-ride-car-market-share" TargetMode="External"/><Relationship Id="rId2" Type="http://schemas.openxmlformats.org/officeDocument/2006/relationships/hyperlink" Target="https://expandedramblings.com/index.php/uber-statistics/" TargetMode="External"/><Relationship Id="rId1" Type="http://schemas.openxmlformats.org/officeDocument/2006/relationships/hyperlink" Target="https://www.sec.gov/Archives/edgar/data/1543151/000119312519103850/d647752ds1.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businessofapps.com/data/uber-statistics/" TargetMode="External"/><Relationship Id="rId2" Type="http://schemas.openxmlformats.org/officeDocument/2006/relationships/hyperlink" Target="https://www.statista.com/statistics/916456/lyft-number-of-rides/" TargetMode="External"/><Relationship Id="rId1" Type="http://schemas.openxmlformats.org/officeDocument/2006/relationships/hyperlink" Target="https://www.sec.gov/Archives/edgar/data/1759509/000119312519059849/d633517ds1.htm" TargetMode="External"/><Relationship Id="rId5" Type="http://schemas.openxmlformats.org/officeDocument/2006/relationships/printerSettings" Target="../printerSettings/printerSettings2.bin"/><Relationship Id="rId4" Type="http://schemas.openxmlformats.org/officeDocument/2006/relationships/hyperlink" Target="https://www.vox.com/2018/12/12/18134882/lyft-uber-ride-car-market-shar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ox.com/2018/12/12/18134882/lyft-uber-ride-car-market-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workbookViewId="0">
      <selection activeCell="K5" sqref="K5"/>
    </sheetView>
  </sheetViews>
  <sheetFormatPr defaultRowHeight="14.5" x14ac:dyDescent="0.35"/>
  <cols>
    <col min="2" max="3" width="10.6328125" customWidth="1"/>
    <col min="5" max="5" width="10.26953125" customWidth="1"/>
    <col min="7" max="7" width="10.7265625" customWidth="1"/>
    <col min="8" max="8" width="11.36328125" customWidth="1"/>
    <col min="9" max="10" width="10.7265625" customWidth="1"/>
    <col min="11" max="11" width="5.26953125" customWidth="1"/>
    <col min="12" max="13" width="12.36328125" customWidth="1"/>
    <col min="14" max="14" width="4.7265625" customWidth="1"/>
    <col min="15" max="18" width="10.36328125" customWidth="1"/>
    <col min="19" max="19" width="9.453125" customWidth="1"/>
    <col min="20" max="20" width="9.08984375" bestFit="1" customWidth="1"/>
  </cols>
  <sheetData>
    <row r="1" spans="1:20" x14ac:dyDescent="0.35">
      <c r="B1" t="s">
        <v>0</v>
      </c>
    </row>
    <row r="2" spans="1:20" x14ac:dyDescent="0.35">
      <c r="B2" t="s">
        <v>8</v>
      </c>
      <c r="L2" t="s">
        <v>20</v>
      </c>
      <c r="O2" t="s">
        <v>35</v>
      </c>
    </row>
    <row r="3" spans="1:20" s="2" customFormat="1" ht="72.5" x14ac:dyDescent="0.35">
      <c r="B3" s="2" t="s">
        <v>5</v>
      </c>
      <c r="C3" s="2" t="s">
        <v>12</v>
      </c>
      <c r="D3" s="2" t="s">
        <v>24</v>
      </c>
      <c r="E3" s="2" t="s">
        <v>7</v>
      </c>
      <c r="F3" s="2" t="s">
        <v>6</v>
      </c>
      <c r="G3" s="2" t="s">
        <v>14</v>
      </c>
      <c r="H3" s="2" t="s">
        <v>36</v>
      </c>
      <c r="I3" s="2" t="s">
        <v>15</v>
      </c>
      <c r="J3" s="2" t="s">
        <v>25</v>
      </c>
      <c r="L3" s="2" t="s">
        <v>33</v>
      </c>
      <c r="M3" s="2" t="s">
        <v>31</v>
      </c>
      <c r="O3" s="2" t="s">
        <v>38</v>
      </c>
      <c r="P3" s="2" t="s">
        <v>44</v>
      </c>
      <c r="Q3" s="2" t="s">
        <v>28</v>
      </c>
      <c r="R3" s="2" t="s">
        <v>39</v>
      </c>
      <c r="S3" s="2" t="s">
        <v>41</v>
      </c>
      <c r="T3" s="2" t="s">
        <v>43</v>
      </c>
    </row>
    <row r="4" spans="1:20" x14ac:dyDescent="0.35">
      <c r="A4">
        <v>2012</v>
      </c>
      <c r="B4" s="3"/>
      <c r="C4" s="8">
        <f>C$8*0.2/6.6</f>
        <v>582.90909090909099</v>
      </c>
      <c r="D4" s="3"/>
      <c r="E4" s="3"/>
      <c r="F4" s="3"/>
      <c r="G4" s="3"/>
      <c r="H4" s="19">
        <v>1</v>
      </c>
      <c r="L4" s="3"/>
      <c r="M4" s="16"/>
      <c r="O4" s="3">
        <f>C4*H4</f>
        <v>582.90909090909099</v>
      </c>
      <c r="P4" s="3"/>
      <c r="Q4" s="3"/>
      <c r="R4" s="21"/>
      <c r="S4" s="22">
        <f>C4*D$8/C$8</f>
        <v>55.090909090909101</v>
      </c>
    </row>
    <row r="5" spans="1:20" x14ac:dyDescent="0.35">
      <c r="A5">
        <v>2013</v>
      </c>
      <c r="B5" s="3"/>
      <c r="C5" s="8">
        <f>C$8*0.8/6.6</f>
        <v>2331.636363636364</v>
      </c>
      <c r="D5" s="3"/>
      <c r="E5" s="3"/>
      <c r="F5" s="3"/>
      <c r="G5" s="3"/>
      <c r="H5" s="19">
        <v>1</v>
      </c>
      <c r="L5" s="3"/>
      <c r="M5" s="16"/>
      <c r="O5" s="3">
        <f t="shared" ref="O5:O10" si="0">C5*H5</f>
        <v>2331.636363636364</v>
      </c>
      <c r="P5" s="3"/>
      <c r="Q5" s="3"/>
      <c r="R5" s="21"/>
      <c r="S5" s="22">
        <f>C5*D$8/C$8</f>
        <v>220.3636363636364</v>
      </c>
    </row>
    <row r="6" spans="1:20" x14ac:dyDescent="0.35">
      <c r="A6">
        <v>2014</v>
      </c>
      <c r="B6" s="3">
        <v>495</v>
      </c>
      <c r="C6" s="8">
        <f>C$8*2/6.6</f>
        <v>5829.090909090909</v>
      </c>
      <c r="D6" s="3"/>
      <c r="E6" s="3"/>
      <c r="F6" s="3"/>
      <c r="G6" s="3"/>
      <c r="H6" s="19">
        <v>1</v>
      </c>
      <c r="L6" s="3">
        <v>140</v>
      </c>
      <c r="M6" s="16"/>
      <c r="O6" s="3">
        <f t="shared" si="0"/>
        <v>5829.090909090909</v>
      </c>
      <c r="P6" s="3"/>
      <c r="Q6" s="3"/>
      <c r="R6" s="21"/>
      <c r="S6" s="22">
        <f>C6*D$8/C$8</f>
        <v>550.90909090909099</v>
      </c>
    </row>
    <row r="7" spans="1:20" x14ac:dyDescent="0.35">
      <c r="A7">
        <v>2015</v>
      </c>
      <c r="B7" s="3">
        <v>1995</v>
      </c>
      <c r="C7" s="8">
        <f>C$8*3.6/6.6</f>
        <v>10492.363636363638</v>
      </c>
      <c r="D7" s="3"/>
      <c r="E7" s="3"/>
      <c r="F7" s="3"/>
      <c r="G7" s="3"/>
      <c r="H7" s="19">
        <v>1</v>
      </c>
      <c r="L7" s="3"/>
      <c r="M7" s="16">
        <f>1-Lyft!I7</f>
        <v>0.91600000000000004</v>
      </c>
      <c r="O7" s="3">
        <f t="shared" si="0"/>
        <v>10492.363636363638</v>
      </c>
      <c r="P7" s="3"/>
      <c r="Q7" s="3"/>
      <c r="R7" s="21"/>
      <c r="S7" s="22">
        <f>C7*D$8/C$8</f>
        <v>991.63636363636374</v>
      </c>
    </row>
    <row r="8" spans="1:20" x14ac:dyDescent="0.35">
      <c r="A8">
        <v>2016</v>
      </c>
      <c r="B8" s="3">
        <v>3845</v>
      </c>
      <c r="C8" s="3">
        <v>19236</v>
      </c>
      <c r="D8" s="3">
        <v>1818</v>
      </c>
      <c r="E8" s="4">
        <f>B8/C8</f>
        <v>0.19988563110833854</v>
      </c>
      <c r="F8" s="4">
        <f>C8/D8</f>
        <v>10.580858085808581</v>
      </c>
      <c r="G8" s="3">
        <v>18800</v>
      </c>
      <c r="H8" s="4">
        <f>G8/C8</f>
        <v>0.97733416510709092</v>
      </c>
      <c r="L8" s="3">
        <v>1818</v>
      </c>
      <c r="M8" s="16">
        <f>1-Lyft!I8</f>
        <v>0.85599999999999998</v>
      </c>
      <c r="O8" s="3">
        <f t="shared" si="0"/>
        <v>18800</v>
      </c>
      <c r="P8" s="3"/>
      <c r="Q8" s="3"/>
      <c r="R8" s="20">
        <f>O8/D8</f>
        <v>10.34103410341034</v>
      </c>
      <c r="S8" s="17">
        <f>D8</f>
        <v>1818</v>
      </c>
    </row>
    <row r="9" spans="1:20" x14ac:dyDescent="0.35">
      <c r="A9">
        <v>2017</v>
      </c>
      <c r="B9" s="3">
        <v>7932</v>
      </c>
      <c r="C9" s="3">
        <v>34409</v>
      </c>
      <c r="D9" s="3">
        <v>3736</v>
      </c>
      <c r="E9" s="4">
        <f>B9/C9</f>
        <v>0.23052108459995932</v>
      </c>
      <c r="F9" s="4">
        <f>C9/D9</f>
        <v>9.210117773019272</v>
      </c>
      <c r="G9" s="3"/>
      <c r="H9" s="19">
        <f>AVERAGE(H8,H10)</f>
        <v>0.90534211618875904</v>
      </c>
      <c r="L9" s="3">
        <v>3736</v>
      </c>
      <c r="M9" s="16">
        <f>1-Lyft!I9</f>
        <v>0.77800000000000002</v>
      </c>
      <c r="O9" s="3">
        <f t="shared" si="0"/>
        <v>31151.916875939009</v>
      </c>
      <c r="P9" s="3"/>
      <c r="Q9" s="3"/>
      <c r="R9" s="20">
        <f>O9/D9</f>
        <v>8.3383075149729677</v>
      </c>
      <c r="S9" s="17">
        <f>D9</f>
        <v>3736</v>
      </c>
    </row>
    <row r="10" spans="1:20" x14ac:dyDescent="0.35">
      <c r="A10">
        <v>2018</v>
      </c>
      <c r="B10" s="3">
        <v>11270</v>
      </c>
      <c r="C10" s="3">
        <v>49799</v>
      </c>
      <c r="D10" s="3">
        <v>5220</v>
      </c>
      <c r="E10" s="4">
        <f>B10/C10</f>
        <v>0.22630976525633045</v>
      </c>
      <c r="F10" s="4">
        <f>C10/D10</f>
        <v>9.540038314176245</v>
      </c>
      <c r="G10" s="3">
        <v>41500</v>
      </c>
      <c r="H10" s="4">
        <f t="shared" ref="H10" si="1">G10/C10</f>
        <v>0.83335006727042715</v>
      </c>
      <c r="I10">
        <v>0.52</v>
      </c>
      <c r="J10">
        <v>0.26</v>
      </c>
      <c r="L10" s="3">
        <v>5220</v>
      </c>
      <c r="M10" s="16">
        <f>1-Lyft!I10</f>
        <v>0.72899999999999998</v>
      </c>
      <c r="O10" s="3">
        <f t="shared" si="0"/>
        <v>41500</v>
      </c>
      <c r="P10" s="3">
        <f>O10*I10</f>
        <v>21580</v>
      </c>
      <c r="Q10" s="16">
        <f>P10/P12</f>
        <v>0.72821758790578395</v>
      </c>
      <c r="R10" s="20">
        <f>O10/D10</f>
        <v>7.9501915708812261</v>
      </c>
      <c r="S10" s="17">
        <f>D10</f>
        <v>5220</v>
      </c>
      <c r="T10" s="17">
        <f>S10*J10</f>
        <v>1357.2</v>
      </c>
    </row>
    <row r="11" spans="1:20" x14ac:dyDescent="0.35">
      <c r="B11" s="3"/>
      <c r="C11" s="3"/>
      <c r="D11" s="3"/>
      <c r="E11" s="3"/>
      <c r="F11" s="3"/>
      <c r="G11" s="3"/>
      <c r="H11" s="3"/>
    </row>
    <row r="12" spans="1:20" x14ac:dyDescent="0.35">
      <c r="B12" s="3"/>
      <c r="C12" s="3"/>
      <c r="D12" s="3"/>
      <c r="E12" s="3"/>
      <c r="F12" s="3"/>
      <c r="G12" s="3"/>
      <c r="H12" s="3"/>
      <c r="P12" s="17">
        <f>P10+Lyft!C10</f>
        <v>29634</v>
      </c>
    </row>
    <row r="13" spans="1:20" x14ac:dyDescent="0.35">
      <c r="A13" t="s">
        <v>10</v>
      </c>
    </row>
    <row r="14" spans="1:20" x14ac:dyDescent="0.35">
      <c r="A14" s="5" t="s">
        <v>9</v>
      </c>
      <c r="B14" s="1" t="s">
        <v>2</v>
      </c>
    </row>
    <row r="15" spans="1:20" x14ac:dyDescent="0.35">
      <c r="A15" s="5" t="s">
        <v>16</v>
      </c>
      <c r="B15" s="1" t="s">
        <v>34</v>
      </c>
    </row>
    <row r="16" spans="1:20" x14ac:dyDescent="0.35">
      <c r="A16" s="5" t="s">
        <v>29</v>
      </c>
      <c r="B16" s="1" t="s">
        <v>32</v>
      </c>
    </row>
    <row r="17" spans="1:9" x14ac:dyDescent="0.35">
      <c r="A17" s="5"/>
      <c r="B17" s="1"/>
    </row>
    <row r="18" spans="1:9" x14ac:dyDescent="0.35">
      <c r="A18" t="s">
        <v>11</v>
      </c>
    </row>
    <row r="19" spans="1:9" ht="58.5" customHeight="1" x14ac:dyDescent="0.35">
      <c r="A19" s="5">
        <v>1</v>
      </c>
      <c r="B19" s="13" t="s">
        <v>4</v>
      </c>
      <c r="C19" s="13"/>
      <c r="D19" s="13"/>
      <c r="E19" s="13"/>
      <c r="F19" s="13"/>
      <c r="G19" s="13"/>
      <c r="H19" s="13"/>
      <c r="I19" s="13"/>
    </row>
    <row r="20" spans="1:9" ht="26" customHeight="1" x14ac:dyDescent="0.35">
      <c r="A20" s="5">
        <v>2</v>
      </c>
      <c r="B20" s="13" t="s">
        <v>13</v>
      </c>
      <c r="C20" s="13"/>
      <c r="D20" s="13"/>
      <c r="E20" s="13"/>
      <c r="F20" s="13"/>
      <c r="G20" s="13"/>
      <c r="H20" s="13"/>
      <c r="I20" s="13"/>
    </row>
    <row r="21" spans="1:9" ht="42" customHeight="1" x14ac:dyDescent="0.35">
      <c r="A21" s="6">
        <v>3</v>
      </c>
      <c r="B21" s="14" t="s">
        <v>3</v>
      </c>
      <c r="C21" s="14"/>
      <c r="D21" s="14"/>
      <c r="E21" s="14"/>
      <c r="F21" s="14"/>
      <c r="G21" s="14"/>
      <c r="H21" s="14"/>
      <c r="I21" s="14"/>
    </row>
    <row r="22" spans="1:9" x14ac:dyDescent="0.35">
      <c r="A22" s="5">
        <v>4</v>
      </c>
      <c r="B22" t="s">
        <v>37</v>
      </c>
    </row>
    <row r="23" spans="1:9" x14ac:dyDescent="0.35">
      <c r="A23" s="5">
        <v>5</v>
      </c>
      <c r="B23" t="s">
        <v>40</v>
      </c>
    </row>
    <row r="24" spans="1:9" x14ac:dyDescent="0.35">
      <c r="A24" s="5">
        <v>6</v>
      </c>
      <c r="B24" t="s">
        <v>42</v>
      </c>
    </row>
    <row r="25" spans="1:9" x14ac:dyDescent="0.35">
      <c r="A25" s="5"/>
    </row>
    <row r="26" spans="1:9" x14ac:dyDescent="0.35">
      <c r="A26" s="5"/>
    </row>
  </sheetData>
  <mergeCells count="3">
    <mergeCell ref="B19:I19"/>
    <mergeCell ref="B20:I20"/>
    <mergeCell ref="B21:I21"/>
  </mergeCells>
  <hyperlinks>
    <hyperlink ref="B14" r:id="rId1" xr:uid="{ED2260F8-6001-4CA9-9FF2-FD9ECEE5934B}"/>
    <hyperlink ref="B15" r:id="rId2" xr:uid="{D9003CDF-C3BB-4FAB-BE20-ED3332E72AC6}"/>
    <hyperlink ref="B16" r:id="rId3" xr:uid="{8A594915-58A5-4F4D-B687-310B5DC9312F}"/>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0C3D-077E-45FE-B0AA-457E25BFDB42}">
  <dimension ref="A1:L27"/>
  <sheetViews>
    <sheetView topLeftCell="A3" workbookViewId="0">
      <selection activeCell="B16" sqref="B16"/>
    </sheetView>
  </sheetViews>
  <sheetFormatPr defaultRowHeight="14.5" x14ac:dyDescent="0.35"/>
  <cols>
    <col min="1" max="6" width="10.7265625" customWidth="1"/>
    <col min="7" max="7" width="5.7265625" customWidth="1"/>
    <col min="8" max="9" width="10.7265625" customWidth="1"/>
    <col min="10" max="10" width="4.08984375" customWidth="1"/>
    <col min="11" max="11" width="14.26953125" customWidth="1"/>
    <col min="12" max="12" width="13" customWidth="1"/>
  </cols>
  <sheetData>
    <row r="1" spans="1:12" x14ac:dyDescent="0.35">
      <c r="B1" t="s">
        <v>1</v>
      </c>
    </row>
    <row r="2" spans="1:12" x14ac:dyDescent="0.35">
      <c r="B2" t="s">
        <v>8</v>
      </c>
      <c r="H2" t="s">
        <v>20</v>
      </c>
      <c r="K2" t="s">
        <v>35</v>
      </c>
    </row>
    <row r="3" spans="1:12" s="2" customFormat="1" ht="87" x14ac:dyDescent="0.35">
      <c r="B3" s="2" t="s">
        <v>5</v>
      </c>
      <c r="C3" s="2" t="s">
        <v>19</v>
      </c>
      <c r="D3" s="2" t="s">
        <v>23</v>
      </c>
      <c r="E3" s="2" t="s">
        <v>7</v>
      </c>
      <c r="F3" s="2" t="s">
        <v>6</v>
      </c>
      <c r="H3" s="2" t="s">
        <v>21</v>
      </c>
      <c r="I3" s="2" t="s">
        <v>31</v>
      </c>
      <c r="K3" s="2" t="s">
        <v>45</v>
      </c>
      <c r="L3" s="2" t="s">
        <v>48</v>
      </c>
    </row>
    <row r="4" spans="1:12" x14ac:dyDescent="0.35">
      <c r="A4">
        <v>2012</v>
      </c>
      <c r="B4" s="3"/>
      <c r="C4" s="8"/>
      <c r="D4" s="3"/>
      <c r="E4" s="3"/>
      <c r="F4" s="3"/>
      <c r="G4" s="3"/>
      <c r="H4" s="9"/>
      <c r="K4" s="17"/>
    </row>
    <row r="5" spans="1:12" x14ac:dyDescent="0.35">
      <c r="A5">
        <v>2013</v>
      </c>
      <c r="B5" s="3"/>
      <c r="C5" s="8"/>
      <c r="D5" s="3"/>
      <c r="E5" s="3"/>
      <c r="F5" s="3"/>
      <c r="G5" s="3"/>
      <c r="H5" s="9">
        <v>2.7</v>
      </c>
      <c r="K5" s="17">
        <f t="shared" ref="K4:K6" si="0">H5/H6*K6</f>
        <v>31.616236162361631</v>
      </c>
      <c r="L5" s="17"/>
    </row>
    <row r="6" spans="1:12" x14ac:dyDescent="0.35">
      <c r="A6">
        <v>2014</v>
      </c>
      <c r="B6" s="3"/>
      <c r="C6" s="8"/>
      <c r="D6" s="3"/>
      <c r="E6" s="3"/>
      <c r="F6" s="3"/>
      <c r="G6" s="3"/>
      <c r="H6" s="9">
        <v>18.100000000000001</v>
      </c>
      <c r="K6" s="17">
        <f t="shared" si="0"/>
        <v>211.94587945879462</v>
      </c>
      <c r="L6" s="17"/>
    </row>
    <row r="7" spans="1:12" x14ac:dyDescent="0.35">
      <c r="A7">
        <v>2015</v>
      </c>
      <c r="B7" s="3"/>
      <c r="C7" s="8"/>
      <c r="D7" s="3"/>
      <c r="E7" s="3"/>
      <c r="F7" s="3"/>
      <c r="G7" s="3"/>
      <c r="H7" s="9">
        <v>53</v>
      </c>
      <c r="I7">
        <v>8.4000000000000005E-2</v>
      </c>
      <c r="K7" s="17">
        <f>H7/H8*K8</f>
        <v>620.6150061500615</v>
      </c>
      <c r="L7" s="17">
        <f t="shared" ref="L5:L9" si="1">K7*1/I7</f>
        <v>7388.2738827388266</v>
      </c>
    </row>
    <row r="8" spans="1:12" x14ac:dyDescent="0.35">
      <c r="A8">
        <v>2016</v>
      </c>
      <c r="B8" s="3">
        <f>C8*E8</f>
        <v>342.71999999999997</v>
      </c>
      <c r="C8" s="3">
        <v>1904</v>
      </c>
      <c r="D8" s="3">
        <f>29+36.5+44.3+52.6</f>
        <v>162.4</v>
      </c>
      <c r="E8" s="4">
        <v>0.18</v>
      </c>
      <c r="F8" s="4">
        <f>C8/D8</f>
        <v>11.724137931034482</v>
      </c>
      <c r="G8" s="3"/>
      <c r="H8" s="9">
        <v>162.6</v>
      </c>
      <c r="I8">
        <v>0.14399999999999999</v>
      </c>
      <c r="K8" s="17">
        <f t="shared" ref="K8:K9" si="2">C8</f>
        <v>1904</v>
      </c>
      <c r="L8" s="17">
        <f t="shared" si="1"/>
        <v>13222.222222222223</v>
      </c>
    </row>
    <row r="9" spans="1:12" x14ac:dyDescent="0.35">
      <c r="A9">
        <v>2017</v>
      </c>
      <c r="B9" s="3">
        <f>C9*E9</f>
        <v>1054.78</v>
      </c>
      <c r="C9" s="3">
        <v>4586</v>
      </c>
      <c r="D9" s="3">
        <f>70.4+85.8+103.1+116.3</f>
        <v>375.59999999999997</v>
      </c>
      <c r="E9" s="4">
        <v>0.23</v>
      </c>
      <c r="F9" s="4">
        <f>C9/D9</f>
        <v>12.209797657082003</v>
      </c>
      <c r="G9" s="3"/>
      <c r="H9" s="9">
        <v>375.6</v>
      </c>
      <c r="I9">
        <v>0.222</v>
      </c>
      <c r="K9" s="17">
        <f t="shared" si="2"/>
        <v>4586</v>
      </c>
      <c r="L9" s="17">
        <f t="shared" si="1"/>
        <v>20657.657657657659</v>
      </c>
    </row>
    <row r="10" spans="1:12" x14ac:dyDescent="0.35">
      <c r="A10">
        <v>2018</v>
      </c>
      <c r="B10" s="3">
        <f>C10*E10</f>
        <v>2094.04</v>
      </c>
      <c r="C10" s="3">
        <v>8054</v>
      </c>
      <c r="D10" s="3">
        <f>132.5+146.3+162.2+178.4</f>
        <v>619.4</v>
      </c>
      <c r="E10" s="4">
        <v>0.26</v>
      </c>
      <c r="F10" s="4">
        <f>C10/D10</f>
        <v>13.002906038101388</v>
      </c>
      <c r="G10" s="3"/>
      <c r="H10" s="9">
        <v>619.4</v>
      </c>
      <c r="I10">
        <v>0.27100000000000002</v>
      </c>
      <c r="K10" s="17">
        <f>C10</f>
        <v>8054</v>
      </c>
      <c r="L10" s="17">
        <f>K10*1/I10</f>
        <v>29719.557195571953</v>
      </c>
    </row>
    <row r="11" spans="1:12" x14ac:dyDescent="0.35">
      <c r="H11" s="18"/>
    </row>
    <row r="13" spans="1:12" x14ac:dyDescent="0.35">
      <c r="A13" t="s">
        <v>10</v>
      </c>
    </row>
    <row r="14" spans="1:12" x14ac:dyDescent="0.35">
      <c r="A14" s="5" t="s">
        <v>9</v>
      </c>
      <c r="B14" s="1" t="s">
        <v>17</v>
      </c>
    </row>
    <row r="15" spans="1:12" x14ac:dyDescent="0.35">
      <c r="A15" s="5" t="s">
        <v>16</v>
      </c>
      <c r="B15" s="1" t="s">
        <v>22</v>
      </c>
    </row>
    <row r="16" spans="1:12" x14ac:dyDescent="0.35">
      <c r="A16" s="5" t="s">
        <v>29</v>
      </c>
      <c r="B16" s="1" t="s">
        <v>32</v>
      </c>
    </row>
    <row r="17" spans="1:9" x14ac:dyDescent="0.35">
      <c r="A17" s="5"/>
      <c r="B17" s="1"/>
    </row>
    <row r="18" spans="1:9" x14ac:dyDescent="0.35">
      <c r="A18" s="5" t="s">
        <v>27</v>
      </c>
      <c r="B18" s="1" t="s">
        <v>30</v>
      </c>
    </row>
    <row r="19" spans="1:9" x14ac:dyDescent="0.35">
      <c r="A19" s="5"/>
    </row>
    <row r="20" spans="1:9" x14ac:dyDescent="0.35">
      <c r="A20" s="5"/>
    </row>
    <row r="21" spans="1:9" x14ac:dyDescent="0.35">
      <c r="A21" s="5"/>
    </row>
    <row r="22" spans="1:9" x14ac:dyDescent="0.35">
      <c r="A22" t="s">
        <v>11</v>
      </c>
    </row>
    <row r="23" spans="1:9" ht="58.5" customHeight="1" x14ac:dyDescent="0.35">
      <c r="A23">
        <v>1</v>
      </c>
      <c r="B23" s="13" t="s">
        <v>26</v>
      </c>
      <c r="C23" s="13"/>
      <c r="D23" s="13"/>
      <c r="E23" s="13"/>
      <c r="F23" s="13"/>
      <c r="G23" s="13"/>
      <c r="H23" s="13"/>
      <c r="I23" s="13"/>
    </row>
    <row r="24" spans="1:9" ht="26" customHeight="1" x14ac:dyDescent="0.35">
      <c r="A24">
        <v>2</v>
      </c>
      <c r="B24" s="13" t="s">
        <v>18</v>
      </c>
      <c r="C24" s="13"/>
      <c r="D24" s="13"/>
      <c r="E24" s="13"/>
      <c r="F24" s="13"/>
      <c r="G24" s="13"/>
      <c r="H24" s="13"/>
      <c r="I24" s="13"/>
    </row>
    <row r="25" spans="1:9" ht="42" customHeight="1" x14ac:dyDescent="0.35">
      <c r="A25">
        <v>3</v>
      </c>
      <c r="B25" t="s">
        <v>46</v>
      </c>
    </row>
    <row r="26" spans="1:9" x14ac:dyDescent="0.35">
      <c r="A26">
        <v>4</v>
      </c>
      <c r="B26" t="s">
        <v>47</v>
      </c>
    </row>
    <row r="27" spans="1:9" x14ac:dyDescent="0.35">
      <c r="A27">
        <v>5</v>
      </c>
      <c r="B27" t="s">
        <v>49</v>
      </c>
    </row>
  </sheetData>
  <mergeCells count="2">
    <mergeCell ref="B23:I23"/>
    <mergeCell ref="B24:I24"/>
  </mergeCells>
  <hyperlinks>
    <hyperlink ref="B14" r:id="rId1" xr:uid="{59A0D6D7-7DD5-4C67-9A30-46C00AA77B4B}"/>
    <hyperlink ref="B15" r:id="rId2" xr:uid="{5F0AA800-FE5F-4C13-B931-E7379C24DFC2}"/>
    <hyperlink ref="B18" r:id="rId3" xr:uid="{9F9E84DC-F994-40C3-B501-76D295AA7CC2}"/>
    <hyperlink ref="B16" r:id="rId4" xr:uid="{560082D6-E384-45E2-886F-68A8B61E299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DF8D-99DA-4339-A878-F79D73C6DC87}">
  <dimension ref="A1:AC64"/>
  <sheetViews>
    <sheetView tabSelected="1" zoomScale="75" zoomScaleNormal="75" workbookViewId="0">
      <selection activeCell="AB25" sqref="AB25"/>
    </sheetView>
  </sheetViews>
  <sheetFormatPr defaultRowHeight="14.5" x14ac:dyDescent="0.35"/>
  <cols>
    <col min="1" max="1" width="7.36328125" customWidth="1"/>
    <col min="2" max="2" width="8" customWidth="1"/>
    <col min="3" max="3" width="7.36328125" customWidth="1"/>
    <col min="4" max="4" width="4.54296875" customWidth="1"/>
    <col min="5" max="7" width="10.1796875" customWidth="1"/>
    <col min="8" max="8" width="4.54296875" customWidth="1"/>
    <col min="9" max="9" width="7.36328125" style="5" customWidth="1"/>
    <col min="10" max="10" width="8" customWidth="1"/>
    <col min="11" max="11" width="8.1796875" customWidth="1"/>
    <col min="12" max="12" width="9.6328125" customWidth="1"/>
    <col min="13" max="13" width="7.36328125" customWidth="1"/>
    <col min="14" max="14" width="3.453125" customWidth="1"/>
    <col min="15" max="15" width="7.36328125" customWidth="1"/>
    <col min="16" max="19" width="8.81640625" customWidth="1"/>
    <col min="20" max="20" width="2.1796875" customWidth="1"/>
    <col min="21" max="23" width="7.36328125" customWidth="1"/>
    <col min="24" max="24" width="3.90625" customWidth="1"/>
    <col min="25" max="28" width="7.36328125" customWidth="1"/>
  </cols>
  <sheetData>
    <row r="1" spans="1:29" x14ac:dyDescent="0.35">
      <c r="A1" s="34" t="s">
        <v>71</v>
      </c>
    </row>
    <row r="2" spans="1:29" ht="30" customHeight="1" x14ac:dyDescent="0.35">
      <c r="A2" s="11" t="s">
        <v>59</v>
      </c>
      <c r="B2" s="11"/>
      <c r="C2" s="11"/>
      <c r="E2" s="11" t="s">
        <v>63</v>
      </c>
      <c r="F2" s="11"/>
      <c r="G2" s="11"/>
      <c r="I2" s="11" t="s">
        <v>64</v>
      </c>
      <c r="J2" s="11"/>
      <c r="K2" s="11"/>
      <c r="L2" s="11"/>
      <c r="M2" s="11"/>
      <c r="O2" s="11" t="s">
        <v>65</v>
      </c>
      <c r="P2" s="11"/>
      <c r="Q2" s="11"/>
      <c r="R2" s="11"/>
      <c r="S2" s="11"/>
      <c r="T2" s="10"/>
      <c r="U2" s="12" t="s">
        <v>68</v>
      </c>
      <c r="V2" s="12"/>
      <c r="W2" s="12"/>
      <c r="X2" s="10"/>
      <c r="Y2" s="11" t="s">
        <v>69</v>
      </c>
      <c r="Z2" s="11"/>
      <c r="AA2" s="11"/>
      <c r="AB2" s="11"/>
      <c r="AC2" s="11"/>
    </row>
    <row r="3" spans="1:29" x14ac:dyDescent="0.35">
      <c r="A3" s="23"/>
      <c r="B3" s="2" t="s">
        <v>0</v>
      </c>
      <c r="C3" t="s">
        <v>1</v>
      </c>
      <c r="F3" s="2" t="s">
        <v>0</v>
      </c>
      <c r="G3" t="s">
        <v>1</v>
      </c>
      <c r="I3" s="23"/>
      <c r="J3" s="2" t="s">
        <v>0</v>
      </c>
      <c r="K3" t="s">
        <v>1</v>
      </c>
      <c r="L3" t="s">
        <v>27</v>
      </c>
      <c r="M3" t="s">
        <v>50</v>
      </c>
      <c r="P3" s="2" t="s">
        <v>0</v>
      </c>
      <c r="Q3" t="s">
        <v>1</v>
      </c>
      <c r="R3" t="s">
        <v>27</v>
      </c>
      <c r="S3" t="s">
        <v>50</v>
      </c>
      <c r="V3" s="2" t="s">
        <v>0</v>
      </c>
      <c r="W3" t="s">
        <v>1</v>
      </c>
      <c r="Z3" s="2" t="s">
        <v>0</v>
      </c>
      <c r="AA3" t="s">
        <v>1</v>
      </c>
      <c r="AB3" t="s">
        <v>27</v>
      </c>
      <c r="AC3" t="s">
        <v>50</v>
      </c>
    </row>
    <row r="4" spans="1:29" x14ac:dyDescent="0.35">
      <c r="A4" s="5">
        <v>2012</v>
      </c>
      <c r="B4" s="25">
        <f>Uber!C4</f>
        <v>582.90909090909099</v>
      </c>
      <c r="C4" s="3"/>
      <c r="E4" s="5">
        <v>2012</v>
      </c>
      <c r="F4" s="3"/>
      <c r="G4" s="3"/>
      <c r="I4" s="5">
        <v>2012</v>
      </c>
      <c r="J4" s="24"/>
      <c r="K4" s="28"/>
      <c r="L4" s="30"/>
      <c r="M4" s="27">
        <f>SUM(J4:L4)</f>
        <v>0</v>
      </c>
      <c r="O4" s="5">
        <v>2012</v>
      </c>
      <c r="P4" s="7"/>
      <c r="Q4" s="7"/>
      <c r="R4" s="7"/>
      <c r="S4" s="31"/>
      <c r="T4" s="17"/>
      <c r="U4" s="5">
        <v>2012</v>
      </c>
      <c r="V4" s="33"/>
      <c r="W4" s="4"/>
      <c r="X4" s="17"/>
      <c r="Y4" s="5">
        <v>2012</v>
      </c>
      <c r="Z4" s="3"/>
      <c r="AA4" s="3"/>
      <c r="AB4" s="8"/>
      <c r="AC4" s="3"/>
    </row>
    <row r="5" spans="1:29" x14ac:dyDescent="0.35">
      <c r="A5" s="5">
        <v>2013</v>
      </c>
      <c r="B5" s="25">
        <f>Uber!C5</f>
        <v>2331.636363636364</v>
      </c>
      <c r="C5" s="3"/>
      <c r="E5" s="5">
        <v>2013</v>
      </c>
      <c r="F5" s="3"/>
      <c r="G5" s="3">
        <f>Lyft!H5</f>
        <v>2.7</v>
      </c>
      <c r="I5" s="5">
        <v>2013</v>
      </c>
      <c r="J5" s="24"/>
      <c r="K5" s="28"/>
      <c r="L5" s="30"/>
      <c r="M5" s="27">
        <f t="shared" ref="M5:M10" si="0">SUM(J5:L5)</f>
        <v>0</v>
      </c>
      <c r="O5" s="5">
        <v>2013</v>
      </c>
      <c r="P5" s="7"/>
      <c r="Q5" s="7"/>
      <c r="R5" s="7"/>
      <c r="S5" s="31"/>
      <c r="T5" s="17"/>
      <c r="U5" s="5">
        <v>2013</v>
      </c>
      <c r="V5" s="33"/>
      <c r="W5" s="4"/>
      <c r="X5" s="17"/>
      <c r="Y5" s="5">
        <v>2013</v>
      </c>
      <c r="Z5" s="3"/>
      <c r="AA5" s="3">
        <f>Lyft!H5</f>
        <v>2.7</v>
      </c>
      <c r="AB5" s="8"/>
      <c r="AC5" s="3"/>
    </row>
    <row r="6" spans="1:29" x14ac:dyDescent="0.35">
      <c r="A6" s="5">
        <v>2014</v>
      </c>
      <c r="B6" s="25">
        <f>Uber!C6</f>
        <v>5829.090909090909</v>
      </c>
      <c r="C6" s="3"/>
      <c r="E6" s="5">
        <v>2014</v>
      </c>
      <c r="F6" s="3"/>
      <c r="G6" s="3">
        <f>Lyft!H6</f>
        <v>18.100000000000001</v>
      </c>
      <c r="I6" s="5">
        <v>2014</v>
      </c>
      <c r="J6" s="24"/>
      <c r="K6" s="29"/>
      <c r="L6" s="30"/>
      <c r="M6" s="27">
        <f t="shared" si="0"/>
        <v>0</v>
      </c>
      <c r="O6" s="5">
        <v>2014</v>
      </c>
      <c r="P6" s="7"/>
      <c r="Q6" s="7"/>
      <c r="R6" s="7"/>
      <c r="S6" s="31"/>
      <c r="T6" s="17"/>
      <c r="U6" s="5">
        <v>2014</v>
      </c>
      <c r="V6" s="33"/>
      <c r="W6" s="4"/>
      <c r="X6" s="17"/>
      <c r="Y6" s="5">
        <v>2014</v>
      </c>
      <c r="Z6" s="8"/>
      <c r="AA6" s="3">
        <f>Lyft!H6</f>
        <v>18.100000000000001</v>
      </c>
      <c r="AB6" s="8"/>
      <c r="AC6" s="3"/>
    </row>
    <row r="7" spans="1:29" x14ac:dyDescent="0.35">
      <c r="A7" s="5">
        <v>2015</v>
      </c>
      <c r="B7" s="25">
        <f>Uber!C7</f>
        <v>10492.363636363638</v>
      </c>
      <c r="C7" s="3"/>
      <c r="E7" s="5">
        <v>2015</v>
      </c>
      <c r="F7" s="3"/>
      <c r="G7" s="3">
        <f>Lyft!H7</f>
        <v>53</v>
      </c>
      <c r="I7" s="5">
        <v>2015</v>
      </c>
      <c r="J7" s="26">
        <v>0.91100000000000003</v>
      </c>
      <c r="K7">
        <f>Lyft!I7</f>
        <v>8.4000000000000005E-2</v>
      </c>
      <c r="L7" s="18">
        <f t="shared" ref="L7:L9" si="1">1-SUM(J7:K7)</f>
        <v>5.0000000000000044E-3</v>
      </c>
      <c r="M7" s="27">
        <f t="shared" si="0"/>
        <v>1</v>
      </c>
      <c r="O7" s="5">
        <v>2015</v>
      </c>
      <c r="P7" s="3">
        <f>Q7*J7/K7</f>
        <v>6730.7175071750726</v>
      </c>
      <c r="Q7" s="3">
        <f>Lyft!K7</f>
        <v>620.6150061500615</v>
      </c>
      <c r="R7" s="3">
        <f>Q7*L7/K7</f>
        <v>36.941369413694169</v>
      </c>
      <c r="S7" s="17">
        <f t="shared" ref="S7:S9" si="2">SUM(P7:R7)</f>
        <v>7388.2738827388275</v>
      </c>
      <c r="T7" s="17"/>
      <c r="U7" s="5">
        <v>2015</v>
      </c>
      <c r="V7" s="4">
        <f t="shared" ref="V7:W10" si="3">P7/B7</f>
        <v>0.64148725115171024</v>
      </c>
      <c r="W7" s="4"/>
      <c r="X7" s="17"/>
      <c r="Y7" s="5">
        <v>2015</v>
      </c>
      <c r="Z7" s="8"/>
      <c r="AA7" s="3">
        <f>Lyft!H7</f>
        <v>53</v>
      </c>
      <c r="AB7" s="8"/>
      <c r="AC7" s="3"/>
    </row>
    <row r="8" spans="1:29" x14ac:dyDescent="0.35">
      <c r="A8" s="5">
        <v>2016</v>
      </c>
      <c r="B8" s="25">
        <f>Uber!C8</f>
        <v>19236</v>
      </c>
      <c r="C8" s="3">
        <f>Lyft!C8</f>
        <v>1904</v>
      </c>
      <c r="E8" s="5">
        <v>2016</v>
      </c>
      <c r="F8" s="3">
        <f>Uber!D8</f>
        <v>1818</v>
      </c>
      <c r="G8" s="3">
        <f>Lyft!H8</f>
        <v>162.6</v>
      </c>
      <c r="I8" s="5">
        <v>2016</v>
      </c>
      <c r="J8" s="26">
        <v>0.83599999999999997</v>
      </c>
      <c r="K8">
        <f>Lyft!I8</f>
        <v>0.14399999999999999</v>
      </c>
      <c r="L8" s="18">
        <f t="shared" si="1"/>
        <v>2.0000000000000018E-2</v>
      </c>
      <c r="M8" s="27">
        <f t="shared" si="0"/>
        <v>1</v>
      </c>
      <c r="O8" s="5">
        <v>2016</v>
      </c>
      <c r="P8" s="3">
        <f>Q8*J8/K8</f>
        <v>11053.777777777777</v>
      </c>
      <c r="Q8" s="3">
        <f>Lyft!K8</f>
        <v>1904</v>
      </c>
      <c r="R8" s="3">
        <f>Q8*L8/K8</f>
        <v>264.44444444444468</v>
      </c>
      <c r="S8" s="17">
        <f t="shared" si="2"/>
        <v>13222.222222222223</v>
      </c>
      <c r="T8" s="17"/>
      <c r="U8" s="5">
        <v>2016</v>
      </c>
      <c r="V8" s="4">
        <f t="shared" si="3"/>
        <v>0.5746401423257318</v>
      </c>
      <c r="W8" s="4">
        <f>Q8/C8</f>
        <v>1</v>
      </c>
      <c r="X8" s="17"/>
      <c r="Y8" s="5">
        <v>2016</v>
      </c>
      <c r="Z8" s="8"/>
      <c r="AA8" s="3">
        <f>Lyft!H8</f>
        <v>162.6</v>
      </c>
      <c r="AB8" s="8"/>
      <c r="AC8" s="3"/>
    </row>
    <row r="9" spans="1:29" x14ac:dyDescent="0.35">
      <c r="A9" s="5">
        <v>2017</v>
      </c>
      <c r="B9" s="25">
        <f>Uber!C9</f>
        <v>34409</v>
      </c>
      <c r="C9" s="3">
        <f>Lyft!C9</f>
        <v>4586</v>
      </c>
      <c r="E9" s="5">
        <v>2017</v>
      </c>
      <c r="F9" s="3">
        <f>Uber!D9</f>
        <v>3736</v>
      </c>
      <c r="G9" s="3">
        <f>Lyft!H9</f>
        <v>375.6</v>
      </c>
      <c r="I9" s="5">
        <v>2017</v>
      </c>
      <c r="J9" s="26">
        <v>0.755</v>
      </c>
      <c r="K9">
        <f>Lyft!I9</f>
        <v>0.222</v>
      </c>
      <c r="L9" s="18">
        <f t="shared" si="1"/>
        <v>2.300000000000002E-2</v>
      </c>
      <c r="M9" s="27">
        <f t="shared" si="0"/>
        <v>1</v>
      </c>
      <c r="O9" s="5">
        <v>2017</v>
      </c>
      <c r="P9" s="3">
        <f>Q9*J9/K9</f>
        <v>15596.531531531531</v>
      </c>
      <c r="Q9" s="3">
        <f>Lyft!K9</f>
        <v>4586</v>
      </c>
      <c r="R9" s="3">
        <f>Q9*L9/K9</f>
        <v>475.12612612612656</v>
      </c>
      <c r="S9" s="17">
        <f t="shared" si="2"/>
        <v>20657.657657657659</v>
      </c>
      <c r="T9" s="17"/>
      <c r="U9" s="5">
        <v>2017</v>
      </c>
      <c r="V9" s="4">
        <f t="shared" si="3"/>
        <v>0.45326895671282313</v>
      </c>
      <c r="W9" s="4">
        <f t="shared" si="3"/>
        <v>1</v>
      </c>
      <c r="X9" s="17"/>
      <c r="Y9" s="5">
        <v>2017</v>
      </c>
      <c r="Z9" s="8"/>
      <c r="AA9" s="3">
        <f>Lyft!H9</f>
        <v>375.6</v>
      </c>
      <c r="AB9" s="8"/>
      <c r="AC9" s="3"/>
    </row>
    <row r="10" spans="1:29" x14ac:dyDescent="0.35">
      <c r="A10" s="5">
        <v>2018</v>
      </c>
      <c r="B10" s="25">
        <f>Uber!C10</f>
        <v>49799</v>
      </c>
      <c r="C10" s="3">
        <f>Lyft!C10</f>
        <v>8054</v>
      </c>
      <c r="E10" s="5">
        <v>2018</v>
      </c>
      <c r="F10" s="3">
        <f>Uber!D10</f>
        <v>5220</v>
      </c>
      <c r="G10" s="3">
        <f>Lyft!H10</f>
        <v>619.4</v>
      </c>
      <c r="I10" s="5">
        <v>2018</v>
      </c>
      <c r="J10" s="26">
        <v>0.70099999999999996</v>
      </c>
      <c r="K10">
        <f>Lyft!I10</f>
        <v>0.27100000000000002</v>
      </c>
      <c r="L10" s="18">
        <f>1-SUM(J10:K10)</f>
        <v>2.8000000000000025E-2</v>
      </c>
      <c r="M10" s="27">
        <f t="shared" si="0"/>
        <v>1</v>
      </c>
      <c r="O10" s="5">
        <v>2018</v>
      </c>
      <c r="P10" s="3">
        <f>Q10*J10/K10</f>
        <v>20833.409594095938</v>
      </c>
      <c r="Q10" s="3">
        <f>Lyft!K10</f>
        <v>8054</v>
      </c>
      <c r="R10" s="3">
        <f>Q10*L10/K10</f>
        <v>832.14760147601544</v>
      </c>
      <c r="S10" s="17">
        <f>SUM(P10:R10)</f>
        <v>29719.557195571953</v>
      </c>
      <c r="T10" s="17"/>
      <c r="U10" s="5">
        <v>2018</v>
      </c>
      <c r="V10" s="4">
        <f t="shared" si="3"/>
        <v>0.41834995871595693</v>
      </c>
      <c r="W10" s="4">
        <f t="shared" si="3"/>
        <v>1</v>
      </c>
      <c r="X10" s="17"/>
      <c r="Y10" s="5">
        <v>2018</v>
      </c>
      <c r="Z10" s="3">
        <f>F10*Uber!J10</f>
        <v>1357.2</v>
      </c>
      <c r="AA10" s="3">
        <f>Lyft!H10</f>
        <v>619.4</v>
      </c>
      <c r="AB10" s="8"/>
      <c r="AC10" s="3"/>
    </row>
    <row r="11" spans="1:29" x14ac:dyDescent="0.35">
      <c r="A11" s="5"/>
      <c r="B11" s="25"/>
      <c r="C11" s="3"/>
      <c r="E11" s="5"/>
      <c r="F11" s="3"/>
      <c r="G11" s="3"/>
      <c r="J11" s="26"/>
      <c r="L11" s="18"/>
      <c r="M11" s="27"/>
      <c r="O11" s="5"/>
      <c r="P11" s="3"/>
      <c r="Q11" s="3"/>
      <c r="R11" s="3"/>
      <c r="S11" s="17"/>
      <c r="T11" s="17"/>
      <c r="U11" s="5"/>
      <c r="V11" s="4"/>
      <c r="W11" s="4"/>
      <c r="X11" s="17"/>
      <c r="Y11" s="5"/>
      <c r="Z11" s="3"/>
      <c r="AA11" s="3"/>
      <c r="AB11" s="8"/>
      <c r="AC11" s="3"/>
    </row>
    <row r="12" spans="1:29" x14ac:dyDescent="0.35">
      <c r="A12" s="35" t="s">
        <v>72</v>
      </c>
      <c r="B12" s="25"/>
      <c r="C12" s="3"/>
      <c r="E12" s="5"/>
      <c r="F12" s="3"/>
      <c r="G12" s="3"/>
      <c r="J12" s="26"/>
      <c r="L12" s="18"/>
      <c r="M12" s="27"/>
      <c r="O12" s="5"/>
      <c r="P12" s="3"/>
      <c r="Q12" s="3"/>
      <c r="R12" s="3"/>
      <c r="S12" s="17"/>
      <c r="T12" s="17"/>
      <c r="U12" s="5"/>
      <c r="V12" s="4"/>
      <c r="W12" s="4"/>
      <c r="X12" s="17"/>
      <c r="Y12" s="5"/>
      <c r="Z12" s="3"/>
      <c r="AA12" s="3"/>
      <c r="AB12" s="8"/>
      <c r="AC12" s="3"/>
    </row>
    <row r="13" spans="1:29" x14ac:dyDescent="0.35">
      <c r="A13" s="5"/>
      <c r="B13" s="25"/>
      <c r="C13" s="3"/>
      <c r="E13" s="5"/>
      <c r="F13" s="3"/>
      <c r="G13" s="3"/>
      <c r="J13" s="26"/>
      <c r="L13" s="18"/>
      <c r="M13" s="27"/>
      <c r="O13" s="5"/>
      <c r="P13" s="3"/>
      <c r="Q13" s="3"/>
      <c r="R13" s="3"/>
      <c r="S13" s="17"/>
      <c r="T13" s="17"/>
      <c r="U13" s="5"/>
      <c r="V13" s="4"/>
      <c r="W13" s="4"/>
      <c r="X13" s="17"/>
      <c r="Y13" s="5"/>
      <c r="Z13" s="3"/>
      <c r="AA13" s="3"/>
      <c r="AB13" s="8"/>
      <c r="AC13" s="3"/>
    </row>
    <row r="14" spans="1:29" ht="29" customHeight="1" x14ac:dyDescent="0.35">
      <c r="A14" s="11" t="s">
        <v>73</v>
      </c>
      <c r="B14" s="11"/>
      <c r="C14" s="11"/>
      <c r="E14" s="11" t="s">
        <v>74</v>
      </c>
      <c r="F14" s="11"/>
      <c r="G14" s="11"/>
      <c r="I14" s="11" t="s">
        <v>75</v>
      </c>
      <c r="J14" s="11"/>
      <c r="K14" s="11"/>
      <c r="L14" s="11"/>
      <c r="M14" s="11"/>
      <c r="O14" s="11" t="s">
        <v>76</v>
      </c>
      <c r="P14" s="11"/>
      <c r="Q14" s="11"/>
      <c r="R14" s="11"/>
      <c r="S14" s="11"/>
      <c r="T14" s="10"/>
      <c r="U14" s="12" t="s">
        <v>77</v>
      </c>
      <c r="V14" s="12"/>
      <c r="W14" s="12"/>
      <c r="X14" s="10"/>
      <c r="Y14" s="11" t="s">
        <v>78</v>
      </c>
      <c r="Z14" s="11"/>
      <c r="AA14" s="11"/>
      <c r="AB14" s="11"/>
      <c r="AC14" s="11"/>
    </row>
    <row r="15" spans="1:29" x14ac:dyDescent="0.35">
      <c r="A15" s="23"/>
      <c r="B15" s="2" t="s">
        <v>0</v>
      </c>
      <c r="C15" t="s">
        <v>1</v>
      </c>
      <c r="F15" s="2" t="s">
        <v>0</v>
      </c>
      <c r="G15" t="s">
        <v>1</v>
      </c>
      <c r="I15" s="23"/>
      <c r="J15" s="2" t="s">
        <v>0</v>
      </c>
      <c r="K15" t="s">
        <v>1</v>
      </c>
      <c r="L15" t="s">
        <v>27</v>
      </c>
      <c r="M15" t="s">
        <v>50</v>
      </c>
      <c r="P15" s="2" t="s">
        <v>0</v>
      </c>
      <c r="Q15" t="s">
        <v>1</v>
      </c>
      <c r="R15" t="s">
        <v>27</v>
      </c>
      <c r="S15" s="40" t="s">
        <v>50</v>
      </c>
      <c r="V15" s="2" t="s">
        <v>0</v>
      </c>
      <c r="W15" t="s">
        <v>1</v>
      </c>
      <c r="Z15" s="2" t="s">
        <v>0</v>
      </c>
      <c r="AA15" t="s">
        <v>1</v>
      </c>
      <c r="AB15" t="s">
        <v>27</v>
      </c>
      <c r="AC15" s="40" t="s">
        <v>50</v>
      </c>
    </row>
    <row r="16" spans="1:29" x14ac:dyDescent="0.35">
      <c r="A16" s="5">
        <v>2012</v>
      </c>
      <c r="B16" s="25">
        <f>B4</f>
        <v>582.90909090909099</v>
      </c>
      <c r="C16" s="7">
        <f t="shared" ref="C16:C18" si="4">C17*G4/G5</f>
        <v>0</v>
      </c>
      <c r="E16" s="5">
        <v>2012</v>
      </c>
      <c r="F16" s="7">
        <f t="shared" ref="F16:F18" si="5">F17*B16/B17</f>
        <v>55.090909090909093</v>
      </c>
      <c r="G16" s="25">
        <f>G4</f>
        <v>0</v>
      </c>
      <c r="I16" s="5">
        <v>2012</v>
      </c>
      <c r="J16" s="37">
        <v>1</v>
      </c>
      <c r="K16" s="37">
        <v>0</v>
      </c>
      <c r="L16" s="37">
        <v>0</v>
      </c>
      <c r="M16" s="27">
        <f>SUM(J16:L16)</f>
        <v>1</v>
      </c>
      <c r="O16" s="5">
        <v>2012</v>
      </c>
      <c r="P16" s="7">
        <f>B16</f>
        <v>582.90909090909099</v>
      </c>
      <c r="Q16" s="7">
        <f t="shared" ref="Q16:Q17" si="6">C16</f>
        <v>0</v>
      </c>
      <c r="R16" s="7">
        <f t="shared" ref="R16" si="7">R4</f>
        <v>0</v>
      </c>
      <c r="S16" s="41">
        <f t="shared" ref="S16:S18" si="8">SUM(P16:R16)</f>
        <v>582.90909090909099</v>
      </c>
      <c r="T16" s="17"/>
      <c r="U16" s="5">
        <v>2012</v>
      </c>
      <c r="V16" s="36">
        <v>1</v>
      </c>
      <c r="W16" s="36"/>
      <c r="X16" s="17"/>
      <c r="Y16" s="5">
        <v>2012</v>
      </c>
      <c r="Z16" s="3">
        <f t="shared" ref="Z16:Z20" si="9">Z17*P16/P17</f>
        <v>37.973823468915924</v>
      </c>
      <c r="AA16" s="3">
        <f t="shared" ref="AA16" si="10">AA4</f>
        <v>0</v>
      </c>
      <c r="AB16" s="3" t="s">
        <v>89</v>
      </c>
      <c r="AC16" s="42">
        <f>SUM(Z16:AB16)</f>
        <v>37.973823468915924</v>
      </c>
    </row>
    <row r="17" spans="1:29" x14ac:dyDescent="0.35">
      <c r="A17" s="5">
        <v>2013</v>
      </c>
      <c r="B17" s="25">
        <f t="shared" ref="B17:C22" si="11">B5</f>
        <v>2331.636363636364</v>
      </c>
      <c r="C17" s="7">
        <f t="shared" si="4"/>
        <v>31.616236162361623</v>
      </c>
      <c r="E17" s="5">
        <v>2013</v>
      </c>
      <c r="F17" s="7">
        <f t="shared" si="5"/>
        <v>220.36363636363637</v>
      </c>
      <c r="G17" s="25">
        <f t="shared" ref="G17" si="12">G5</f>
        <v>2.7</v>
      </c>
      <c r="I17" s="5">
        <v>2013</v>
      </c>
      <c r="J17" s="37">
        <f>1-SUM(K17:L17)</f>
        <v>0.98434940875354404</v>
      </c>
      <c r="K17" s="37">
        <f>Q17/S17</f>
        <v>1.5650591246456E-2</v>
      </c>
      <c r="L17" s="37">
        <v>0</v>
      </c>
      <c r="M17" s="27">
        <f t="shared" ref="M17:M22" si="13">SUM(J17:L17)</f>
        <v>1</v>
      </c>
      <c r="O17" s="5">
        <v>2013</v>
      </c>
      <c r="P17" s="38">
        <f>V17*B17</f>
        <v>1988.5142282072172</v>
      </c>
      <c r="Q17" s="7">
        <f t="shared" si="6"/>
        <v>31.616236162361623</v>
      </c>
      <c r="R17" s="7">
        <f t="shared" ref="P17:R22" si="14">R5</f>
        <v>0</v>
      </c>
      <c r="S17" s="41">
        <f t="shared" si="8"/>
        <v>2020.1304643695789</v>
      </c>
      <c r="T17" s="17"/>
      <c r="U17" s="5">
        <v>2013</v>
      </c>
      <c r="V17" s="39">
        <f>AVERAGE(V16,V18)</f>
        <v>0.85284063124919629</v>
      </c>
      <c r="W17" s="36">
        <f t="shared" ref="W17:W21" si="15">Q17/C17</f>
        <v>1</v>
      </c>
      <c r="X17" s="17"/>
      <c r="Y17" s="5">
        <v>2013</v>
      </c>
      <c r="Z17" s="3">
        <f t="shared" si="9"/>
        <v>129.5424783127032</v>
      </c>
      <c r="AA17" s="3">
        <f t="shared" ref="Z17:AA22" si="16">AA5</f>
        <v>2.7</v>
      </c>
      <c r="AB17" s="3">
        <f t="shared" ref="AB17:AB21" si="17">AA17*R17/Q17</f>
        <v>0</v>
      </c>
      <c r="AC17" s="42">
        <f t="shared" ref="AC17:AC22" si="18">SUM(Z17:AB17)</f>
        <v>132.24247831270318</v>
      </c>
    </row>
    <row r="18" spans="1:29" x14ac:dyDescent="0.35">
      <c r="A18" s="5">
        <v>2014</v>
      </c>
      <c r="B18" s="25">
        <f t="shared" si="11"/>
        <v>5829.090909090909</v>
      </c>
      <c r="C18" s="7">
        <f t="shared" si="4"/>
        <v>211.94587945879459</v>
      </c>
      <c r="E18" s="5">
        <v>2014</v>
      </c>
      <c r="F18" s="7">
        <f t="shared" si="5"/>
        <v>550.90909090909088</v>
      </c>
      <c r="G18" s="25">
        <f t="shared" ref="G18" si="19">G6</f>
        <v>18.100000000000001</v>
      </c>
      <c r="I18" s="5">
        <v>2014</v>
      </c>
      <c r="J18" s="37">
        <f>1-SUM(K18:L18)</f>
        <v>0.95099999999999996</v>
      </c>
      <c r="K18" s="37">
        <f>K19*K19/K20</f>
        <v>4.9000000000000009E-2</v>
      </c>
      <c r="L18" s="37">
        <v>0</v>
      </c>
      <c r="M18" s="27">
        <f t="shared" si="13"/>
        <v>1</v>
      </c>
      <c r="O18" s="5">
        <v>2014</v>
      </c>
      <c r="P18" s="7">
        <f>J18/K18*Q18</f>
        <v>4113.4802319451755</v>
      </c>
      <c r="Q18" s="7">
        <f>C18</f>
        <v>211.94587945879459</v>
      </c>
      <c r="R18" s="7">
        <f t="shared" si="14"/>
        <v>0</v>
      </c>
      <c r="S18" s="41">
        <f t="shared" si="8"/>
        <v>4325.42611140397</v>
      </c>
      <c r="T18" s="17"/>
      <c r="U18" s="5">
        <v>2014</v>
      </c>
      <c r="V18" s="36">
        <f t="shared" ref="V18:V21" si="20">P18/B18</f>
        <v>0.70568126249839258</v>
      </c>
      <c r="W18" s="36">
        <f t="shared" si="15"/>
        <v>1</v>
      </c>
      <c r="X18" s="17"/>
      <c r="Y18" s="5">
        <v>2014</v>
      </c>
      <c r="Z18" s="3">
        <f t="shared" si="9"/>
        <v>267.97415687435671</v>
      </c>
      <c r="AA18" s="3">
        <f t="shared" si="16"/>
        <v>18.100000000000001</v>
      </c>
      <c r="AB18" s="3">
        <f t="shared" si="17"/>
        <v>0</v>
      </c>
      <c r="AC18" s="42">
        <f t="shared" si="18"/>
        <v>286.07415687435673</v>
      </c>
    </row>
    <row r="19" spans="1:29" x14ac:dyDescent="0.35">
      <c r="A19" s="5">
        <v>2015</v>
      </c>
      <c r="B19" s="25">
        <f t="shared" si="11"/>
        <v>10492.363636363638</v>
      </c>
      <c r="C19" s="7">
        <f>C20*G7/G8</f>
        <v>620.6150061500615</v>
      </c>
      <c r="E19" s="5">
        <v>2015</v>
      </c>
      <c r="F19" s="7">
        <f>F20*B19/B20</f>
        <v>991.63636363636374</v>
      </c>
      <c r="G19" s="25">
        <f t="shared" ref="G19" si="21">G7</f>
        <v>53</v>
      </c>
      <c r="I19" s="5">
        <v>2015</v>
      </c>
      <c r="J19" s="26">
        <f t="shared" ref="J19:K19" si="22">J7</f>
        <v>0.91100000000000003</v>
      </c>
      <c r="K19" s="26">
        <f t="shared" si="22"/>
        <v>8.4000000000000005E-2</v>
      </c>
      <c r="L19" s="26">
        <f t="shared" ref="L19" si="23">L7</f>
        <v>5.0000000000000044E-3</v>
      </c>
      <c r="M19" s="27">
        <f t="shared" si="13"/>
        <v>1</v>
      </c>
      <c r="O19" s="5">
        <v>2015</v>
      </c>
      <c r="P19" s="32">
        <f t="shared" si="14"/>
        <v>6730.7175071750726</v>
      </c>
      <c r="Q19" s="32">
        <f t="shared" si="14"/>
        <v>620.6150061500615</v>
      </c>
      <c r="R19" s="32">
        <f t="shared" si="14"/>
        <v>36.941369413694169</v>
      </c>
      <c r="S19" s="41">
        <f t="shared" ref="S19:S21" si="24">SUM(P19:R19)</f>
        <v>7388.2738827388275</v>
      </c>
      <c r="T19" s="17"/>
      <c r="U19" s="5">
        <v>2015</v>
      </c>
      <c r="V19" s="36">
        <f t="shared" si="20"/>
        <v>0.64148725115171024</v>
      </c>
      <c r="W19" s="36">
        <f t="shared" si="15"/>
        <v>1</v>
      </c>
      <c r="X19" s="17"/>
      <c r="Y19" s="5">
        <v>2015</v>
      </c>
      <c r="Z19" s="3">
        <f t="shared" si="9"/>
        <v>438.47502539031314</v>
      </c>
      <c r="AA19" s="3">
        <f t="shared" si="16"/>
        <v>53</v>
      </c>
      <c r="AB19" s="3">
        <f t="shared" si="17"/>
        <v>3.1547619047619073</v>
      </c>
      <c r="AC19" s="42">
        <f t="shared" si="18"/>
        <v>494.62978729507506</v>
      </c>
    </row>
    <row r="20" spans="1:29" x14ac:dyDescent="0.35">
      <c r="A20" s="5">
        <v>2016</v>
      </c>
      <c r="B20" s="25">
        <f t="shared" si="11"/>
        <v>19236</v>
      </c>
      <c r="C20" s="25">
        <f t="shared" si="11"/>
        <v>1904</v>
      </c>
      <c r="E20" s="5">
        <v>2016</v>
      </c>
      <c r="F20" s="25">
        <f t="shared" ref="F20:G20" si="25">F8</f>
        <v>1818</v>
      </c>
      <c r="G20" s="25">
        <f t="shared" si="25"/>
        <v>162.6</v>
      </c>
      <c r="I20" s="5">
        <v>2016</v>
      </c>
      <c r="J20" s="26">
        <f t="shared" ref="J20:K20" si="26">J8</f>
        <v>0.83599999999999997</v>
      </c>
      <c r="K20" s="26">
        <f t="shared" si="26"/>
        <v>0.14399999999999999</v>
      </c>
      <c r="L20" s="26">
        <f t="shared" ref="L20" si="27">L8</f>
        <v>2.0000000000000018E-2</v>
      </c>
      <c r="M20" s="27">
        <f t="shared" si="13"/>
        <v>1</v>
      </c>
      <c r="O20" s="5">
        <v>2016</v>
      </c>
      <c r="P20" s="32">
        <f t="shared" si="14"/>
        <v>11053.777777777777</v>
      </c>
      <c r="Q20" s="32">
        <f t="shared" si="14"/>
        <v>1904</v>
      </c>
      <c r="R20" s="32">
        <f t="shared" si="14"/>
        <v>264.44444444444468</v>
      </c>
      <c r="S20" s="41">
        <f t="shared" si="24"/>
        <v>13222.222222222223</v>
      </c>
      <c r="T20" s="17"/>
      <c r="U20" s="5">
        <v>2016</v>
      </c>
      <c r="V20" s="36">
        <f t="shared" si="20"/>
        <v>0.5746401423257318</v>
      </c>
      <c r="W20" s="36">
        <f t="shared" si="15"/>
        <v>1</v>
      </c>
      <c r="X20" s="17"/>
      <c r="Y20" s="5">
        <v>2016</v>
      </c>
      <c r="Z20" s="3">
        <f t="shared" si="9"/>
        <v>720.1023496533918</v>
      </c>
      <c r="AA20" s="3">
        <f t="shared" si="16"/>
        <v>162.6</v>
      </c>
      <c r="AB20" s="3">
        <f t="shared" si="17"/>
        <v>22.58333333333335</v>
      </c>
      <c r="AC20" s="42">
        <f t="shared" si="18"/>
        <v>905.28568298672519</v>
      </c>
    </row>
    <row r="21" spans="1:29" x14ac:dyDescent="0.35">
      <c r="A21" s="5">
        <v>2017</v>
      </c>
      <c r="B21" s="25">
        <f t="shared" si="11"/>
        <v>34409</v>
      </c>
      <c r="C21" s="25">
        <f t="shared" si="11"/>
        <v>4586</v>
      </c>
      <c r="E21" s="5">
        <v>2017</v>
      </c>
      <c r="F21" s="25">
        <f t="shared" ref="F21:G21" si="28">F9</f>
        <v>3736</v>
      </c>
      <c r="G21" s="25">
        <f t="shared" si="28"/>
        <v>375.6</v>
      </c>
      <c r="I21" s="5">
        <v>2017</v>
      </c>
      <c r="J21" s="26">
        <f t="shared" ref="J21:K21" si="29">J9</f>
        <v>0.755</v>
      </c>
      <c r="K21" s="26">
        <f t="shared" si="29"/>
        <v>0.222</v>
      </c>
      <c r="L21" s="26">
        <f t="shared" ref="L21" si="30">L9</f>
        <v>2.300000000000002E-2</v>
      </c>
      <c r="M21" s="27">
        <f t="shared" si="13"/>
        <v>1</v>
      </c>
      <c r="O21" s="5">
        <v>2017</v>
      </c>
      <c r="P21" s="32">
        <f t="shared" si="14"/>
        <v>15596.531531531531</v>
      </c>
      <c r="Q21" s="32">
        <f t="shared" si="14"/>
        <v>4586</v>
      </c>
      <c r="R21" s="32">
        <f t="shared" si="14"/>
        <v>475.12612612612656</v>
      </c>
      <c r="S21" s="41">
        <f t="shared" si="24"/>
        <v>20657.657657657659</v>
      </c>
      <c r="T21" s="17"/>
      <c r="U21" s="5">
        <v>2017</v>
      </c>
      <c r="V21" s="36">
        <f t="shared" si="20"/>
        <v>0.45326895671282313</v>
      </c>
      <c r="W21" s="36">
        <f t="shared" si="15"/>
        <v>1</v>
      </c>
      <c r="X21" s="17"/>
      <c r="Y21" s="5">
        <v>2017</v>
      </c>
      <c r="Z21" s="3">
        <f>Z22*P21/P22</f>
        <v>1016.04168530308</v>
      </c>
      <c r="AA21" s="3">
        <f t="shared" si="16"/>
        <v>375.6</v>
      </c>
      <c r="AB21" s="3">
        <f t="shared" si="17"/>
        <v>38.913513513513557</v>
      </c>
      <c r="AC21" s="42">
        <f t="shared" si="18"/>
        <v>1430.5551988165937</v>
      </c>
    </row>
    <row r="22" spans="1:29" x14ac:dyDescent="0.35">
      <c r="A22" s="5">
        <v>2018</v>
      </c>
      <c r="B22" s="25">
        <f t="shared" si="11"/>
        <v>49799</v>
      </c>
      <c r="C22" s="25">
        <f t="shared" si="11"/>
        <v>8054</v>
      </c>
      <c r="E22" s="5">
        <v>2018</v>
      </c>
      <c r="F22" s="25">
        <f t="shared" ref="F22:G22" si="31">F10</f>
        <v>5220</v>
      </c>
      <c r="G22" s="25">
        <f t="shared" si="31"/>
        <v>619.4</v>
      </c>
      <c r="I22" s="5">
        <v>2018</v>
      </c>
      <c r="J22" s="26">
        <f t="shared" ref="J22:K22" si="32">J10</f>
        <v>0.70099999999999996</v>
      </c>
      <c r="K22" s="26">
        <f t="shared" si="32"/>
        <v>0.27100000000000002</v>
      </c>
      <c r="L22" s="26">
        <f t="shared" ref="L22" si="33">L10</f>
        <v>2.8000000000000025E-2</v>
      </c>
      <c r="M22" s="27">
        <f t="shared" si="13"/>
        <v>1</v>
      </c>
      <c r="O22" s="5">
        <v>2018</v>
      </c>
      <c r="P22" s="32">
        <f t="shared" si="14"/>
        <v>20833.409594095938</v>
      </c>
      <c r="Q22" s="32">
        <f t="shared" si="14"/>
        <v>8054</v>
      </c>
      <c r="R22" s="32">
        <f t="shared" si="14"/>
        <v>832.14760147601544</v>
      </c>
      <c r="S22" s="41">
        <f>SUM(P22:R22)</f>
        <v>29719.557195571953</v>
      </c>
      <c r="T22" s="17"/>
      <c r="U22" s="5">
        <v>2018</v>
      </c>
      <c r="V22" s="36">
        <f>P22/B22</f>
        <v>0.41834995871595693</v>
      </c>
      <c r="W22" s="36">
        <f t="shared" ref="W22" si="34">Q22/C22</f>
        <v>1</v>
      </c>
      <c r="X22" s="36"/>
      <c r="Y22" s="5">
        <v>2018</v>
      </c>
      <c r="Z22" s="3">
        <f t="shared" si="16"/>
        <v>1357.2</v>
      </c>
      <c r="AA22" s="3">
        <f t="shared" si="16"/>
        <v>619.4</v>
      </c>
      <c r="AB22" s="3">
        <f>AA22*R22/Q22</f>
        <v>63.997047970479755</v>
      </c>
      <c r="AC22" s="42">
        <f t="shared" si="18"/>
        <v>2040.5970479704797</v>
      </c>
    </row>
    <row r="23" spans="1:29" s="45" customFormat="1" x14ac:dyDescent="0.35">
      <c r="A23" s="43"/>
      <c r="B23" s="44"/>
      <c r="C23" s="44"/>
      <c r="E23" s="43"/>
      <c r="F23" s="44"/>
      <c r="G23" s="44"/>
      <c r="I23" s="43"/>
      <c r="J23" s="46"/>
      <c r="K23" s="46"/>
      <c r="L23" s="46"/>
      <c r="M23" s="47"/>
      <c r="O23" s="43"/>
      <c r="P23" s="48"/>
      <c r="Q23" s="48"/>
      <c r="R23" s="48"/>
      <c r="S23" s="49"/>
      <c r="T23" s="49"/>
      <c r="U23" s="43"/>
      <c r="V23" s="50"/>
      <c r="W23" s="50"/>
      <c r="X23" s="50"/>
      <c r="Y23" s="43"/>
      <c r="Z23" s="51"/>
      <c r="AA23" s="51"/>
      <c r="AB23" s="51"/>
      <c r="AC23" s="51"/>
    </row>
    <row r="24" spans="1:29" s="45" customFormat="1" x14ac:dyDescent="0.35">
      <c r="A24" s="35" t="s">
        <v>90</v>
      </c>
      <c r="B24" s="44"/>
      <c r="C24" s="44"/>
      <c r="E24" s="43"/>
      <c r="F24" s="44"/>
      <c r="G24" s="44"/>
      <c r="I24" s="43"/>
      <c r="J24" s="46"/>
      <c r="K24" s="46"/>
      <c r="L24" s="46"/>
      <c r="M24" s="47"/>
      <c r="O24" s="43"/>
      <c r="P24" s="48"/>
      <c r="Q24" s="48"/>
      <c r="R24" s="48"/>
      <c r="S24" s="49"/>
      <c r="T24" s="49"/>
      <c r="U24" s="43"/>
      <c r="V24" s="50"/>
      <c r="W24" s="50"/>
      <c r="X24" s="50"/>
      <c r="Y24" s="43"/>
      <c r="Z24" s="51"/>
      <c r="AA24" s="51"/>
      <c r="AB24" s="51"/>
      <c r="AC24" s="51"/>
    </row>
    <row r="25" spans="1:29" s="45" customFormat="1" x14ac:dyDescent="0.35">
      <c r="A25" s="43"/>
      <c r="B25" s="44"/>
      <c r="C25" s="44"/>
      <c r="E25" s="43"/>
      <c r="F25" s="44"/>
      <c r="G25" s="44"/>
      <c r="I25" s="3" t="s">
        <v>94</v>
      </c>
      <c r="J25" s="46"/>
      <c r="K25" s="46"/>
      <c r="L25" s="46"/>
      <c r="M25" s="47"/>
      <c r="O25" s="52" t="s">
        <v>91</v>
      </c>
      <c r="P25" s="48"/>
      <c r="Q25" s="48"/>
      <c r="R25" s="48"/>
      <c r="S25" s="49"/>
      <c r="T25" s="49"/>
      <c r="U25" s="52" t="s">
        <v>92</v>
      </c>
      <c r="V25" s="50"/>
      <c r="W25" s="50"/>
      <c r="X25" s="50"/>
      <c r="Y25" s="43"/>
      <c r="Z25" s="51"/>
      <c r="AA25" s="51"/>
      <c r="AB25" s="51"/>
      <c r="AC25" s="51"/>
    </row>
    <row r="26" spans="1:29" s="45" customFormat="1" ht="58" x14ac:dyDescent="0.35">
      <c r="A26" s="43"/>
      <c r="B26" s="44"/>
      <c r="C26" s="44"/>
      <c r="E26" s="43"/>
      <c r="F26" s="44"/>
      <c r="G26" s="44"/>
      <c r="I26" s="3"/>
      <c r="J26" s="46" t="s">
        <v>0</v>
      </c>
      <c r="K26" s="55" t="s">
        <v>97</v>
      </c>
      <c r="L26" s="55" t="s">
        <v>95</v>
      </c>
      <c r="M26" s="56" t="s">
        <v>96</v>
      </c>
      <c r="O26"/>
      <c r="P26" s="2" t="s">
        <v>0</v>
      </c>
      <c r="Q26" t="s">
        <v>1</v>
      </c>
      <c r="R26" t="s">
        <v>27</v>
      </c>
      <c r="S26" s="45" t="s">
        <v>50</v>
      </c>
      <c r="T26" s="49"/>
      <c r="U26" s="53">
        <v>1739</v>
      </c>
      <c r="V26" s="50"/>
      <c r="W26" s="50"/>
      <c r="X26" s="50"/>
      <c r="Y26" s="43"/>
      <c r="Z26" s="51"/>
      <c r="AA26" s="51"/>
      <c r="AB26" s="51"/>
      <c r="AC26" s="51"/>
    </row>
    <row r="27" spans="1:29" s="45" customFormat="1" x14ac:dyDescent="0.35">
      <c r="A27" s="43"/>
      <c r="B27" s="44"/>
      <c r="C27" s="44"/>
      <c r="E27" s="43"/>
      <c r="F27" s="44"/>
      <c r="G27" s="44"/>
      <c r="I27" s="5">
        <v>2012</v>
      </c>
      <c r="J27" s="3">
        <v>15</v>
      </c>
      <c r="K27" s="46">
        <f t="shared" ref="K27:K32" si="35">J27/J$33</f>
        <v>1.3309671694764862E-3</v>
      </c>
      <c r="L27" s="46">
        <f t="shared" ref="L27:L32" si="36">P16/P$22</f>
        <v>2.7979533944087764E-2</v>
      </c>
      <c r="M27" s="47">
        <f t="shared" ref="M27:M32" si="37">AC16/AC$22</f>
        <v>1.860917299017149E-2</v>
      </c>
      <c r="O27" s="5">
        <v>2012</v>
      </c>
      <c r="P27" s="36">
        <f>P16/Z16</f>
        <v>15.350287057247224</v>
      </c>
      <c r="Q27" s="36"/>
      <c r="R27" s="36"/>
      <c r="S27" s="36">
        <f t="shared" ref="Q27:S27" si="38">S16/AC16</f>
        <v>15.350287057247224</v>
      </c>
      <c r="T27" s="49"/>
      <c r="U27" s="43"/>
      <c r="V27" s="50"/>
      <c r="W27" s="50"/>
      <c r="X27" s="50"/>
      <c r="Y27" s="43"/>
      <c r="Z27" s="51"/>
      <c r="AA27" s="51"/>
      <c r="AB27" s="51"/>
      <c r="AC27" s="51"/>
    </row>
    <row r="28" spans="1:29" s="45" customFormat="1" x14ac:dyDescent="0.35">
      <c r="A28" s="43"/>
      <c r="B28" s="44"/>
      <c r="C28" s="44"/>
      <c r="E28" s="43"/>
      <c r="F28" s="44"/>
      <c r="G28" s="44"/>
      <c r="I28" s="5">
        <v>2013</v>
      </c>
      <c r="J28" s="3">
        <v>103</v>
      </c>
      <c r="K28" s="46">
        <f t="shared" si="35"/>
        <v>9.1393078970718727E-3</v>
      </c>
      <c r="L28" s="46">
        <f t="shared" si="36"/>
        <v>9.5448333563736498E-2</v>
      </c>
      <c r="M28" s="47">
        <f t="shared" si="37"/>
        <v>6.4805777526840899E-2</v>
      </c>
      <c r="O28" s="5">
        <v>2013</v>
      </c>
      <c r="P28" s="36">
        <f t="shared" ref="P28:P33" si="39">P17/Z17</f>
        <v>15.350287057247225</v>
      </c>
      <c r="Q28" s="36">
        <f t="shared" ref="Q28:Q33" si="40">Q17/AA17</f>
        <v>11.709717097170971</v>
      </c>
      <c r="R28" s="36"/>
      <c r="S28" s="36">
        <f t="shared" ref="S28:S33" si="41">S17/AC17</f>
        <v>15.275957393907413</v>
      </c>
      <c r="T28" s="49"/>
      <c r="U28" s="45" t="s">
        <v>93</v>
      </c>
      <c r="V28" s="50"/>
      <c r="W28" s="50"/>
      <c r="X28" s="50"/>
      <c r="Y28" s="43"/>
      <c r="Z28" s="51"/>
      <c r="AA28" s="51"/>
      <c r="AB28" s="51"/>
      <c r="AC28" s="51"/>
    </row>
    <row r="29" spans="1:29" s="45" customFormat="1" x14ac:dyDescent="0.35">
      <c r="A29" s="43"/>
      <c r="B29" s="44"/>
      <c r="C29" s="44"/>
      <c r="E29" s="43"/>
      <c r="F29" s="44"/>
      <c r="G29" s="44"/>
      <c r="I29" s="5">
        <v>2014</v>
      </c>
      <c r="J29" s="3">
        <v>445</v>
      </c>
      <c r="K29" s="46">
        <f t="shared" si="35"/>
        <v>3.9485359361135758E-2</v>
      </c>
      <c r="L29" s="46">
        <f t="shared" si="36"/>
        <v>0.19744632837780479</v>
      </c>
      <c r="M29" s="47">
        <f t="shared" si="37"/>
        <v>0.1401913999429128</v>
      </c>
      <c r="O29" s="5">
        <v>2014</v>
      </c>
      <c r="P29" s="36">
        <f t="shared" si="39"/>
        <v>15.350287057247225</v>
      </c>
      <c r="Q29" s="36">
        <f t="shared" si="40"/>
        <v>11.709717097170971</v>
      </c>
      <c r="R29" s="36"/>
      <c r="S29" s="36">
        <f t="shared" si="41"/>
        <v>15.119947074784841</v>
      </c>
      <c r="T29" s="49"/>
      <c r="U29" s="54">
        <f>AC21</f>
        <v>1430.5551988165937</v>
      </c>
      <c r="V29" s="50"/>
      <c r="W29" s="50"/>
      <c r="X29" s="50"/>
      <c r="Y29" s="43"/>
      <c r="Z29" s="51"/>
      <c r="AA29" s="51"/>
      <c r="AB29" s="51"/>
      <c r="AC29" s="51"/>
    </row>
    <row r="30" spans="1:29" s="45" customFormat="1" x14ac:dyDescent="0.35">
      <c r="A30" s="43"/>
      <c r="B30" s="44"/>
      <c r="C30" s="44"/>
      <c r="E30" s="43"/>
      <c r="F30" s="44"/>
      <c r="G30" s="44"/>
      <c r="I30" s="5">
        <v>2015</v>
      </c>
      <c r="J30" s="3">
        <v>1690</v>
      </c>
      <c r="K30" s="46">
        <f t="shared" si="35"/>
        <v>0.14995563442768411</v>
      </c>
      <c r="L30" s="46">
        <f t="shared" si="36"/>
        <v>0.32307325772937895</v>
      </c>
      <c r="M30" s="47">
        <f t="shared" si="37"/>
        <v>0.24239464022895646</v>
      </c>
      <c r="O30" s="5">
        <v>2015</v>
      </c>
      <c r="P30" s="36">
        <f t="shared" si="39"/>
        <v>15.350287057247225</v>
      </c>
      <c r="Q30" s="36">
        <f t="shared" si="40"/>
        <v>11.709717097170971</v>
      </c>
      <c r="R30" s="36">
        <f t="shared" ref="R28:R33" si="42">R19/AB19</f>
        <v>11.709717097170973</v>
      </c>
      <c r="S30" s="36">
        <f t="shared" si="41"/>
        <v>14.9369772555394</v>
      </c>
      <c r="T30" s="49"/>
      <c r="U30" s="43"/>
      <c r="V30" s="50"/>
      <c r="W30" s="50"/>
      <c r="X30" s="50"/>
      <c r="Y30" s="43"/>
      <c r="Z30" s="51"/>
      <c r="AA30" s="51"/>
      <c r="AB30" s="51"/>
      <c r="AC30" s="51"/>
    </row>
    <row r="31" spans="1:29" s="45" customFormat="1" x14ac:dyDescent="0.35">
      <c r="A31" s="43"/>
      <c r="B31" s="44"/>
      <c r="C31" s="44"/>
      <c r="E31" s="43"/>
      <c r="F31" s="44"/>
      <c r="G31" s="44"/>
      <c r="I31" s="5">
        <v>2016</v>
      </c>
      <c r="J31" s="3">
        <v>2964</v>
      </c>
      <c r="K31" s="46">
        <f t="shared" si="35"/>
        <v>0.26299911268855369</v>
      </c>
      <c r="L31" s="46">
        <f t="shared" si="36"/>
        <v>0.53057939113866182</v>
      </c>
      <c r="M31" s="47">
        <f t="shared" si="37"/>
        <v>0.44363765197401261</v>
      </c>
      <c r="O31" s="5">
        <v>2016</v>
      </c>
      <c r="P31" s="36">
        <f t="shared" si="39"/>
        <v>15.350287057247227</v>
      </c>
      <c r="Q31" s="36">
        <f t="shared" si="40"/>
        <v>11.709717097170973</v>
      </c>
      <c r="R31" s="36">
        <f t="shared" si="42"/>
        <v>11.709717097170973</v>
      </c>
      <c r="S31" s="36">
        <f t="shared" si="41"/>
        <v>14.605579731029623</v>
      </c>
      <c r="T31" s="49"/>
      <c r="U31" s="43"/>
      <c r="V31" s="50"/>
      <c r="W31" s="50"/>
      <c r="X31" s="50"/>
      <c r="Y31" s="43"/>
      <c r="Z31" s="51"/>
      <c r="AA31" s="51"/>
      <c r="AB31" s="51"/>
      <c r="AC31" s="51"/>
    </row>
    <row r="32" spans="1:29" s="45" customFormat="1" x14ac:dyDescent="0.35">
      <c r="A32" s="43"/>
      <c r="B32" s="44"/>
      <c r="C32" s="44"/>
      <c r="E32" s="43"/>
      <c r="F32" s="44"/>
      <c r="G32" s="44"/>
      <c r="I32" s="5">
        <v>2017</v>
      </c>
      <c r="J32" s="3">
        <v>7932</v>
      </c>
      <c r="K32" s="46">
        <f t="shared" si="35"/>
        <v>0.70381543921916589</v>
      </c>
      <c r="L32" s="46">
        <f t="shared" si="36"/>
        <v>0.74863077313813742</v>
      </c>
      <c r="M32" s="47">
        <f t="shared" si="37"/>
        <v>0.70104737250276017</v>
      </c>
      <c r="O32" s="5">
        <v>2017</v>
      </c>
      <c r="P32" s="36">
        <f t="shared" si="39"/>
        <v>15.350287057247229</v>
      </c>
      <c r="Q32" s="36">
        <f t="shared" si="40"/>
        <v>12.209797657082001</v>
      </c>
      <c r="R32" s="36">
        <f t="shared" si="42"/>
        <v>12.209797657081999</v>
      </c>
      <c r="S32" s="36">
        <f t="shared" si="41"/>
        <v>14.440307983044912</v>
      </c>
      <c r="T32" s="49"/>
      <c r="U32" s="43"/>
      <c r="V32" s="50"/>
      <c r="W32" s="50"/>
      <c r="X32" s="50"/>
      <c r="Y32" s="43"/>
      <c r="Z32" s="51"/>
      <c r="AA32" s="51"/>
      <c r="AB32" s="51"/>
      <c r="AC32" s="51"/>
    </row>
    <row r="33" spans="1:29" s="45" customFormat="1" x14ac:dyDescent="0.35">
      <c r="A33" s="43"/>
      <c r="B33" s="44"/>
      <c r="C33" s="44"/>
      <c r="E33" s="43"/>
      <c r="F33" s="44"/>
      <c r="G33" s="44"/>
      <c r="I33" s="5">
        <v>2018</v>
      </c>
      <c r="J33" s="3">
        <v>11270</v>
      </c>
      <c r="K33" s="46">
        <f>J33/J$33</f>
        <v>1</v>
      </c>
      <c r="L33" s="46">
        <f>P22/P$22</f>
        <v>1</v>
      </c>
      <c r="M33" s="47">
        <f>AC22/AC$22</f>
        <v>1</v>
      </c>
      <c r="O33" s="5">
        <v>2018</v>
      </c>
      <c r="P33" s="36">
        <f t="shared" si="39"/>
        <v>15.350287057247227</v>
      </c>
      <c r="Q33" s="36">
        <f t="shared" si="40"/>
        <v>13.002906038101388</v>
      </c>
      <c r="R33" s="36">
        <f t="shared" si="42"/>
        <v>13.002906038101388</v>
      </c>
      <c r="S33" s="36">
        <f t="shared" si="41"/>
        <v>14.564147892466172</v>
      </c>
      <c r="T33" s="49"/>
      <c r="U33" s="43"/>
      <c r="V33" s="50"/>
      <c r="W33" s="50"/>
      <c r="X33" s="50"/>
      <c r="Y33" s="43"/>
      <c r="Z33" s="51"/>
      <c r="AA33" s="51"/>
      <c r="AB33" s="51"/>
      <c r="AC33" s="51"/>
    </row>
    <row r="34" spans="1:29" s="45" customFormat="1" x14ac:dyDescent="0.35">
      <c r="A34" s="43"/>
      <c r="B34" s="44"/>
      <c r="C34" s="44"/>
      <c r="E34" s="43"/>
      <c r="F34" s="44"/>
      <c r="G34" s="44"/>
      <c r="I34" s="43"/>
      <c r="J34" s="46"/>
      <c r="K34" s="46"/>
      <c r="L34" s="46"/>
      <c r="M34" s="47"/>
      <c r="O34" s="43"/>
      <c r="P34" s="48"/>
      <c r="Q34" s="48"/>
      <c r="R34" s="48"/>
      <c r="S34" s="49"/>
      <c r="T34" s="49"/>
      <c r="U34" s="43"/>
      <c r="V34" s="50"/>
      <c r="W34" s="50"/>
      <c r="X34" s="50"/>
      <c r="Y34" s="43"/>
      <c r="Z34" s="51"/>
      <c r="AA34" s="51"/>
      <c r="AB34" s="51"/>
      <c r="AC34" s="51"/>
    </row>
    <row r="35" spans="1:29" s="45" customFormat="1" x14ac:dyDescent="0.35">
      <c r="A35" s="43"/>
      <c r="B35" s="44"/>
      <c r="C35" s="44"/>
      <c r="E35" s="43"/>
      <c r="F35" s="44"/>
      <c r="G35" s="44"/>
      <c r="I35" s="43"/>
      <c r="J35" s="46"/>
      <c r="K35" s="46"/>
      <c r="L35" s="46"/>
      <c r="M35" s="47"/>
      <c r="O35" s="43"/>
      <c r="P35" s="48"/>
      <c r="Q35" s="48"/>
      <c r="R35" s="48"/>
      <c r="S35" s="49"/>
      <c r="T35" s="49"/>
      <c r="U35" s="43"/>
      <c r="V35" s="50"/>
      <c r="W35" s="50"/>
      <c r="X35" s="50"/>
      <c r="Y35" s="43"/>
      <c r="Z35" s="51"/>
      <c r="AA35" s="51"/>
      <c r="AB35" s="51"/>
      <c r="AC35" s="51"/>
    </row>
    <row r="36" spans="1:29" x14ac:dyDescent="0.35">
      <c r="A36" s="5"/>
      <c r="B36" s="25"/>
      <c r="C36" s="3"/>
      <c r="E36" s="5"/>
      <c r="F36" s="3"/>
      <c r="G36" s="3"/>
      <c r="J36" s="26"/>
      <c r="L36" s="18"/>
      <c r="M36" s="27"/>
      <c r="O36" s="5"/>
      <c r="P36" s="3"/>
      <c r="Q36" s="3"/>
      <c r="R36" s="3"/>
      <c r="S36" s="17"/>
      <c r="T36" s="17"/>
      <c r="U36" s="5"/>
      <c r="V36" s="4"/>
      <c r="W36" s="4"/>
      <c r="X36" s="17"/>
      <c r="Y36" s="5"/>
      <c r="Z36" s="3"/>
      <c r="AA36" s="3"/>
      <c r="AB36" s="8"/>
      <c r="AC36" s="3"/>
    </row>
    <row r="37" spans="1:29" x14ac:dyDescent="0.35">
      <c r="A37" s="5"/>
      <c r="B37" s="25"/>
      <c r="C37" s="3"/>
      <c r="E37" s="5"/>
      <c r="F37" s="3"/>
      <c r="G37" s="3"/>
      <c r="J37" s="26"/>
      <c r="L37" s="18"/>
      <c r="M37" s="27"/>
      <c r="O37" s="5"/>
      <c r="P37" s="3"/>
      <c r="Q37" s="3"/>
      <c r="R37" s="3"/>
      <c r="S37" s="17"/>
      <c r="T37" s="17"/>
      <c r="U37" s="5"/>
      <c r="V37" s="4"/>
      <c r="W37" s="4"/>
      <c r="X37" s="17"/>
      <c r="Y37" s="5"/>
      <c r="Z37" s="3"/>
      <c r="AA37" s="3"/>
      <c r="AB37" s="8"/>
      <c r="AC37" s="3"/>
    </row>
    <row r="38" spans="1:29" x14ac:dyDescent="0.35">
      <c r="A38" s="15" t="s">
        <v>51</v>
      </c>
    </row>
    <row r="39" spans="1:29" x14ac:dyDescent="0.35">
      <c r="A39" s="5">
        <v>1</v>
      </c>
      <c r="B39" t="s">
        <v>60</v>
      </c>
    </row>
    <row r="40" spans="1:29" x14ac:dyDescent="0.35">
      <c r="A40" s="15"/>
      <c r="B40" t="s">
        <v>61</v>
      </c>
    </row>
    <row r="41" spans="1:29" x14ac:dyDescent="0.35">
      <c r="A41" s="15"/>
      <c r="B41" t="s">
        <v>62</v>
      </c>
    </row>
    <row r="42" spans="1:29" x14ac:dyDescent="0.35">
      <c r="A42" s="15"/>
      <c r="B42" t="s">
        <v>4</v>
      </c>
    </row>
    <row r="43" spans="1:29" x14ac:dyDescent="0.35">
      <c r="A43" s="5">
        <v>2</v>
      </c>
      <c r="B43" t="s">
        <v>66</v>
      </c>
    </row>
    <row r="44" spans="1:29" x14ac:dyDescent="0.35">
      <c r="A44" s="5"/>
      <c r="B44" t="s">
        <v>67</v>
      </c>
    </row>
    <row r="45" spans="1:29" x14ac:dyDescent="0.35">
      <c r="A45" s="5">
        <v>3</v>
      </c>
      <c r="B45" s="1" t="s">
        <v>32</v>
      </c>
    </row>
    <row r="46" spans="1:29" x14ac:dyDescent="0.35">
      <c r="A46" s="5">
        <v>4</v>
      </c>
      <c r="B46" t="s">
        <v>52</v>
      </c>
    </row>
    <row r="47" spans="1:29" x14ac:dyDescent="0.35">
      <c r="A47" s="5"/>
      <c r="B47" t="s">
        <v>53</v>
      </c>
    </row>
    <row r="48" spans="1:29" x14ac:dyDescent="0.35">
      <c r="A48" s="5"/>
      <c r="B48" t="s">
        <v>54</v>
      </c>
    </row>
    <row r="49" spans="1:2" x14ac:dyDescent="0.35">
      <c r="A49" s="5"/>
      <c r="B49" t="s">
        <v>55</v>
      </c>
    </row>
    <row r="50" spans="1:2" x14ac:dyDescent="0.35">
      <c r="A50" s="5">
        <v>5</v>
      </c>
      <c r="B50" t="s">
        <v>70</v>
      </c>
    </row>
    <row r="51" spans="1:2" x14ac:dyDescent="0.35">
      <c r="A51" s="5">
        <v>6</v>
      </c>
      <c r="B51" t="s">
        <v>56</v>
      </c>
    </row>
    <row r="52" spans="1:2" x14ac:dyDescent="0.35">
      <c r="A52" s="5"/>
      <c r="B52" t="s">
        <v>57</v>
      </c>
    </row>
    <row r="53" spans="1:2" x14ac:dyDescent="0.35">
      <c r="A53" s="5"/>
      <c r="B53" t="s">
        <v>58</v>
      </c>
    </row>
    <row r="55" spans="1:2" x14ac:dyDescent="0.35">
      <c r="A55">
        <v>11</v>
      </c>
      <c r="B55" t="s">
        <v>79</v>
      </c>
    </row>
    <row r="56" spans="1:2" x14ac:dyDescent="0.35">
      <c r="A56">
        <v>12</v>
      </c>
      <c r="B56" t="s">
        <v>81</v>
      </c>
    </row>
    <row r="57" spans="1:2" x14ac:dyDescent="0.35">
      <c r="A57">
        <v>13</v>
      </c>
      <c r="B57" t="s">
        <v>83</v>
      </c>
    </row>
    <row r="58" spans="1:2" x14ac:dyDescent="0.35">
      <c r="B58" t="s">
        <v>82</v>
      </c>
    </row>
    <row r="59" spans="1:2" x14ac:dyDescent="0.35">
      <c r="B59" t="s">
        <v>84</v>
      </c>
    </row>
    <row r="60" spans="1:2" x14ac:dyDescent="0.35">
      <c r="A60">
        <v>14</v>
      </c>
      <c r="B60" t="s">
        <v>80</v>
      </c>
    </row>
    <row r="61" spans="1:2" x14ac:dyDescent="0.35">
      <c r="B61" t="s">
        <v>85</v>
      </c>
    </row>
    <row r="62" spans="1:2" x14ac:dyDescent="0.35">
      <c r="B62" t="s">
        <v>86</v>
      </c>
    </row>
    <row r="63" spans="1:2" x14ac:dyDescent="0.35">
      <c r="B63" t="s">
        <v>87</v>
      </c>
    </row>
    <row r="64" spans="1:2" x14ac:dyDescent="0.35">
      <c r="A64">
        <v>16</v>
      </c>
      <c r="B64" t="s">
        <v>88</v>
      </c>
    </row>
  </sheetData>
  <mergeCells count="12">
    <mergeCell ref="A14:C14"/>
    <mergeCell ref="E14:G14"/>
    <mergeCell ref="I14:M14"/>
    <mergeCell ref="O14:S14"/>
    <mergeCell ref="U14:W14"/>
    <mergeCell ref="Y14:AC14"/>
    <mergeCell ref="I2:M2"/>
    <mergeCell ref="O2:S2"/>
    <mergeCell ref="Y2:AC2"/>
    <mergeCell ref="A2:C2"/>
    <mergeCell ref="E2:G2"/>
    <mergeCell ref="U2:W2"/>
  </mergeCells>
  <hyperlinks>
    <hyperlink ref="B45" r:id="rId1" xr:uid="{178DFFAC-6EF7-4562-B0F2-68EE40FB19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Uber</vt:lpstr>
      <vt:lpstr>Lyft</vt:lpstr>
      <vt:lpstr>Uber+Lyft</vt:lpstr>
      <vt:lpstr>Chart2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Erhardt</dc:creator>
  <cp:lastModifiedBy>Gregory Erhardt</cp:lastModifiedBy>
  <dcterms:created xsi:type="dcterms:W3CDTF">2015-06-05T18:17:20Z</dcterms:created>
  <dcterms:modified xsi:type="dcterms:W3CDTF">2020-05-01T21:21:11Z</dcterms:modified>
</cp:coreProperties>
</file>